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e4d2a4ae686322/Documents/Financial Modelling/"/>
    </mc:Choice>
  </mc:AlternateContent>
  <xr:revisionPtr revIDLastSave="8" documentId="13_ncr:1_{08C691C8-A116-4C0F-A239-A660D9D54F39}" xr6:coauthVersionLast="47" xr6:coauthVersionMax="47" xr10:uidLastSave="{5607A485-77E3-4853-AFFF-411F1D65067C}"/>
  <bookViews>
    <workbookView xWindow="-120" yWindow="-120" windowWidth="20730" windowHeight="11040" activeTab="2" xr2:uid="{00000000-000D-0000-FFFF-FFFF00000000}"/>
  </bookViews>
  <sheets>
    <sheet name="Financials" sheetId="7" r:id="rId1"/>
    <sheet name="Historical FS" sheetId="8" r:id="rId2"/>
    <sheet name="Ratio Analysis" sheetId="11" r:id="rId3"/>
    <sheet name="Data" sheetId="9" r:id="rId4"/>
    <sheet name="Data Sheet" sheetId="6" r:id="rId5"/>
    <sheet name="Cashflow Data" sheetId="10" r:id="rId6"/>
  </sheets>
  <definedNames>
    <definedName name="UPDATE">'Data Sheet'!$E$1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1" l="1"/>
  <c r="D12" i="11"/>
  <c r="E16" i="11"/>
  <c r="F16" i="11"/>
  <c r="G16" i="11"/>
  <c r="H16" i="11"/>
  <c r="I16" i="11"/>
  <c r="J16" i="11"/>
  <c r="K16" i="11"/>
  <c r="L16" i="11"/>
  <c r="L15" i="11" l="1"/>
  <c r="K15" i="11"/>
  <c r="J15" i="11"/>
  <c r="I15" i="11"/>
  <c r="H15" i="11"/>
  <c r="G15" i="11"/>
  <c r="F15" i="11"/>
  <c r="E15" i="11"/>
  <c r="L14" i="11"/>
  <c r="K14" i="11"/>
  <c r="J14" i="11"/>
  <c r="I14" i="11"/>
  <c r="H14" i="11"/>
  <c r="G14" i="11"/>
  <c r="F14" i="11"/>
  <c r="E14" i="11"/>
  <c r="L13" i="11"/>
  <c r="K13" i="11"/>
  <c r="J13" i="11"/>
  <c r="I13" i="11"/>
  <c r="H13" i="11"/>
  <c r="G13" i="11"/>
  <c r="F13" i="11"/>
  <c r="E13" i="11"/>
  <c r="L12" i="11"/>
  <c r="K12" i="11"/>
  <c r="J12" i="11"/>
  <c r="I12" i="11"/>
  <c r="H12" i="11"/>
  <c r="G12" i="11"/>
  <c r="F12" i="11"/>
  <c r="E12" i="11"/>
  <c r="D15" i="11"/>
  <c r="D14" i="11"/>
  <c r="D13" i="11"/>
  <c r="E7" i="11"/>
  <c r="F7" i="11"/>
  <c r="G7" i="11"/>
  <c r="H7" i="11"/>
  <c r="I7" i="11"/>
  <c r="J7" i="11"/>
  <c r="K7" i="11"/>
  <c r="L7" i="11"/>
  <c r="E8" i="11"/>
  <c r="F8" i="11"/>
  <c r="G8" i="11"/>
  <c r="H8" i="11"/>
  <c r="I8" i="11"/>
  <c r="J8" i="11"/>
  <c r="K8" i="11"/>
  <c r="L8" i="11"/>
  <c r="E9" i="11"/>
  <c r="F9" i="11"/>
  <c r="G9" i="11"/>
  <c r="H9" i="11"/>
  <c r="I9" i="11"/>
  <c r="J9" i="11"/>
  <c r="K9" i="11"/>
  <c r="L9" i="11"/>
  <c r="E10" i="11"/>
  <c r="F10" i="11"/>
  <c r="G10" i="11"/>
  <c r="H10" i="11"/>
  <c r="I10" i="11"/>
  <c r="J10" i="11"/>
  <c r="K10" i="11"/>
  <c r="L10" i="11"/>
  <c r="D10" i="11"/>
  <c r="D9" i="11"/>
  <c r="D8" i="11"/>
  <c r="D7" i="11"/>
  <c r="B3" i="11"/>
  <c r="C6" i="11"/>
  <c r="D6" i="11"/>
  <c r="E6" i="11"/>
  <c r="F6" i="11"/>
  <c r="G6" i="11"/>
  <c r="H6" i="11"/>
  <c r="I6" i="11"/>
  <c r="J6" i="11"/>
  <c r="K6" i="11"/>
  <c r="L6" i="11"/>
  <c r="D3" i="8"/>
  <c r="C3" i="8"/>
  <c r="B2" i="8"/>
  <c r="L107" i="8" l="1"/>
  <c r="K107" i="8"/>
  <c r="J107" i="8"/>
  <c r="I107" i="8"/>
  <c r="H107" i="8"/>
  <c r="G107" i="8"/>
  <c r="F107" i="8"/>
  <c r="E107" i="8"/>
  <c r="D107" i="8"/>
  <c r="C107" i="8"/>
  <c r="D105" i="8"/>
  <c r="E105" i="8"/>
  <c r="F105" i="8"/>
  <c r="G105" i="8"/>
  <c r="H105" i="8"/>
  <c r="I105" i="8"/>
  <c r="J105" i="8"/>
  <c r="K105" i="8"/>
  <c r="L105" i="8"/>
  <c r="C105" i="8"/>
  <c r="C97" i="8"/>
  <c r="C98" i="8"/>
  <c r="D98" i="8"/>
  <c r="E98" i="8"/>
  <c r="F98" i="8"/>
  <c r="G98" i="8"/>
  <c r="H98" i="8"/>
  <c r="I98" i="8"/>
  <c r="J98" i="8"/>
  <c r="K98" i="8"/>
  <c r="L98" i="8"/>
  <c r="C99" i="8"/>
  <c r="D99" i="8"/>
  <c r="E99" i="8"/>
  <c r="F99" i="8"/>
  <c r="G99" i="8"/>
  <c r="H99" i="8"/>
  <c r="I99" i="8"/>
  <c r="J99" i="8"/>
  <c r="K99" i="8"/>
  <c r="L99" i="8"/>
  <c r="C100" i="8"/>
  <c r="D100" i="8"/>
  <c r="E100" i="8"/>
  <c r="F100" i="8"/>
  <c r="G100" i="8"/>
  <c r="H100" i="8"/>
  <c r="I100" i="8"/>
  <c r="J100" i="8"/>
  <c r="K100" i="8"/>
  <c r="L100" i="8"/>
  <c r="C101" i="8"/>
  <c r="D101" i="8"/>
  <c r="E101" i="8"/>
  <c r="F101" i="8"/>
  <c r="G101" i="8"/>
  <c r="H101" i="8"/>
  <c r="I101" i="8"/>
  <c r="J101" i="8"/>
  <c r="K101" i="8"/>
  <c r="L101" i="8"/>
  <c r="C102" i="8"/>
  <c r="D102" i="8"/>
  <c r="E102" i="8"/>
  <c r="F102" i="8"/>
  <c r="G102" i="8"/>
  <c r="H102" i="8"/>
  <c r="I102" i="8"/>
  <c r="J102" i="8"/>
  <c r="K102" i="8"/>
  <c r="L102" i="8"/>
  <c r="C103" i="8"/>
  <c r="D103" i="8"/>
  <c r="E103" i="8"/>
  <c r="F103" i="8"/>
  <c r="G103" i="8"/>
  <c r="H103" i="8"/>
  <c r="I103" i="8"/>
  <c r="J103" i="8"/>
  <c r="K103" i="8"/>
  <c r="L103" i="8"/>
  <c r="C104" i="8"/>
  <c r="D104" i="8"/>
  <c r="E104" i="8"/>
  <c r="F104" i="8"/>
  <c r="G104" i="8"/>
  <c r="H104" i="8"/>
  <c r="I104" i="8"/>
  <c r="J104" i="8"/>
  <c r="K104" i="8"/>
  <c r="L104" i="8"/>
  <c r="D97" i="8"/>
  <c r="E97" i="8"/>
  <c r="F97" i="8"/>
  <c r="G97" i="8"/>
  <c r="H97" i="8"/>
  <c r="I97" i="8"/>
  <c r="J97" i="8"/>
  <c r="K97" i="8"/>
  <c r="L97" i="8"/>
  <c r="D94" i="8"/>
  <c r="E94" i="8"/>
  <c r="F94" i="8"/>
  <c r="G94" i="8"/>
  <c r="H94" i="8"/>
  <c r="I94" i="8"/>
  <c r="J94" i="8"/>
  <c r="K94" i="8"/>
  <c r="L94" i="8"/>
  <c r="C94" i="8"/>
  <c r="C84" i="8"/>
  <c r="D84" i="8"/>
  <c r="E84" i="8"/>
  <c r="F84" i="8"/>
  <c r="G84" i="8"/>
  <c r="H84" i="8"/>
  <c r="I84" i="8"/>
  <c r="J84" i="8"/>
  <c r="K84" i="8"/>
  <c r="L84" i="8"/>
  <c r="C85" i="8"/>
  <c r="D85" i="8"/>
  <c r="E85" i="8"/>
  <c r="F85" i="8"/>
  <c r="G85" i="8"/>
  <c r="H85" i="8"/>
  <c r="I85" i="8"/>
  <c r="J85" i="8"/>
  <c r="K85" i="8"/>
  <c r="L85" i="8"/>
  <c r="C86" i="8"/>
  <c r="D86" i="8"/>
  <c r="E86" i="8"/>
  <c r="F86" i="8"/>
  <c r="G86" i="8"/>
  <c r="H86" i="8"/>
  <c r="I86" i="8"/>
  <c r="J86" i="8"/>
  <c r="K86" i="8"/>
  <c r="L86" i="8"/>
  <c r="C87" i="8"/>
  <c r="D87" i="8"/>
  <c r="E87" i="8"/>
  <c r="F87" i="8"/>
  <c r="G87" i="8"/>
  <c r="H87" i="8"/>
  <c r="I87" i="8"/>
  <c r="J87" i="8"/>
  <c r="K87" i="8"/>
  <c r="L87" i="8"/>
  <c r="C88" i="8"/>
  <c r="D88" i="8"/>
  <c r="E88" i="8"/>
  <c r="F88" i="8"/>
  <c r="G88" i="8"/>
  <c r="H88" i="8"/>
  <c r="I88" i="8"/>
  <c r="J88" i="8"/>
  <c r="K88" i="8"/>
  <c r="L88" i="8"/>
  <c r="C89" i="8"/>
  <c r="D89" i="8"/>
  <c r="E89" i="8"/>
  <c r="F89" i="8"/>
  <c r="G89" i="8"/>
  <c r="H89" i="8"/>
  <c r="I89" i="8"/>
  <c r="J89" i="8"/>
  <c r="K89" i="8"/>
  <c r="L89" i="8"/>
  <c r="C90" i="8"/>
  <c r="D90" i="8"/>
  <c r="E90" i="8"/>
  <c r="F90" i="8"/>
  <c r="G90" i="8"/>
  <c r="H90" i="8"/>
  <c r="I90" i="8"/>
  <c r="J90" i="8"/>
  <c r="K90" i="8"/>
  <c r="L90" i="8"/>
  <c r="C91" i="8"/>
  <c r="D91" i="8"/>
  <c r="E91" i="8"/>
  <c r="F91" i="8"/>
  <c r="G91" i="8"/>
  <c r="H91" i="8"/>
  <c r="I91" i="8"/>
  <c r="J91" i="8"/>
  <c r="K91" i="8"/>
  <c r="L91" i="8"/>
  <c r="C92" i="8"/>
  <c r="D92" i="8"/>
  <c r="E92" i="8"/>
  <c r="F92" i="8"/>
  <c r="G92" i="8"/>
  <c r="H92" i="8"/>
  <c r="I92" i="8"/>
  <c r="J92" i="8"/>
  <c r="K92" i="8"/>
  <c r="L92" i="8"/>
  <c r="C93" i="8"/>
  <c r="D93" i="8"/>
  <c r="E93" i="8"/>
  <c r="F93" i="8"/>
  <c r="G93" i="8"/>
  <c r="H93" i="8"/>
  <c r="I93" i="8"/>
  <c r="J93" i="8"/>
  <c r="K93" i="8"/>
  <c r="L93" i="8"/>
  <c r="D83" i="8"/>
  <c r="E83" i="8"/>
  <c r="F83" i="8"/>
  <c r="G83" i="8"/>
  <c r="H83" i="8"/>
  <c r="I83" i="8"/>
  <c r="J83" i="8"/>
  <c r="K83" i="8"/>
  <c r="L83" i="8"/>
  <c r="C83" i="8"/>
  <c r="D80" i="8"/>
  <c r="E80" i="8"/>
  <c r="F80" i="8"/>
  <c r="G80" i="8"/>
  <c r="H80" i="8"/>
  <c r="I80" i="8"/>
  <c r="J80" i="8"/>
  <c r="K80" i="8"/>
  <c r="L80" i="8"/>
  <c r="C80" i="8"/>
  <c r="D72" i="8"/>
  <c r="E72" i="8"/>
  <c r="F72" i="8"/>
  <c r="G72" i="8"/>
  <c r="H72" i="8"/>
  <c r="I72" i="8"/>
  <c r="J72" i="8"/>
  <c r="K72" i="8"/>
  <c r="L72" i="8"/>
  <c r="D73" i="8"/>
  <c r="E73" i="8"/>
  <c r="F73" i="8"/>
  <c r="G73" i="8"/>
  <c r="H73" i="8"/>
  <c r="I73" i="8"/>
  <c r="J73" i="8"/>
  <c r="K73" i="8"/>
  <c r="L73" i="8"/>
  <c r="D74" i="8"/>
  <c r="E74" i="8"/>
  <c r="F74" i="8"/>
  <c r="G74" i="8"/>
  <c r="H74" i="8"/>
  <c r="I74" i="8"/>
  <c r="J74" i="8"/>
  <c r="K74" i="8"/>
  <c r="L74" i="8"/>
  <c r="D75" i="8"/>
  <c r="E75" i="8"/>
  <c r="F75" i="8"/>
  <c r="G75" i="8"/>
  <c r="H75" i="8"/>
  <c r="I75" i="8"/>
  <c r="J75" i="8"/>
  <c r="K75" i="8"/>
  <c r="L75" i="8"/>
  <c r="D76" i="8"/>
  <c r="E76" i="8"/>
  <c r="F76" i="8"/>
  <c r="G76" i="8"/>
  <c r="H76" i="8"/>
  <c r="I76" i="8"/>
  <c r="J76" i="8"/>
  <c r="K76" i="8"/>
  <c r="L76" i="8"/>
  <c r="D77" i="8"/>
  <c r="E77" i="8"/>
  <c r="F77" i="8"/>
  <c r="G77" i="8"/>
  <c r="H77" i="8"/>
  <c r="I77" i="8"/>
  <c r="J77" i="8"/>
  <c r="K77" i="8"/>
  <c r="L77" i="8"/>
  <c r="D78" i="8"/>
  <c r="E78" i="8"/>
  <c r="F78" i="8"/>
  <c r="G78" i="8"/>
  <c r="H78" i="8"/>
  <c r="I78" i="8"/>
  <c r="J78" i="8"/>
  <c r="K78" i="8"/>
  <c r="L78" i="8"/>
  <c r="D79" i="8"/>
  <c r="E79" i="8"/>
  <c r="F79" i="8"/>
  <c r="G79" i="8"/>
  <c r="H79" i="8"/>
  <c r="I79" i="8"/>
  <c r="J79" i="8"/>
  <c r="K79" i="8"/>
  <c r="L79" i="8"/>
  <c r="C73" i="8"/>
  <c r="C74" i="8"/>
  <c r="C75" i="8"/>
  <c r="C76" i="8"/>
  <c r="C77" i="8"/>
  <c r="C78" i="8"/>
  <c r="C79" i="8"/>
  <c r="C72" i="8"/>
  <c r="D67" i="8"/>
  <c r="E67" i="8"/>
  <c r="F67" i="8"/>
  <c r="G67" i="8"/>
  <c r="H67" i="8"/>
  <c r="I67" i="8"/>
  <c r="J67" i="8"/>
  <c r="K67" i="8"/>
  <c r="L67" i="8"/>
  <c r="C67" i="8"/>
  <c r="D58" i="8"/>
  <c r="E58" i="8"/>
  <c r="F58" i="8"/>
  <c r="G58" i="8"/>
  <c r="G65" i="8" s="1"/>
  <c r="H58" i="8"/>
  <c r="I58" i="8"/>
  <c r="J58" i="8"/>
  <c r="J65" i="8" s="1"/>
  <c r="K58" i="8"/>
  <c r="K65" i="8" s="1"/>
  <c r="L58" i="8"/>
  <c r="C58" i="8"/>
  <c r="C65" i="8" s="1"/>
  <c r="D57" i="8"/>
  <c r="E57" i="8"/>
  <c r="F57" i="8"/>
  <c r="G57" i="8"/>
  <c r="H57" i="8"/>
  <c r="I57" i="8"/>
  <c r="J57" i="8"/>
  <c r="K57" i="8"/>
  <c r="L57" i="8"/>
  <c r="F65" i="8"/>
  <c r="C57" i="8"/>
  <c r="D65" i="8"/>
  <c r="E65" i="8"/>
  <c r="H65" i="8"/>
  <c r="I65" i="8"/>
  <c r="L65" i="8"/>
  <c r="D63" i="8"/>
  <c r="E63" i="8"/>
  <c r="F63" i="8"/>
  <c r="G63" i="8"/>
  <c r="H63" i="8"/>
  <c r="I63" i="8"/>
  <c r="J63" i="8"/>
  <c r="K63" i="8"/>
  <c r="L63" i="8"/>
  <c r="C63" i="8"/>
  <c r="D60" i="8"/>
  <c r="E60" i="8"/>
  <c r="F60" i="8"/>
  <c r="G60" i="8"/>
  <c r="H60" i="8"/>
  <c r="I60" i="8"/>
  <c r="J60" i="8"/>
  <c r="K60" i="8"/>
  <c r="L60" i="8"/>
  <c r="D61" i="8"/>
  <c r="E61" i="8"/>
  <c r="F61" i="8"/>
  <c r="G61" i="8"/>
  <c r="H61" i="8"/>
  <c r="I61" i="8"/>
  <c r="J61" i="8"/>
  <c r="K61" i="8"/>
  <c r="L61" i="8"/>
  <c r="D62" i="8"/>
  <c r="E62" i="8"/>
  <c r="F62" i="8"/>
  <c r="G62" i="8"/>
  <c r="H62" i="8"/>
  <c r="I62" i="8"/>
  <c r="J62" i="8"/>
  <c r="K62" i="8"/>
  <c r="L62" i="8"/>
  <c r="C61" i="8"/>
  <c r="C62" i="8"/>
  <c r="C60" i="8"/>
  <c r="D54" i="8"/>
  <c r="E54" i="8"/>
  <c r="F54" i="8"/>
  <c r="G54" i="8"/>
  <c r="H54" i="8"/>
  <c r="I54" i="8"/>
  <c r="J54" i="8"/>
  <c r="K54" i="8"/>
  <c r="L54" i="8"/>
  <c r="D55" i="8"/>
  <c r="E55" i="8"/>
  <c r="F55" i="8"/>
  <c r="G55" i="8"/>
  <c r="H55" i="8"/>
  <c r="I55" i="8"/>
  <c r="J55" i="8"/>
  <c r="K55" i="8"/>
  <c r="L55" i="8"/>
  <c r="D56" i="8"/>
  <c r="E56" i="8"/>
  <c r="F56" i="8"/>
  <c r="G56" i="8"/>
  <c r="H56" i="8"/>
  <c r="I56" i="8"/>
  <c r="J56" i="8"/>
  <c r="K56" i="8"/>
  <c r="L56" i="8"/>
  <c r="C55" i="8"/>
  <c r="C56" i="8"/>
  <c r="C54" i="8"/>
  <c r="C52" i="8"/>
  <c r="D51" i="8"/>
  <c r="E51" i="8"/>
  <c r="F51" i="8"/>
  <c r="G51" i="8"/>
  <c r="H51" i="8"/>
  <c r="I51" i="8"/>
  <c r="J51" i="8"/>
  <c r="K51" i="8"/>
  <c r="L51" i="8"/>
  <c r="D52" i="8"/>
  <c r="E52" i="8"/>
  <c r="F52" i="8"/>
  <c r="G52" i="8"/>
  <c r="H52" i="8"/>
  <c r="I52" i="8"/>
  <c r="J52" i="8"/>
  <c r="K52" i="8"/>
  <c r="L52" i="8"/>
  <c r="D48" i="8"/>
  <c r="E48" i="8"/>
  <c r="F48" i="8"/>
  <c r="G48" i="8"/>
  <c r="H48" i="8"/>
  <c r="I48" i="8"/>
  <c r="J48" i="8"/>
  <c r="K48" i="8"/>
  <c r="L48" i="8"/>
  <c r="D49" i="8"/>
  <c r="E49" i="8"/>
  <c r="F49" i="8"/>
  <c r="G49" i="8"/>
  <c r="H49" i="8"/>
  <c r="I49" i="8"/>
  <c r="J49" i="8"/>
  <c r="K49" i="8"/>
  <c r="L49" i="8"/>
  <c r="D50" i="8"/>
  <c r="E50" i="8"/>
  <c r="F50" i="8"/>
  <c r="G50" i="8"/>
  <c r="H50" i="8"/>
  <c r="I50" i="8"/>
  <c r="J50" i="8"/>
  <c r="K50" i="8"/>
  <c r="L50" i="8"/>
  <c r="C49" i="8"/>
  <c r="C50" i="8"/>
  <c r="C51" i="8"/>
  <c r="C48" i="8"/>
  <c r="D36" i="8"/>
  <c r="D40" i="8" s="1"/>
  <c r="E36" i="8"/>
  <c r="E40" i="8" s="1"/>
  <c r="F36" i="8"/>
  <c r="F40" i="8" s="1"/>
  <c r="G36" i="8"/>
  <c r="G40" i="8" s="1"/>
  <c r="H36" i="8"/>
  <c r="H40" i="8" s="1"/>
  <c r="I36" i="8"/>
  <c r="I40" i="8" s="1"/>
  <c r="J36" i="8"/>
  <c r="J40" i="8" s="1"/>
  <c r="K36" i="8"/>
  <c r="K40" i="8" s="1"/>
  <c r="L36" i="8"/>
  <c r="L40" i="8" s="1"/>
  <c r="C36" i="8"/>
  <c r="C40" i="8" s="1"/>
  <c r="D30" i="8"/>
  <c r="E30" i="8"/>
  <c r="F30" i="8"/>
  <c r="G30" i="8"/>
  <c r="H30" i="8"/>
  <c r="I30" i="8"/>
  <c r="J30" i="8"/>
  <c r="K30" i="8"/>
  <c r="L30" i="8"/>
  <c r="C30" i="8"/>
  <c r="D24" i="8"/>
  <c r="E24" i="8"/>
  <c r="F24" i="8"/>
  <c r="G24" i="8"/>
  <c r="H24" i="8"/>
  <c r="I24" i="8"/>
  <c r="J24" i="8"/>
  <c r="K24" i="8"/>
  <c r="L24" i="8"/>
  <c r="C24" i="8"/>
  <c r="D21" i="8"/>
  <c r="E21" i="8"/>
  <c r="F21" i="8"/>
  <c r="G21" i="8"/>
  <c r="H21" i="8"/>
  <c r="I21" i="8"/>
  <c r="J21" i="8"/>
  <c r="K21" i="8"/>
  <c r="L21" i="8"/>
  <c r="C21" i="8"/>
  <c r="D15" i="8"/>
  <c r="E15" i="8"/>
  <c r="F15" i="8"/>
  <c r="G15" i="8"/>
  <c r="G16" i="8" s="1"/>
  <c r="H15" i="8"/>
  <c r="I15" i="8"/>
  <c r="J15" i="8"/>
  <c r="K15" i="8"/>
  <c r="K16" i="8" s="1"/>
  <c r="L15" i="8"/>
  <c r="C15" i="8"/>
  <c r="M9" i="8"/>
  <c r="C10" i="8"/>
  <c r="D9" i="8"/>
  <c r="E9" i="8"/>
  <c r="F9" i="8"/>
  <c r="G9" i="8"/>
  <c r="G10" i="8" s="1"/>
  <c r="H9" i="8"/>
  <c r="I9" i="8"/>
  <c r="J9" i="8"/>
  <c r="K9" i="8"/>
  <c r="K10" i="8" s="1"/>
  <c r="L9" i="8"/>
  <c r="C9" i="8"/>
  <c r="M6" i="8"/>
  <c r="D6" i="8"/>
  <c r="D12" i="8" s="1"/>
  <c r="D18" i="8" s="1"/>
  <c r="D19" i="8" s="1"/>
  <c r="E6" i="8"/>
  <c r="F6" i="8"/>
  <c r="F7" i="8" s="1"/>
  <c r="G6" i="8"/>
  <c r="H6" i="8"/>
  <c r="H25" i="8" s="1"/>
  <c r="I6" i="8"/>
  <c r="J6" i="8"/>
  <c r="J7" i="8" s="1"/>
  <c r="K6" i="8"/>
  <c r="L6" i="8"/>
  <c r="L25" i="8" s="1"/>
  <c r="C6" i="8"/>
  <c r="E3" i="8"/>
  <c r="F3" i="8"/>
  <c r="G3" i="8"/>
  <c r="H3" i="8"/>
  <c r="I3" i="8"/>
  <c r="J3" i="8"/>
  <c r="K3" i="8"/>
  <c r="L3" i="8"/>
  <c r="B6" i="6"/>
  <c r="E1" i="6"/>
  <c r="E10" i="8" l="1"/>
  <c r="K25" i="8"/>
  <c r="G25" i="8"/>
  <c r="M7" i="8"/>
  <c r="C25" i="8"/>
  <c r="I25" i="8"/>
  <c r="D10" i="8"/>
  <c r="L10" i="8"/>
  <c r="D7" i="8"/>
  <c r="I10" i="8"/>
  <c r="K22" i="8"/>
  <c r="G22" i="8"/>
  <c r="E7" i="8"/>
  <c r="M12" i="8"/>
  <c r="L7" i="8"/>
  <c r="H10" i="8"/>
  <c r="J10" i="8"/>
  <c r="F16" i="8"/>
  <c r="J25" i="8"/>
  <c r="D13" i="8"/>
  <c r="E16" i="8"/>
  <c r="E22" i="8"/>
  <c r="F10" i="8"/>
  <c r="J16" i="8"/>
  <c r="F25" i="8"/>
  <c r="D22" i="8"/>
  <c r="I7" i="8"/>
  <c r="L12" i="8"/>
  <c r="C16" i="8"/>
  <c r="I16" i="8"/>
  <c r="E25" i="8"/>
  <c r="H7" i="8"/>
  <c r="H12" i="8"/>
  <c r="L16" i="8"/>
  <c r="H16" i="8"/>
  <c r="D16" i="8"/>
  <c r="J22" i="8"/>
  <c r="F22" i="8"/>
  <c r="D25" i="8"/>
  <c r="D27" i="8"/>
  <c r="K12" i="8"/>
  <c r="G12" i="8"/>
  <c r="K7" i="8"/>
  <c r="G7" i="8"/>
  <c r="M10" i="8"/>
  <c r="J12" i="8"/>
  <c r="F12" i="8"/>
  <c r="C12" i="8"/>
  <c r="I12" i="8"/>
  <c r="E12" i="8"/>
  <c r="C22" i="8"/>
  <c r="I22" i="8"/>
  <c r="L22" i="8"/>
  <c r="H22" i="8"/>
  <c r="D33" i="8" l="1"/>
  <c r="D31" i="8"/>
  <c r="D28" i="8"/>
  <c r="C18" i="8"/>
  <c r="C13" i="8"/>
  <c r="L18" i="8"/>
  <c r="L13" i="8"/>
  <c r="F18" i="8"/>
  <c r="F13" i="8"/>
  <c r="E18" i="8"/>
  <c r="E13" i="8"/>
  <c r="J18" i="8"/>
  <c r="J13" i="8"/>
  <c r="G18" i="8"/>
  <c r="G13" i="8"/>
  <c r="I18" i="8"/>
  <c r="I13" i="8"/>
  <c r="K18" i="8"/>
  <c r="K13" i="8"/>
  <c r="H18" i="8"/>
  <c r="H13" i="8"/>
  <c r="D38" i="8" l="1"/>
  <c r="D34" i="8"/>
  <c r="K19" i="8"/>
  <c r="K27" i="8"/>
  <c r="G19" i="8"/>
  <c r="G27" i="8"/>
  <c r="E19" i="8"/>
  <c r="E27" i="8"/>
  <c r="L19" i="8"/>
  <c r="L27" i="8"/>
  <c r="H19" i="8"/>
  <c r="H27" i="8"/>
  <c r="I19" i="8"/>
  <c r="I27" i="8"/>
  <c r="J19" i="8"/>
  <c r="J27" i="8"/>
  <c r="F19" i="8"/>
  <c r="F27" i="8"/>
  <c r="C19" i="8"/>
  <c r="C27" i="8"/>
  <c r="H33" i="8" l="1"/>
  <c r="H31" i="8"/>
  <c r="H28" i="8"/>
  <c r="K28" i="8"/>
  <c r="K33" i="8"/>
  <c r="K31" i="8"/>
  <c r="C33" i="8"/>
  <c r="C28" i="8"/>
  <c r="C31" i="8"/>
  <c r="E28" i="8"/>
  <c r="E33" i="8"/>
  <c r="E31" i="8"/>
  <c r="I33" i="8"/>
  <c r="I28" i="8"/>
  <c r="I31" i="8"/>
  <c r="G28" i="8"/>
  <c r="G33" i="8"/>
  <c r="G31" i="8"/>
  <c r="J28" i="8"/>
  <c r="J33" i="8"/>
  <c r="J31" i="8"/>
  <c r="F28" i="8"/>
  <c r="F33" i="8"/>
  <c r="F31" i="8"/>
  <c r="L33" i="8"/>
  <c r="L31" i="8"/>
  <c r="L28" i="8"/>
  <c r="D43" i="8"/>
  <c r="D41" i="8"/>
  <c r="J38" i="8" l="1"/>
  <c r="J34" i="8"/>
  <c r="F38" i="8"/>
  <c r="F34" i="8"/>
  <c r="E38" i="8"/>
  <c r="E34" i="8"/>
  <c r="C38" i="8"/>
  <c r="C34" i="8"/>
  <c r="L38" i="8"/>
  <c r="L34" i="8"/>
  <c r="G38" i="8"/>
  <c r="G34" i="8"/>
  <c r="I38" i="8"/>
  <c r="I34" i="8"/>
  <c r="K38" i="8"/>
  <c r="K34" i="8"/>
  <c r="H38" i="8"/>
  <c r="H34" i="8"/>
  <c r="K43" i="8" l="1"/>
  <c r="K41" i="8"/>
  <c r="C41" i="8"/>
  <c r="C43" i="8" s="1"/>
  <c r="G43" i="8"/>
  <c r="G41" i="8"/>
  <c r="F41" i="8"/>
  <c r="F43" i="8" s="1"/>
  <c r="H43" i="8"/>
  <c r="H41" i="8"/>
  <c r="I43" i="8"/>
  <c r="I41" i="8"/>
  <c r="L41" i="8"/>
  <c r="L43" i="8" s="1"/>
  <c r="E41" i="8"/>
  <c r="E43" i="8" s="1"/>
  <c r="J43" i="8"/>
  <c r="J41" i="8"/>
</calcChain>
</file>

<file path=xl/sharedStrings.xml><?xml version="1.0" encoding="utf-8"?>
<sst xmlns="http://schemas.openxmlformats.org/spreadsheetml/2006/main" count="192" uniqueCount="129">
  <si>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</si>
  <si>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</si>
  <si>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</si>
  <si>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</si>
  <si>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</si>
  <si>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</si>
  <si>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</si>
  <si>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</si>
  <si>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</si>
  <si>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</si>
  <si>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</si>
  <si>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</si>
  <si>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</si>
  <si>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</si>
  <si>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</si>
  <si>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</si>
  <si>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</si>
  <si>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</si>
  <si>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</si>
  <si>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</si>
  <si>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</si>
  <si>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</si>
  <si>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</si>
  <si>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</si>
  <si>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</si>
  <si>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</si>
  <si>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</si>
  <si>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</si>
  <si>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</si>
  <si>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</si>
  <si>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</si>
  <si>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</si>
  <si>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</si>
  <si>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</si>
  <si>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</si>
  <si>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</si>
  <si>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</si>
  <si>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</si>
  <si>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</si>
  <si>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</si>
  <si>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</si>
  <si>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</si>
  <si>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</si>
  <si>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</si>
  <si>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</si>
  <si>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</si>
  <si>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</si>
  <si>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</si>
  <si>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</si>
  <si>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</si>
  <si>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</si>
  <si>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</si>
  <si>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</si>
  <si>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</si>
  <si>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</si>
  <si>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Years</t>
  </si>
  <si>
    <t>LTM</t>
  </si>
  <si>
    <t>Income Statement</t>
  </si>
  <si>
    <t>#</t>
  </si>
  <si>
    <t>-</t>
  </si>
  <si>
    <t>COGS</t>
  </si>
  <si>
    <t>COGS % sales</t>
  </si>
  <si>
    <t>Gross Profit</t>
  </si>
  <si>
    <t>EBITDA</t>
  </si>
  <si>
    <t>S &amp; G expense</t>
  </si>
  <si>
    <t>EBITDA Margin</t>
  </si>
  <si>
    <t>Interest % sales</t>
  </si>
  <si>
    <t>Depriciation % sales</t>
  </si>
  <si>
    <t>Gross Margin</t>
  </si>
  <si>
    <t>EBT</t>
  </si>
  <si>
    <t xml:space="preserve"> </t>
  </si>
  <si>
    <t xml:space="preserve"> EBT % sales</t>
  </si>
  <si>
    <t>Effective Tax rate</t>
  </si>
  <si>
    <t>Net Profit</t>
  </si>
  <si>
    <t>Net Margin</t>
  </si>
  <si>
    <t>No. of Equity shares</t>
  </si>
  <si>
    <t>EPS</t>
  </si>
  <si>
    <t>Dividend per share</t>
  </si>
  <si>
    <t>Dividend Payout ratio</t>
  </si>
  <si>
    <t>Retainted Earnings</t>
  </si>
  <si>
    <t>Balance Sheet</t>
  </si>
  <si>
    <t>Total Liability</t>
  </si>
  <si>
    <t>Total Non-current  Asset</t>
  </si>
  <si>
    <t>Total current  Asset</t>
  </si>
  <si>
    <t>Total Assets</t>
  </si>
  <si>
    <t>Check</t>
  </si>
  <si>
    <t>Cash from Operating Activity 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</si>
  <si>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</si>
  <si>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</si>
  <si>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</si>
  <si>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</si>
  <si>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</si>
  <si>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</si>
  <si>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</si>
  <si>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</si>
  <si>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</si>
  <si>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</si>
  <si>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</si>
  <si>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</si>
  <si>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</si>
  <si>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</si>
  <si>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</si>
  <si>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</si>
  <si>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</si>
  <si>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</si>
  <si>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 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</si>
  <si>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</si>
  <si>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</si>
  <si>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</si>
  <si>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</si>
  <si>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</si>
  <si>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</si>
  <si>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</si>
  <si>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</si>
  <si>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Flow Statements</t>
  </si>
  <si>
    <t>Cash from Operating activities</t>
  </si>
  <si>
    <t xml:space="preserve"> Operating activities</t>
  </si>
  <si>
    <t>Investing Activity</t>
  </si>
  <si>
    <t>Cash from Investing activities</t>
  </si>
  <si>
    <t>Financing Activities</t>
  </si>
  <si>
    <t>Cash from Financing activities</t>
  </si>
  <si>
    <t>EBITDA Growth</t>
  </si>
  <si>
    <t>EBIT Growth</t>
  </si>
  <si>
    <t>Net Profit Growth</t>
  </si>
  <si>
    <t>Dividend Growth</t>
  </si>
  <si>
    <t>EBT Margin</t>
  </si>
  <si>
    <t>Net Profit Margin</t>
  </si>
  <si>
    <t>EBIT Margin</t>
  </si>
  <si>
    <t>S &amp; G expenses %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</si>
</sst>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0;\(&quot;₹&quot;#,##0.00\);\-"/>
    <numFmt numFmtId="167" formatCode="&quot;₹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b/>
      <sz val="11"/>
      <color rgb="FF22222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dotted">
        <color rgb="FF002060"/>
      </top>
      <bottom style="dotted">
        <color rgb="FF002060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43" fontId="1" fillId="0" borderId="0" xfId="1" applyFont="1" applyBorder="1"/>
    <xf numFmtId="0" fontId="1" fillId="0" borderId="0" xfId="0" applyFont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0" fontId="7" fillId="4" borderId="0" xfId="0" applyFont="1" applyFill="1"/>
    <xf numFmtId="17" fontId="7" fillId="4" borderId="0" xfId="0" applyNumberFormat="1" applyFont="1" applyFill="1"/>
    <xf numFmtId="17" fontId="7" fillId="4" borderId="0" xfId="0" applyNumberFormat="1" applyFont="1" applyFill="1" applyAlignment="1">
      <alignment horizontal="right"/>
    </xf>
    <xf numFmtId="166" fontId="0" fillId="0" borderId="0" xfId="0" applyNumberFormat="1"/>
    <xf numFmtId="0" fontId="0" fillId="0" borderId="0" xfId="0" applyAlignment="1">
      <alignment horizontal="right"/>
    </xf>
    <xf numFmtId="10" fontId="0" fillId="0" borderId="0" xfId="4" applyNumberFormat="1" applyFont="1"/>
    <xf numFmtId="10" fontId="8" fillId="0" borderId="0" xfId="4" applyNumberFormat="1" applyFont="1"/>
    <xf numFmtId="167" fontId="0" fillId="0" borderId="0" xfId="0" applyNumberFormat="1"/>
    <xf numFmtId="0" fontId="0" fillId="5" borderId="0" xfId="0" applyFill="1"/>
    <xf numFmtId="0" fontId="7" fillId="5" borderId="0" xfId="0" applyFont="1" applyFill="1"/>
    <xf numFmtId="17" fontId="7" fillId="5" borderId="0" xfId="0" applyNumberFormat="1" applyFont="1" applyFill="1"/>
    <xf numFmtId="17" fontId="7" fillId="5" borderId="0" xfId="0" applyNumberFormat="1" applyFont="1" applyFill="1" applyAlignment="1">
      <alignment horizontal="right"/>
    </xf>
    <xf numFmtId="2" fontId="0" fillId="0" borderId="0" xfId="0" applyNumberFormat="1"/>
    <xf numFmtId="167" fontId="1" fillId="0" borderId="0" xfId="0" applyNumberFormat="1" applyFont="1"/>
    <xf numFmtId="0" fontId="8" fillId="0" borderId="0" xfId="0" applyFont="1"/>
    <xf numFmtId="17" fontId="9" fillId="6" borderId="0" xfId="0" applyNumberFormat="1" applyFont="1" applyFill="1" applyAlignment="1">
      <alignment horizontal="right" vertical="center" wrapText="1" indent="1"/>
    </xf>
    <xf numFmtId="0" fontId="10" fillId="6" borderId="0" xfId="0" applyFont="1" applyFill="1" applyAlignment="1">
      <alignment horizontal="left" vertical="center" indent="1"/>
    </xf>
    <xf numFmtId="3" fontId="10" fillId="6" borderId="0" xfId="0" applyNumberFormat="1" applyFont="1" applyFill="1" applyAlignment="1">
      <alignment horizontal="right" vertical="center" wrapText="1" indent="1"/>
    </xf>
    <xf numFmtId="0" fontId="10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3" fontId="11" fillId="6" borderId="0" xfId="0" applyNumberFormat="1" applyFont="1" applyFill="1" applyAlignment="1">
      <alignment horizontal="right" vertical="center" wrapText="1" indent="1"/>
    </xf>
    <xf numFmtId="0" fontId="11" fillId="6" borderId="0" xfId="0" applyFont="1" applyFill="1" applyAlignment="1">
      <alignment horizontal="right" vertical="center" wrapText="1" indent="1"/>
    </xf>
    <xf numFmtId="0" fontId="10" fillId="6" borderId="0" xfId="0" applyFont="1" applyFill="1" applyAlignment="1">
      <alignment horizontal="right" vertical="center" wrapText="1" indent="1"/>
    </xf>
    <xf numFmtId="0" fontId="0" fillId="7" borderId="0" xfId="0" applyFill="1"/>
    <xf numFmtId="0" fontId="1" fillId="7" borderId="0" xfId="0" applyFont="1" applyFill="1"/>
    <xf numFmtId="10" fontId="1" fillId="0" borderId="0" xfId="4" applyNumberFormat="1" applyFont="1"/>
    <xf numFmtId="0" fontId="1" fillId="0" borderId="1" xfId="0" applyFont="1" applyBorder="1"/>
    <xf numFmtId="43" fontId="1" fillId="0" borderId="1" xfId="1" applyFont="1" applyBorder="1"/>
    <xf numFmtId="167" fontId="1" fillId="0" borderId="1" xfId="0" applyNumberFormat="1" applyFont="1" applyBorder="1"/>
    <xf numFmtId="43" fontId="1" fillId="0" borderId="1" xfId="1" applyFont="1" applyFill="1" applyBorder="1"/>
    <xf numFmtId="166" fontId="1" fillId="0" borderId="1" xfId="0" applyNumberFormat="1" applyFont="1" applyBorder="1"/>
    <xf numFmtId="0" fontId="7" fillId="4" borderId="0" xfId="0" applyFont="1" applyFill="1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0" fontId="12" fillId="6" borderId="2" xfId="0" applyFont="1" applyFill="1" applyBorder="1" applyAlignment="1">
      <alignment horizontal="left" vertical="center"/>
    </xf>
    <xf numFmtId="166" fontId="1" fillId="0" borderId="2" xfId="0" applyNumberFormat="1" applyFont="1" applyBorder="1"/>
    <xf numFmtId="0" fontId="1" fillId="0" borderId="2" xfId="0" applyFont="1" applyBorder="1"/>
    <xf numFmtId="166" fontId="0" fillId="0" borderId="2" xfId="0" applyNumberFormat="1" applyBorder="1"/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2868-5F75-4926-B37E-A2EB566713D0}">
  <sheetPr>
    <tabColor theme="7" tint="-0.249977111117893"/>
  </sheetPr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284F-217F-4B79-AA41-EEBEF119BD5B}">
  <dimension ref="A1:M107"/>
  <sheetViews>
    <sheetView showGridLines="0" workbookViewId="0">
      <pane ySplit="3" topLeftCell="A4" activePane="bottomLeft" state="frozen"/>
      <selection pane="bottomLeft" activeCell="B16" sqref="B16"/>
    </sheetView>
  </sheetViews>
  <sheetFormatPr defaultRowHeight="15" x14ac:dyDescent="0.25"/>
  <cols>
    <col min="1" max="1" width="2" bestFit="1" customWidth="1"/>
    <col min="2" max="2" width="31.7109375" bestFit="1" customWidth="1"/>
    <col min="3" max="13" width="12.28515625" bestFit="1" customWidth="1"/>
  </cols>
  <sheetData>
    <row r="1" spans="1:13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B2" s="40" t="str">
        <f>" Historical Financial Statements - "&amp;'Data Sheet'!$B$1</f>
        <v xml:space="preserve"> Historical Financial Statements - TATA MOTORS LTD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x14ac:dyDescent="0.25">
      <c r="B3" s="9" t="s">
        <v>55</v>
      </c>
      <c r="C3" s="10">
        <f>'Data Sheet'!$B$16</f>
        <v>42094</v>
      </c>
      <c r="D3" s="10">
        <f>'Data Sheet'!C16</f>
        <v>42460</v>
      </c>
      <c r="E3" s="10">
        <f>'Data Sheet'!D16</f>
        <v>42825</v>
      </c>
      <c r="F3" s="10">
        <f>'Data Sheet'!E16</f>
        <v>43190</v>
      </c>
      <c r="G3" s="10">
        <f>'Data Sheet'!F16</f>
        <v>43555</v>
      </c>
      <c r="H3" s="10">
        <f>'Data Sheet'!G16</f>
        <v>43921</v>
      </c>
      <c r="I3" s="10">
        <f>'Data Sheet'!H16</f>
        <v>44286</v>
      </c>
      <c r="J3" s="10">
        <f>'Data Sheet'!I16</f>
        <v>44651</v>
      </c>
      <c r="K3" s="10">
        <f>'Data Sheet'!J16</f>
        <v>45016</v>
      </c>
      <c r="L3" s="10">
        <f>'Data Sheet'!K16</f>
        <v>45382</v>
      </c>
      <c r="M3" s="11" t="s">
        <v>56</v>
      </c>
    </row>
    <row r="4" spans="1:13" s="17" customFormat="1" x14ac:dyDescent="0.25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</row>
    <row r="5" spans="1:13" s="32" customFormat="1" x14ac:dyDescent="0.25">
      <c r="A5" s="32" t="s">
        <v>58</v>
      </c>
      <c r="B5" s="33" t="s">
        <v>57</v>
      </c>
    </row>
    <row r="6" spans="1:13" x14ac:dyDescent="0.25">
      <c r="B6" t="s">
        <v>1</v>
      </c>
      <c r="C6" s="12">
        <f>IFERROR('Data Sheet'!B17,0)</f>
        <v>263158.98</v>
      </c>
      <c r="D6" s="12">
        <f>IFERROR('Data Sheet'!C17,0)</f>
        <v>273045.59999999998</v>
      </c>
      <c r="E6" s="12">
        <f>IFERROR('Data Sheet'!D17,0)</f>
        <v>269692.51</v>
      </c>
      <c r="F6" s="12">
        <f>IFERROR('Data Sheet'!E17,0)</f>
        <v>291550.48</v>
      </c>
      <c r="G6" s="12">
        <f>IFERROR('Data Sheet'!F17,0)</f>
        <v>301938.40000000002</v>
      </c>
      <c r="H6" s="12">
        <f>IFERROR('Data Sheet'!G17,0)</f>
        <v>261067.97</v>
      </c>
      <c r="I6" s="12">
        <f>IFERROR('Data Sheet'!H17,0)</f>
        <v>249794.75</v>
      </c>
      <c r="J6" s="12">
        <f>IFERROR('Data Sheet'!I17,0)</f>
        <v>278453.62</v>
      </c>
      <c r="K6" s="12">
        <f>IFERROR('Data Sheet'!J17,0)</f>
        <v>345966.97</v>
      </c>
      <c r="L6" s="12">
        <f>IFERROR('Data Sheet'!K17,0)</f>
        <v>437927.77</v>
      </c>
      <c r="M6" s="12">
        <f>IFERROR(SUM('Data Sheet'!H42:K42),0)</f>
        <v>440061.14</v>
      </c>
    </row>
    <row r="7" spans="1:13" x14ac:dyDescent="0.25">
      <c r="B7" t="s">
        <v>10</v>
      </c>
      <c r="C7" s="13" t="s">
        <v>59</v>
      </c>
      <c r="D7" s="15">
        <f>D6/C6-1</f>
        <v>3.75690010654397E-2</v>
      </c>
      <c r="E7" s="15">
        <f t="shared" ref="E7:L7" si="0">E6/D6-1</f>
        <v>-1.2280329732469508E-2</v>
      </c>
      <c r="F7" s="15">
        <f t="shared" si="0"/>
        <v>8.104774581985974E-2</v>
      </c>
      <c r="G7" s="15">
        <f t="shared" si="0"/>
        <v>3.5629919045237157E-2</v>
      </c>
      <c r="H7" s="15">
        <f t="shared" si="0"/>
        <v>-0.135360159555724</v>
      </c>
      <c r="I7" s="15">
        <f t="shared" si="0"/>
        <v>-4.3181168490336042E-2</v>
      </c>
      <c r="J7" s="15">
        <f t="shared" si="0"/>
        <v>0.11472967306158344</v>
      </c>
      <c r="K7" s="15">
        <f t="shared" si="0"/>
        <v>0.24245815155859707</v>
      </c>
      <c r="L7" s="15">
        <f t="shared" si="0"/>
        <v>0.26580803363974326</v>
      </c>
      <c r="M7" s="15">
        <f>M6/L6-1</f>
        <v>4.8715111170045677E-3</v>
      </c>
    </row>
    <row r="9" spans="1:13" x14ac:dyDescent="0.25">
      <c r="B9" t="s">
        <v>60</v>
      </c>
      <c r="C9" s="12">
        <f>IFERROR(SUM('Data Sheet'!B18,'Data Sheet'!B20:B22)-1*'Data Sheet'!B19,0)</f>
        <v>202856.88</v>
      </c>
      <c r="D9" s="12">
        <f>IFERROR(SUM('Data Sheet'!C18,'Data Sheet'!C20:C22)-1*'Data Sheet'!C19,0)</f>
        <v>205509.07</v>
      </c>
      <c r="E9" s="12">
        <f>IFERROR(SUM('Data Sheet'!D18,'Data Sheet'!D20:D22)-1*'Data Sheet'!D19,0)</f>
        <v>205454.23999999996</v>
      </c>
      <c r="F9" s="12">
        <f>IFERROR(SUM('Data Sheet'!E18,'Data Sheet'!E20:E22)-1*'Data Sheet'!E19,0)</f>
        <v>228429.83</v>
      </c>
      <c r="G9" s="12">
        <f>IFERROR(SUM('Data Sheet'!F18,'Data Sheet'!F20:F22)-1*'Data Sheet'!F19,0)</f>
        <v>242845.53</v>
      </c>
      <c r="H9" s="12">
        <f>IFERROR(SUM('Data Sheet'!G18,'Data Sheet'!G20:G22)-1*'Data Sheet'!G19,0)</f>
        <v>210376.07000000004</v>
      </c>
      <c r="I9" s="12">
        <f>IFERROR(SUM('Data Sheet'!H18,'Data Sheet'!H20:H22)-1*'Data Sheet'!H19,0)</f>
        <v>195326.04</v>
      </c>
      <c r="J9" s="12">
        <f>IFERROR(SUM('Data Sheet'!I18,'Data Sheet'!I20:I22)-1*'Data Sheet'!I19,0)</f>
        <v>223300.00999999998</v>
      </c>
      <c r="K9" s="12">
        <f>IFERROR(SUM('Data Sheet'!J18,'Data Sheet'!J20:J22)-1*'Data Sheet'!J19,0)</f>
        <v>274403.64</v>
      </c>
      <c r="L9" s="12">
        <f>IFERROR(SUM('Data Sheet'!K18,'Data Sheet'!K20:K22)-1*'Data Sheet'!K19,0)</f>
        <v>334551.78999999998</v>
      </c>
      <c r="M9" s="12">
        <f>IFERROR(SUM('Data Sheet'!H43:K43),0)</f>
        <v>379563.77</v>
      </c>
    </row>
    <row r="10" spans="1:13" x14ac:dyDescent="0.25">
      <c r="B10" t="s">
        <v>61</v>
      </c>
      <c r="C10" s="14">
        <f>C9/C6</f>
        <v>0.77085296500237244</v>
      </c>
      <c r="D10" s="14">
        <f t="shared" ref="D10:L10" si="1">D9/D6</f>
        <v>0.75265475803309057</v>
      </c>
      <c r="E10" s="14">
        <f t="shared" si="1"/>
        <v>0.76180921746770036</v>
      </c>
      <c r="F10" s="14">
        <f t="shared" si="1"/>
        <v>0.78350009919380004</v>
      </c>
      <c r="G10" s="14">
        <f t="shared" si="1"/>
        <v>0.80428832503583503</v>
      </c>
      <c r="H10" s="14">
        <f t="shared" si="1"/>
        <v>0.80582872728508226</v>
      </c>
      <c r="I10" s="14">
        <f t="shared" si="1"/>
        <v>0.7819461377791167</v>
      </c>
      <c r="J10" s="14">
        <f t="shared" si="1"/>
        <v>0.80192891728252624</v>
      </c>
      <c r="K10" s="14">
        <f t="shared" si="1"/>
        <v>0.79314982005363122</v>
      </c>
      <c r="L10" s="14">
        <f t="shared" si="1"/>
        <v>0.76394285295038489</v>
      </c>
      <c r="M10" s="14">
        <f>M9/M6</f>
        <v>0.86252508003774209</v>
      </c>
    </row>
    <row r="12" spans="1:13" x14ac:dyDescent="0.25">
      <c r="B12" s="35" t="s">
        <v>62</v>
      </c>
      <c r="C12" s="37">
        <f>C6-C9</f>
        <v>60302.099999999977</v>
      </c>
      <c r="D12" s="37">
        <f t="shared" ref="D12:M12" si="2">D6-D9</f>
        <v>67536.52999999997</v>
      </c>
      <c r="E12" s="37">
        <f t="shared" si="2"/>
        <v>64238.270000000048</v>
      </c>
      <c r="F12" s="37">
        <f t="shared" si="2"/>
        <v>63120.649999999994</v>
      </c>
      <c r="G12" s="37">
        <f t="shared" si="2"/>
        <v>59092.870000000024</v>
      </c>
      <c r="H12" s="37">
        <f t="shared" si="2"/>
        <v>50691.899999999965</v>
      </c>
      <c r="I12" s="37">
        <f t="shared" si="2"/>
        <v>54468.709999999992</v>
      </c>
      <c r="J12" s="37">
        <f t="shared" si="2"/>
        <v>55153.610000000015</v>
      </c>
      <c r="K12" s="37">
        <f t="shared" si="2"/>
        <v>71563.329999999958</v>
      </c>
      <c r="L12" s="37">
        <f t="shared" si="2"/>
        <v>103375.98000000004</v>
      </c>
      <c r="M12" s="37">
        <f t="shared" si="2"/>
        <v>60497.369999999995</v>
      </c>
    </row>
    <row r="13" spans="1:13" x14ac:dyDescent="0.25">
      <c r="B13" s="2" t="s">
        <v>68</v>
      </c>
      <c r="C13" s="34">
        <f>C12/C6</f>
        <v>0.22914703499762759</v>
      </c>
      <c r="D13" s="34">
        <f t="shared" ref="D13:L13" si="3">D12/D6</f>
        <v>0.24734524196690946</v>
      </c>
      <c r="E13" s="34">
        <f t="shared" si="3"/>
        <v>0.23819078253229964</v>
      </c>
      <c r="F13" s="34">
        <f t="shared" si="3"/>
        <v>0.21649990080619999</v>
      </c>
      <c r="G13" s="34">
        <f t="shared" si="3"/>
        <v>0.19571167496416494</v>
      </c>
      <c r="H13" s="34">
        <f t="shared" si="3"/>
        <v>0.19417127271491774</v>
      </c>
      <c r="I13" s="34">
        <f t="shared" si="3"/>
        <v>0.2180538622208833</v>
      </c>
      <c r="J13" s="34">
        <f t="shared" si="3"/>
        <v>0.19807108271747378</v>
      </c>
      <c r="K13" s="34">
        <f t="shared" si="3"/>
        <v>0.20685017994636876</v>
      </c>
      <c r="L13" s="34">
        <f t="shared" si="3"/>
        <v>0.23605714704961514</v>
      </c>
      <c r="M13" s="16"/>
    </row>
    <row r="15" spans="1:13" x14ac:dyDescent="0.25">
      <c r="B15" t="s">
        <v>64</v>
      </c>
      <c r="C15" s="16">
        <f>IFERROR(SUM('Data Sheet'!B23:B24),0)</f>
        <v>21063.449999999997</v>
      </c>
      <c r="D15" s="16">
        <f>IFERROR(SUM('Data Sheet'!C23:C24),0)</f>
        <v>29141.280000000002</v>
      </c>
      <c r="E15" s="16">
        <f>IFERROR(SUM('Data Sheet'!D23:D24),0)</f>
        <v>34649.58</v>
      </c>
      <c r="F15" s="16">
        <f>IFERROR(SUM('Data Sheet'!E23:E24),0)</f>
        <v>31662.97</v>
      </c>
      <c r="G15" s="16">
        <f>IFERROR(SUM('Data Sheet'!F23:F24),0)</f>
        <v>34428.54</v>
      </c>
      <c r="H15" s="16">
        <f>IFERROR(SUM('Data Sheet'!G23:G24),0)</f>
        <v>32704.83</v>
      </c>
      <c r="I15" s="16">
        <f>IFERROR(SUM('Data Sheet'!H23:H24),0)</f>
        <v>22181.280000000002</v>
      </c>
      <c r="J15" s="16">
        <f>IFERROR(SUM('Data Sheet'!I23:I24),0)</f>
        <v>30433.52</v>
      </c>
      <c r="K15" s="16">
        <f>IFERROR(SUM('Data Sheet'!J23:J24),0)</f>
        <v>39747.53</v>
      </c>
      <c r="L15" s="16">
        <f>IFERROR(SUM('Data Sheet'!K23:K24),0)</f>
        <v>43837.64</v>
      </c>
      <c r="M15" s="16"/>
    </row>
    <row r="16" spans="1:13" x14ac:dyDescent="0.25">
      <c r="B16" t="s">
        <v>128</v>
      </c>
      <c r="C16" s="14">
        <f>C15/C6</f>
        <v>8.0040779911823637E-2</v>
      </c>
      <c r="D16" s="14">
        <f t="shared" ref="D16:L16" si="4">D15/D6</f>
        <v>0.10672678849247161</v>
      </c>
      <c r="E16" s="14">
        <f t="shared" si="4"/>
        <v>0.12847809529452636</v>
      </c>
      <c r="F16" s="14">
        <f t="shared" si="4"/>
        <v>0.10860201636437025</v>
      </c>
      <c r="G16" s="14">
        <f t="shared" si="4"/>
        <v>0.11402504616835751</v>
      </c>
      <c r="H16" s="14">
        <f t="shared" si="4"/>
        <v>0.12527323822987554</v>
      </c>
      <c r="I16" s="14">
        <f t="shared" si="4"/>
        <v>8.8798023177028354E-2</v>
      </c>
      <c r="J16" s="14">
        <f t="shared" si="4"/>
        <v>0.10929475436519734</v>
      </c>
      <c r="K16" s="14">
        <f t="shared" si="4"/>
        <v>0.11488822184383672</v>
      </c>
      <c r="L16" s="14">
        <f t="shared" si="4"/>
        <v>0.10010244383451636</v>
      </c>
    </row>
    <row r="18" spans="2:13" x14ac:dyDescent="0.25">
      <c r="B18" s="35" t="s">
        <v>63</v>
      </c>
      <c r="C18" s="37">
        <f>C12-C15</f>
        <v>39238.64999999998</v>
      </c>
      <c r="D18" s="37">
        <f t="shared" ref="D18:L18" si="5">D12-D15</f>
        <v>38395.249999999971</v>
      </c>
      <c r="E18" s="37">
        <f t="shared" si="5"/>
        <v>29588.690000000046</v>
      </c>
      <c r="F18" s="37">
        <f t="shared" si="5"/>
        <v>31457.679999999993</v>
      </c>
      <c r="G18" s="37">
        <f t="shared" si="5"/>
        <v>24664.330000000024</v>
      </c>
      <c r="H18" s="37">
        <f t="shared" si="5"/>
        <v>17987.069999999963</v>
      </c>
      <c r="I18" s="37">
        <f t="shared" si="5"/>
        <v>32287.429999999989</v>
      </c>
      <c r="J18" s="37">
        <f t="shared" si="5"/>
        <v>24720.090000000015</v>
      </c>
      <c r="K18" s="37">
        <f t="shared" si="5"/>
        <v>31815.799999999959</v>
      </c>
      <c r="L18" s="37">
        <f t="shared" si="5"/>
        <v>59538.34000000004</v>
      </c>
      <c r="M18" s="16"/>
    </row>
    <row r="19" spans="2:13" x14ac:dyDescent="0.25">
      <c r="B19" t="s">
        <v>65</v>
      </c>
      <c r="C19" s="14">
        <f>C18/C6</f>
        <v>0.14910625508580397</v>
      </c>
      <c r="D19" s="14">
        <f t="shared" ref="D19:L19" si="6">D18/D6</f>
        <v>0.14061845347443788</v>
      </c>
      <c r="E19" s="14">
        <f t="shared" si="6"/>
        <v>0.10971268723777329</v>
      </c>
      <c r="F19" s="14">
        <f t="shared" si="6"/>
        <v>0.10789788444182975</v>
      </c>
      <c r="G19" s="14">
        <f t="shared" si="6"/>
        <v>8.1686628795807431E-2</v>
      </c>
      <c r="H19" s="14">
        <f t="shared" si="6"/>
        <v>6.8898034485042198E-2</v>
      </c>
      <c r="I19" s="14">
        <f t="shared" si="6"/>
        <v>0.12925583904385496</v>
      </c>
      <c r="J19" s="14">
        <f t="shared" si="6"/>
        <v>8.877632835227646E-2</v>
      </c>
      <c r="K19" s="14">
        <f t="shared" si="6"/>
        <v>9.1961958102532049E-2</v>
      </c>
      <c r="L19" s="14">
        <f t="shared" si="6"/>
        <v>0.13595470321509878</v>
      </c>
    </row>
    <row r="21" spans="2:13" x14ac:dyDescent="0.25">
      <c r="B21" t="s">
        <v>6</v>
      </c>
      <c r="C21" s="16">
        <f>IFERROR('Data Sheet'!B27,0)</f>
        <v>4861.49</v>
      </c>
      <c r="D21" s="16">
        <f>IFERROR('Data Sheet'!C27,0)</f>
        <v>4889.08</v>
      </c>
      <c r="E21" s="16">
        <f>IFERROR('Data Sheet'!D27,0)</f>
        <v>4238.01</v>
      </c>
      <c r="F21" s="16">
        <f>IFERROR('Data Sheet'!E27,0)</f>
        <v>4681.79</v>
      </c>
      <c r="G21" s="16">
        <f>IFERROR('Data Sheet'!F27,0)</f>
        <v>5758.6</v>
      </c>
      <c r="H21" s="16">
        <f>IFERROR('Data Sheet'!G27,0)</f>
        <v>7243.33</v>
      </c>
      <c r="I21" s="16">
        <f>IFERROR('Data Sheet'!H27,0)</f>
        <v>8097.17</v>
      </c>
      <c r="J21" s="16">
        <f>IFERROR('Data Sheet'!I27,0)</f>
        <v>9311.86</v>
      </c>
      <c r="K21" s="16">
        <f>IFERROR('Data Sheet'!J27,0)</f>
        <v>10225.48</v>
      </c>
      <c r="L21" s="16">
        <f>IFERROR('Data Sheet'!K27,0)</f>
        <v>9985.76</v>
      </c>
    </row>
    <row r="22" spans="2:13" x14ac:dyDescent="0.25">
      <c r="B22" t="s">
        <v>66</v>
      </c>
      <c r="C22" s="14">
        <f>C21/C6</f>
        <v>1.8473585814932098E-2</v>
      </c>
      <c r="D22" s="14">
        <f t="shared" ref="D22:L22" si="7">D21/D6</f>
        <v>1.7905727101993223E-2</v>
      </c>
      <c r="E22" s="14">
        <f t="shared" si="7"/>
        <v>1.5714229512714312E-2</v>
      </c>
      <c r="F22" s="14">
        <f t="shared" si="7"/>
        <v>1.605824830060304E-2</v>
      </c>
      <c r="G22" s="14">
        <f t="shared" si="7"/>
        <v>1.9072102124141878E-2</v>
      </c>
      <c r="H22" s="14">
        <f t="shared" si="7"/>
        <v>2.7744996829752802E-2</v>
      </c>
      <c r="I22" s="14">
        <f t="shared" si="7"/>
        <v>3.2415292955516477E-2</v>
      </c>
      <c r="J22" s="14">
        <f t="shared" si="7"/>
        <v>3.3441332168710897E-2</v>
      </c>
      <c r="K22" s="14">
        <f t="shared" si="7"/>
        <v>2.9556231914277829E-2</v>
      </c>
      <c r="L22" s="14">
        <f t="shared" si="7"/>
        <v>2.2802299109736749E-2</v>
      </c>
    </row>
    <row r="24" spans="2:13" x14ac:dyDescent="0.25">
      <c r="B24" t="s">
        <v>5</v>
      </c>
      <c r="C24" s="16">
        <f>IFERROR('Data Sheet'!B26,0)</f>
        <v>13388.63</v>
      </c>
      <c r="D24" s="16">
        <f>IFERROR('Data Sheet'!C26,0)</f>
        <v>16710.78</v>
      </c>
      <c r="E24" s="16">
        <f>IFERROR('Data Sheet'!D26,0)</f>
        <v>17904.990000000002</v>
      </c>
      <c r="F24" s="16">
        <f>IFERROR('Data Sheet'!E26,0)</f>
        <v>21553.59</v>
      </c>
      <c r="G24" s="16">
        <f>IFERROR('Data Sheet'!F26,0)</f>
        <v>23590.63</v>
      </c>
      <c r="H24" s="16">
        <f>IFERROR('Data Sheet'!G26,0)</f>
        <v>21425.43</v>
      </c>
      <c r="I24" s="16">
        <f>IFERROR('Data Sheet'!H26,0)</f>
        <v>23546.71</v>
      </c>
      <c r="J24" s="16">
        <f>IFERROR('Data Sheet'!I26,0)</f>
        <v>24835.69</v>
      </c>
      <c r="K24" s="16">
        <f>IFERROR('Data Sheet'!J26,0)</f>
        <v>24860.36</v>
      </c>
      <c r="L24" s="16">
        <f>IFERROR('Data Sheet'!K26,0)</f>
        <v>27270.13</v>
      </c>
    </row>
    <row r="25" spans="2:13" x14ac:dyDescent="0.25">
      <c r="B25" t="s">
        <v>67</v>
      </c>
      <c r="C25" s="14">
        <f>C24/C6</f>
        <v>5.0876584184966822E-2</v>
      </c>
      <c r="D25" s="14">
        <f t="shared" ref="D25:L25" si="8">D24/D6</f>
        <v>6.1201425695927715E-2</v>
      </c>
      <c r="E25" s="14">
        <f t="shared" si="8"/>
        <v>6.63903865924938E-2</v>
      </c>
      <c r="F25" s="14">
        <f t="shared" si="8"/>
        <v>7.3927472182518786E-2</v>
      </c>
      <c r="G25" s="14">
        <f t="shared" si="8"/>
        <v>7.8130605447998658E-2</v>
      </c>
      <c r="H25" s="14">
        <f t="shared" si="8"/>
        <v>8.206839774331566E-2</v>
      </c>
      <c r="I25" s="14">
        <f t="shared" si="8"/>
        <v>9.4264230933596482E-2</v>
      </c>
      <c r="J25" s="14">
        <f t="shared" si="8"/>
        <v>8.9191478279219347E-2</v>
      </c>
      <c r="K25" s="14">
        <f t="shared" si="8"/>
        <v>7.1857611147098821E-2</v>
      </c>
      <c r="L25" s="14">
        <f t="shared" si="8"/>
        <v>6.2270839777984394E-2</v>
      </c>
    </row>
    <row r="27" spans="2:13" x14ac:dyDescent="0.25">
      <c r="B27" s="35" t="s">
        <v>69</v>
      </c>
      <c r="C27" s="39">
        <f>IFERROR(C18-(SUM(C21,C24)),0)</f>
        <v>20988.529999999981</v>
      </c>
      <c r="D27" s="39">
        <f t="shared" ref="D27:L27" si="9">IFERROR(D18-(SUM(D21,D24)),0)</f>
        <v>16795.38999999997</v>
      </c>
      <c r="E27" s="39">
        <f t="shared" si="9"/>
        <v>7445.690000000046</v>
      </c>
      <c r="F27" s="39">
        <f t="shared" si="9"/>
        <v>5222.299999999992</v>
      </c>
      <c r="G27" s="39">
        <f t="shared" si="9"/>
        <v>-4684.8999999999796</v>
      </c>
      <c r="H27" s="39">
        <f t="shared" si="9"/>
        <v>-10681.690000000039</v>
      </c>
      <c r="I27" s="39">
        <f t="shared" si="9"/>
        <v>643.549999999992</v>
      </c>
      <c r="J27" s="39">
        <f t="shared" si="9"/>
        <v>-9427.4599999999882</v>
      </c>
      <c r="K27" s="39">
        <f t="shared" si="9"/>
        <v>-3270.0400000000373</v>
      </c>
      <c r="L27" s="39">
        <f t="shared" si="9"/>
        <v>22282.450000000041</v>
      </c>
    </row>
    <row r="28" spans="2:13" x14ac:dyDescent="0.25">
      <c r="B28" t="s">
        <v>71</v>
      </c>
      <c r="C28" s="14">
        <f>C27/C6</f>
        <v>7.9756085085905037E-2</v>
      </c>
      <c r="D28" s="14">
        <f t="shared" ref="D28:L28" si="10">D27/D6</f>
        <v>6.1511300676516931E-2</v>
      </c>
      <c r="E28" s="14">
        <f t="shared" si="10"/>
        <v>2.7608071132565179E-2</v>
      </c>
      <c r="F28" s="14">
        <f t="shared" si="10"/>
        <v>1.7912163958707913E-2</v>
      </c>
      <c r="G28" s="14">
        <f>G27/G6</f>
        <v>-1.5516078776333117E-2</v>
      </c>
      <c r="H28" s="14">
        <f t="shared" si="10"/>
        <v>-4.0915360088026265E-2</v>
      </c>
      <c r="I28" s="14">
        <f t="shared" si="10"/>
        <v>2.5763151547420113E-3</v>
      </c>
      <c r="J28" s="14">
        <f t="shared" si="10"/>
        <v>-3.3856482095653805E-2</v>
      </c>
      <c r="K28" s="14">
        <f t="shared" si="10"/>
        <v>-9.4518849588445895E-3</v>
      </c>
      <c r="L28" s="14">
        <f t="shared" si="10"/>
        <v>5.0881564327377643E-2</v>
      </c>
    </row>
    <row r="30" spans="2:13" x14ac:dyDescent="0.25">
      <c r="B30" t="s">
        <v>8</v>
      </c>
      <c r="C30" s="12">
        <f>IFERROR('Data Sheet'!B29,0)</f>
        <v>7642.91</v>
      </c>
      <c r="D30" s="12">
        <f>IFERROR('Data Sheet'!C29,0)</f>
        <v>3025.05</v>
      </c>
      <c r="E30" s="12">
        <f>IFERROR('Data Sheet'!D29,0)</f>
        <v>3251.23</v>
      </c>
      <c r="F30" s="12">
        <f>IFERROR('Data Sheet'!E29,0)</f>
        <v>4341.93</v>
      </c>
      <c r="G30" s="12">
        <f>IFERROR('Data Sheet'!F29,0)</f>
        <v>-2437.4499999999998</v>
      </c>
      <c r="H30" s="12">
        <f>IFERROR('Data Sheet'!G29,0)</f>
        <v>395.25</v>
      </c>
      <c r="I30" s="12">
        <f>IFERROR('Data Sheet'!H29,0)</f>
        <v>2541.86</v>
      </c>
      <c r="J30" s="12">
        <f>IFERROR('Data Sheet'!I29,0)</f>
        <v>4231.29</v>
      </c>
      <c r="K30" s="12">
        <f>IFERROR('Data Sheet'!J29,0)</f>
        <v>704.06</v>
      </c>
      <c r="L30" s="12">
        <f>IFERROR('Data Sheet'!K29,0)</f>
        <v>-3851.64</v>
      </c>
    </row>
    <row r="31" spans="2:13" x14ac:dyDescent="0.25">
      <c r="B31" t="s">
        <v>72</v>
      </c>
      <c r="C31" s="14">
        <f>C30/C27</f>
        <v>0.3641469888553418</v>
      </c>
      <c r="D31" s="14">
        <f t="shared" ref="D31:L31" si="11">D30/D27</f>
        <v>0.18011192356950362</v>
      </c>
      <c r="E31" s="14">
        <f t="shared" si="11"/>
        <v>0.43665932908836924</v>
      </c>
      <c r="F31" s="14">
        <f t="shared" si="11"/>
        <v>0.8314210213890445</v>
      </c>
      <c r="G31" s="14">
        <f t="shared" si="11"/>
        <v>0.52027791414971725</v>
      </c>
      <c r="H31" s="14">
        <f t="shared" si="11"/>
        <v>-3.7002571690434617E-2</v>
      </c>
      <c r="I31" s="14">
        <f t="shared" si="11"/>
        <v>3.9497474943672315</v>
      </c>
      <c r="J31" s="14">
        <f t="shared" si="11"/>
        <v>-0.4488260888935095</v>
      </c>
      <c r="K31" s="14">
        <f t="shared" si="11"/>
        <v>-0.21530623478611635</v>
      </c>
      <c r="L31" s="14">
        <f t="shared" si="11"/>
        <v>-0.17285531887202676</v>
      </c>
    </row>
    <row r="33" spans="1:12" x14ac:dyDescent="0.25">
      <c r="B33" s="35" t="s">
        <v>73</v>
      </c>
      <c r="C33" s="37">
        <f>C27-C30</f>
        <v>13345.619999999981</v>
      </c>
      <c r="D33" s="37">
        <f t="shared" ref="D33:L33" si="12">D27-D30</f>
        <v>13770.339999999971</v>
      </c>
      <c r="E33" s="37">
        <f t="shared" si="12"/>
        <v>4194.4600000000464</v>
      </c>
      <c r="F33" s="37">
        <f t="shared" si="12"/>
        <v>880.36999999999171</v>
      </c>
      <c r="G33" s="37">
        <f t="shared" si="12"/>
        <v>-2247.4499999999798</v>
      </c>
      <c r="H33" s="37">
        <f t="shared" si="12"/>
        <v>-11076.940000000039</v>
      </c>
      <c r="I33" s="37">
        <f t="shared" si="12"/>
        <v>-1898.3100000000081</v>
      </c>
      <c r="J33" s="37">
        <f t="shared" si="12"/>
        <v>-13658.749999999989</v>
      </c>
      <c r="K33" s="37">
        <f t="shared" si="12"/>
        <v>-3974.1000000000372</v>
      </c>
      <c r="L33" s="37">
        <f t="shared" si="12"/>
        <v>26134.09000000004</v>
      </c>
    </row>
    <row r="34" spans="1:12" x14ac:dyDescent="0.25">
      <c r="B34" t="s">
        <v>74</v>
      </c>
      <c r="C34" s="14">
        <f>C33/C6</f>
        <v>5.0713146858982282E-2</v>
      </c>
      <c r="D34" s="14">
        <f t="shared" ref="D34:L34" si="13">D33/D6</f>
        <v>5.0432381990407359E-2</v>
      </c>
      <c r="E34" s="14">
        <f t="shared" si="13"/>
        <v>1.5552749314395296E-2</v>
      </c>
      <c r="F34" s="14">
        <f t="shared" si="13"/>
        <v>3.01961430487095E-3</v>
      </c>
      <c r="G34" s="14">
        <f t="shared" si="13"/>
        <v>-7.4434056747998256E-3</v>
      </c>
      <c r="H34" s="14">
        <f t="shared" si="13"/>
        <v>-4.2429333632923408E-2</v>
      </c>
      <c r="I34" s="14">
        <f t="shared" si="13"/>
        <v>-7.5994791724005731E-3</v>
      </c>
      <c r="J34" s="14">
        <f t="shared" si="13"/>
        <v>-4.9052154538339235E-2</v>
      </c>
      <c r="K34" s="14">
        <f t="shared" si="13"/>
        <v>-1.1486934720964945E-2</v>
      </c>
      <c r="L34" s="14">
        <f t="shared" si="13"/>
        <v>5.9676713353894045E-2</v>
      </c>
    </row>
    <row r="36" spans="1:12" x14ac:dyDescent="0.25">
      <c r="B36" t="s">
        <v>75</v>
      </c>
      <c r="C36" s="21">
        <f>IFERROR('Data Sheet'!B93,0)</f>
        <v>288.74</v>
      </c>
      <c r="D36" s="21">
        <f>IFERROR('Data Sheet'!C93,0)</f>
        <v>288.72000000000003</v>
      </c>
      <c r="E36" s="21">
        <f>IFERROR('Data Sheet'!D93,0)</f>
        <v>288.73</v>
      </c>
      <c r="F36" s="21">
        <f>IFERROR('Data Sheet'!E93,0)</f>
        <v>288.73</v>
      </c>
      <c r="G36" s="21">
        <f>IFERROR('Data Sheet'!F93,0)</f>
        <v>288.73</v>
      </c>
      <c r="H36" s="21">
        <f>IFERROR('Data Sheet'!G93,0)</f>
        <v>308.89999999999998</v>
      </c>
      <c r="I36" s="21">
        <f>IFERROR('Data Sheet'!H93,0)</f>
        <v>332.03</v>
      </c>
      <c r="J36" s="21">
        <f>IFERROR('Data Sheet'!I93,0)</f>
        <v>332.07</v>
      </c>
      <c r="K36" s="21">
        <f>IFERROR('Data Sheet'!J93,0)</f>
        <v>332.13</v>
      </c>
      <c r="L36" s="21">
        <f>IFERROR('Data Sheet'!K93,0)</f>
        <v>332.37</v>
      </c>
    </row>
    <row r="37" spans="1:12" x14ac:dyDescent="0.25">
      <c r="D37" t="s">
        <v>70</v>
      </c>
    </row>
    <row r="38" spans="1:12" x14ac:dyDescent="0.25">
      <c r="B38" t="s">
        <v>76</v>
      </c>
      <c r="C38" s="16">
        <f>IFERROR(C33/C36,0)</f>
        <v>46.220198102098706</v>
      </c>
      <c r="D38" s="16">
        <f t="shared" ref="D38:L38" si="14">IFERROR(D33/D36,0)</f>
        <v>47.694444444444336</v>
      </c>
      <c r="E38" s="16">
        <f t="shared" si="14"/>
        <v>14.527274616423808</v>
      </c>
      <c r="F38" s="16">
        <f t="shared" si="14"/>
        <v>3.049111626779315</v>
      </c>
      <c r="G38" s="16">
        <f t="shared" si="14"/>
        <v>-7.7839157690575265</v>
      </c>
      <c r="H38" s="16">
        <f t="shared" si="14"/>
        <v>-35.859307219164904</v>
      </c>
      <c r="I38" s="16">
        <f t="shared" si="14"/>
        <v>-5.7172845827184542</v>
      </c>
      <c r="J38" s="16">
        <f t="shared" si="14"/>
        <v>-41.132140813683833</v>
      </c>
      <c r="K38" s="16">
        <f t="shared" si="14"/>
        <v>-11.965495438533218</v>
      </c>
      <c r="L38" s="16">
        <f t="shared" si="14"/>
        <v>78.629509281824596</v>
      </c>
    </row>
    <row r="40" spans="1:12" x14ac:dyDescent="0.25">
      <c r="B40" t="s">
        <v>77</v>
      </c>
      <c r="C40" s="16">
        <f>IFERROR('Data Sheet'!B31/'Historical FS'!C36,0)</f>
        <v>0</v>
      </c>
      <c r="D40" s="16">
        <f>IFERROR('Data Sheet'!C31/'Historical FS'!D36,0)</f>
        <v>0.23524522028262676</v>
      </c>
      <c r="E40" s="16">
        <f>IFERROR('Data Sheet'!D31/'Historical FS'!E36,0)</f>
        <v>0</v>
      </c>
      <c r="F40" s="16">
        <f>IFERROR('Data Sheet'!E31/'Historical FS'!F36,0)</f>
        <v>0</v>
      </c>
      <c r="G40" s="16">
        <f>IFERROR('Data Sheet'!F31/'Historical FS'!G36,0)</f>
        <v>0</v>
      </c>
      <c r="H40" s="16">
        <f>IFERROR('Data Sheet'!G31/'Historical FS'!H36,0)</f>
        <v>0</v>
      </c>
      <c r="I40" s="16">
        <f>IFERROR('Data Sheet'!H31/'Historical FS'!I36,0)</f>
        <v>0</v>
      </c>
      <c r="J40" s="16">
        <f>IFERROR('Data Sheet'!I31/'Historical FS'!J36,0)</f>
        <v>0</v>
      </c>
      <c r="K40" s="16">
        <f>IFERROR('Data Sheet'!J31/'Historical FS'!K36,0)</f>
        <v>2.3063860536536898</v>
      </c>
      <c r="L40" s="16">
        <f>IFERROR('Data Sheet'!K31/'Historical FS'!L36,0)</f>
        <v>6.9184944489574871</v>
      </c>
    </row>
    <row r="41" spans="1:12" x14ac:dyDescent="0.25">
      <c r="B41" t="s">
        <v>78</v>
      </c>
      <c r="C41" s="14">
        <f>IFERROR(C40/C38,0)</f>
        <v>0</v>
      </c>
      <c r="D41" s="14">
        <f t="shared" ref="D41:L41" si="15">IFERROR(D40/D38,0)</f>
        <v>4.9323400874633563E-3</v>
      </c>
      <c r="E41" s="14">
        <f t="shared" si="15"/>
        <v>0</v>
      </c>
      <c r="F41" s="14">
        <f t="shared" si="15"/>
        <v>0</v>
      </c>
      <c r="G41" s="14">
        <f t="shared" si="15"/>
        <v>0</v>
      </c>
      <c r="H41" s="14">
        <f t="shared" si="15"/>
        <v>0</v>
      </c>
      <c r="I41" s="14">
        <f t="shared" si="15"/>
        <v>0</v>
      </c>
      <c r="J41" s="14">
        <f t="shared" si="15"/>
        <v>0</v>
      </c>
      <c r="K41" s="14">
        <f t="shared" si="15"/>
        <v>-0.19275307616818721</v>
      </c>
      <c r="L41" s="14">
        <f t="shared" si="15"/>
        <v>8.7988523801670396E-2</v>
      </c>
    </row>
    <row r="43" spans="1:12" x14ac:dyDescent="0.25">
      <c r="B43" t="s">
        <v>79</v>
      </c>
      <c r="C43" s="14">
        <f>IFERROR(IF(C38&gt;C40,1-C41,0),0)</f>
        <v>1</v>
      </c>
      <c r="D43" s="14">
        <f t="shared" ref="D43:L43" si="16">IFERROR(IF(D38&gt;D40,1-D41,0),0)</f>
        <v>0.99506765991253665</v>
      </c>
      <c r="E43" s="14">
        <f t="shared" si="16"/>
        <v>1</v>
      </c>
      <c r="F43" s="14">
        <f t="shared" si="16"/>
        <v>1</v>
      </c>
      <c r="G43" s="14">
        <f t="shared" si="16"/>
        <v>0</v>
      </c>
      <c r="H43" s="14">
        <f t="shared" si="16"/>
        <v>0</v>
      </c>
      <c r="I43" s="14">
        <f t="shared" si="16"/>
        <v>0</v>
      </c>
      <c r="J43" s="14">
        <f t="shared" si="16"/>
        <v>0</v>
      </c>
      <c r="K43" s="14">
        <f t="shared" si="16"/>
        <v>0</v>
      </c>
      <c r="L43" s="14">
        <f t="shared" si="16"/>
        <v>0.91201147619832956</v>
      </c>
    </row>
    <row r="46" spans="1:12" s="32" customFormat="1" x14ac:dyDescent="0.25">
      <c r="A46" s="32" t="s">
        <v>58</v>
      </c>
      <c r="B46" s="33" t="s">
        <v>80</v>
      </c>
    </row>
    <row r="48" spans="1:12" x14ac:dyDescent="0.25">
      <c r="B48" s="4" t="s">
        <v>11</v>
      </c>
      <c r="C48" s="16">
        <f>IFERROR('Data Sheet'!B57,0)</f>
        <v>643.78</v>
      </c>
      <c r="D48" s="16">
        <f>IFERROR('Data Sheet'!C57,0)</f>
        <v>679.18</v>
      </c>
      <c r="E48" s="16">
        <f>IFERROR('Data Sheet'!D57,0)</f>
        <v>679.22</v>
      </c>
      <c r="F48" s="16">
        <f>IFERROR('Data Sheet'!E57,0)</f>
        <v>679.22</v>
      </c>
      <c r="G48" s="16">
        <f>IFERROR('Data Sheet'!F57,0)</f>
        <v>679.22</v>
      </c>
      <c r="H48" s="16">
        <f>IFERROR('Data Sheet'!G57,0)</f>
        <v>719.54</v>
      </c>
      <c r="I48" s="16">
        <f>IFERROR('Data Sheet'!H57,0)</f>
        <v>765.81</v>
      </c>
      <c r="J48" s="16">
        <f>IFERROR('Data Sheet'!I57,0)</f>
        <v>765.88</v>
      </c>
      <c r="K48" s="16">
        <f>IFERROR('Data Sheet'!J57,0)</f>
        <v>766.02</v>
      </c>
      <c r="L48" s="16">
        <f>IFERROR('Data Sheet'!K57,0)</f>
        <v>766.5</v>
      </c>
    </row>
    <row r="49" spans="2:12" x14ac:dyDescent="0.25">
      <c r="B49" s="4" t="s">
        <v>12</v>
      </c>
      <c r="C49" s="16">
        <f>IFERROR('Data Sheet'!B58,0)</f>
        <v>55618.14</v>
      </c>
      <c r="D49" s="16">
        <f>IFERROR('Data Sheet'!C58,0)</f>
        <v>78273.23</v>
      </c>
      <c r="E49" s="16">
        <f>IFERROR('Data Sheet'!D58,0)</f>
        <v>57382.67</v>
      </c>
      <c r="F49" s="16">
        <f>IFERROR('Data Sheet'!E58,0)</f>
        <v>94748.69</v>
      </c>
      <c r="G49" s="16">
        <f>IFERROR('Data Sheet'!F58,0)</f>
        <v>59500.34</v>
      </c>
      <c r="H49" s="16">
        <f>IFERROR('Data Sheet'!G58,0)</f>
        <v>62358.99</v>
      </c>
      <c r="I49" s="16">
        <f>IFERROR('Data Sheet'!H58,0)</f>
        <v>54480.91</v>
      </c>
      <c r="J49" s="16">
        <f>IFERROR('Data Sheet'!I58,0)</f>
        <v>43795.360000000001</v>
      </c>
      <c r="K49" s="16">
        <f>IFERROR('Data Sheet'!J58,0)</f>
        <v>44555.77</v>
      </c>
      <c r="L49" s="16">
        <f>IFERROR('Data Sheet'!K58,0)</f>
        <v>84151.52</v>
      </c>
    </row>
    <row r="50" spans="2:12" x14ac:dyDescent="0.25">
      <c r="B50" s="4" t="s">
        <v>36</v>
      </c>
      <c r="C50" s="16">
        <f>IFERROR('Data Sheet'!B59,0)</f>
        <v>73610.39</v>
      </c>
      <c r="D50" s="16">
        <f>IFERROR('Data Sheet'!C59,0)</f>
        <v>69359.960000000006</v>
      </c>
      <c r="E50" s="16">
        <f>IFERROR('Data Sheet'!D59,0)</f>
        <v>78603.98</v>
      </c>
      <c r="F50" s="16">
        <f>IFERROR('Data Sheet'!E59,0)</f>
        <v>88950.47</v>
      </c>
      <c r="G50" s="16">
        <f>IFERROR('Data Sheet'!F59,0)</f>
        <v>106175.34</v>
      </c>
      <c r="H50" s="16">
        <f>IFERROR('Data Sheet'!G59,0)</f>
        <v>124787.64</v>
      </c>
      <c r="I50" s="16">
        <f>IFERROR('Data Sheet'!H59,0)</f>
        <v>142130.57</v>
      </c>
      <c r="J50" s="16">
        <f>IFERROR('Data Sheet'!I59,0)</f>
        <v>146449.03</v>
      </c>
      <c r="K50" s="16">
        <f>IFERROR('Data Sheet'!J59,0)</f>
        <v>134113.44</v>
      </c>
      <c r="L50" s="16">
        <f>IFERROR('Data Sheet'!K59,0)</f>
        <v>107262.5</v>
      </c>
    </row>
    <row r="51" spans="2:12" x14ac:dyDescent="0.25">
      <c r="B51" s="4" t="s">
        <v>37</v>
      </c>
      <c r="C51" s="16">
        <f>IFERROR('Data Sheet'!B60,0)</f>
        <v>107442.48</v>
      </c>
      <c r="D51" s="16">
        <f>IFERROR('Data Sheet'!C60,0)</f>
        <v>114871.75</v>
      </c>
      <c r="E51" s="16">
        <f>IFERROR('Data Sheet'!D60,0)</f>
        <v>135914.49</v>
      </c>
      <c r="F51" s="16">
        <f>IFERROR('Data Sheet'!E60,0)</f>
        <v>142813.43</v>
      </c>
      <c r="G51" s="16">
        <f>IFERROR('Data Sheet'!F60,0)</f>
        <v>139348.59</v>
      </c>
      <c r="H51" s="16">
        <f>IFERROR('Data Sheet'!G60,0)</f>
        <v>132313.22</v>
      </c>
      <c r="I51" s="16">
        <f>IFERROR('Data Sheet'!H60,0)</f>
        <v>144192.62</v>
      </c>
      <c r="J51" s="16">
        <f>IFERROR('Data Sheet'!I60,0)</f>
        <v>138051.22</v>
      </c>
      <c r="K51" s="16">
        <f>IFERROR('Data Sheet'!J60,0)</f>
        <v>155239.20000000001</v>
      </c>
      <c r="L51" s="16">
        <f>IFERROR('Data Sheet'!K60,0)</f>
        <v>177340.09</v>
      </c>
    </row>
    <row r="52" spans="2:12" x14ac:dyDescent="0.25">
      <c r="B52" s="36" t="s">
        <v>81</v>
      </c>
      <c r="C52" s="37">
        <f>IFERROR('Data Sheet'!B61,0)</f>
        <v>237314.79</v>
      </c>
      <c r="D52" s="37">
        <f>IFERROR('Data Sheet'!C61,0)</f>
        <v>263184.12</v>
      </c>
      <c r="E52" s="37">
        <f>IFERROR('Data Sheet'!D61,0)</f>
        <v>272580.36</v>
      </c>
      <c r="F52" s="37">
        <f>IFERROR('Data Sheet'!E61,0)</f>
        <v>327191.81</v>
      </c>
      <c r="G52" s="37">
        <f>IFERROR('Data Sheet'!F61,0)</f>
        <v>305703.49</v>
      </c>
      <c r="H52" s="37">
        <f>IFERROR('Data Sheet'!G61,0)</f>
        <v>320179.39</v>
      </c>
      <c r="I52" s="37">
        <f>IFERROR('Data Sheet'!H61,0)</f>
        <v>341569.91</v>
      </c>
      <c r="J52" s="37">
        <f>IFERROR('Data Sheet'!I61,0)</f>
        <v>329061.49</v>
      </c>
      <c r="K52" s="37">
        <f>IFERROR('Data Sheet'!J61,0)</f>
        <v>334674.43</v>
      </c>
      <c r="L52" s="37">
        <f>IFERROR('Data Sheet'!K61,0)</f>
        <v>369520.61</v>
      </c>
    </row>
    <row r="53" spans="2:12" x14ac:dyDescent="0.25">
      <c r="B53" s="1"/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spans="2:12" x14ac:dyDescent="0.25">
      <c r="B54" s="4" t="s">
        <v>14</v>
      </c>
      <c r="C54" s="16">
        <f>IFERROR('Data Sheet'!B62,0)</f>
        <v>88479.49</v>
      </c>
      <c r="D54" s="16">
        <f>IFERROR('Data Sheet'!C62,0)</f>
        <v>107231.76</v>
      </c>
      <c r="E54" s="16">
        <f>IFERROR('Data Sheet'!D62,0)</f>
        <v>95944.08</v>
      </c>
      <c r="F54" s="16">
        <f>IFERROR('Data Sheet'!E62,0)</f>
        <v>121413.86</v>
      </c>
      <c r="G54" s="16">
        <f>IFERROR('Data Sheet'!F62,0)</f>
        <v>111234.47</v>
      </c>
      <c r="H54" s="16">
        <f>IFERROR('Data Sheet'!G62,0)</f>
        <v>127107.14</v>
      </c>
      <c r="I54" s="16">
        <f>IFERROR('Data Sheet'!H62,0)</f>
        <v>138707.60999999999</v>
      </c>
      <c r="J54" s="16">
        <f>IFERROR('Data Sheet'!I62,0)</f>
        <v>138855.45000000001</v>
      </c>
      <c r="K54" s="16">
        <f>IFERROR('Data Sheet'!J62,0)</f>
        <v>132079.76</v>
      </c>
      <c r="L54" s="16">
        <f>IFERROR('Data Sheet'!K62,0)</f>
        <v>121285.46</v>
      </c>
    </row>
    <row r="55" spans="2:12" x14ac:dyDescent="0.25">
      <c r="B55" s="4" t="s">
        <v>15</v>
      </c>
      <c r="C55" s="16">
        <f>IFERROR('Data Sheet'!B63,0)</f>
        <v>28640.09</v>
      </c>
      <c r="D55" s="16">
        <f>IFERROR('Data Sheet'!C63,0)</f>
        <v>25918.94</v>
      </c>
      <c r="E55" s="16">
        <f>IFERROR('Data Sheet'!D63,0)</f>
        <v>33698.839999999997</v>
      </c>
      <c r="F55" s="16">
        <f>IFERROR('Data Sheet'!E63,0)</f>
        <v>40033.5</v>
      </c>
      <c r="G55" s="16">
        <f>IFERROR('Data Sheet'!F63,0)</f>
        <v>31883.84</v>
      </c>
      <c r="H55" s="16">
        <f>IFERROR('Data Sheet'!G63,0)</f>
        <v>35622.29</v>
      </c>
      <c r="I55" s="16">
        <f>IFERROR('Data Sheet'!H63,0)</f>
        <v>20963.93</v>
      </c>
      <c r="J55" s="16">
        <f>IFERROR('Data Sheet'!I63,0)</f>
        <v>10251.09</v>
      </c>
      <c r="K55" s="16">
        <f>IFERROR('Data Sheet'!J63,0)</f>
        <v>14274.5</v>
      </c>
      <c r="L55" s="16">
        <f>IFERROR('Data Sheet'!K63,0)</f>
        <v>35698.43</v>
      </c>
    </row>
    <row r="56" spans="2:12" x14ac:dyDescent="0.25">
      <c r="B56" s="4" t="s">
        <v>16</v>
      </c>
      <c r="C56" s="16">
        <f>IFERROR('Data Sheet'!B64,0)</f>
        <v>15336.74</v>
      </c>
      <c r="D56" s="16">
        <f>IFERROR('Data Sheet'!C64,0)</f>
        <v>23767.02</v>
      </c>
      <c r="E56" s="16">
        <f>IFERROR('Data Sheet'!D64,0)</f>
        <v>20337.919999999998</v>
      </c>
      <c r="F56" s="16">
        <f>IFERROR('Data Sheet'!E64,0)</f>
        <v>20812.75</v>
      </c>
      <c r="G56" s="16">
        <f>IFERROR('Data Sheet'!F64,0)</f>
        <v>15770.72</v>
      </c>
      <c r="H56" s="16">
        <f>IFERROR('Data Sheet'!G64,0)</f>
        <v>16308.48</v>
      </c>
      <c r="I56" s="16">
        <f>IFERROR('Data Sheet'!H64,0)</f>
        <v>24620.28</v>
      </c>
      <c r="J56" s="16">
        <f>IFERROR('Data Sheet'!I64,0)</f>
        <v>29379.53</v>
      </c>
      <c r="K56" s="16">
        <f>IFERROR('Data Sheet'!J64,0)</f>
        <v>26379.16</v>
      </c>
      <c r="L56" s="16">
        <f>IFERROR('Data Sheet'!K64,0)</f>
        <v>22971.07</v>
      </c>
    </row>
    <row r="57" spans="2:12" x14ac:dyDescent="0.25">
      <c r="B57" s="4" t="s">
        <v>38</v>
      </c>
      <c r="C57" s="16">
        <f>IFERROR('Data Sheet'!B65-SUM('Data Sheet'!B67:B69),0)</f>
        <v>30891.17</v>
      </c>
      <c r="D57" s="16">
        <f>IFERROR('Data Sheet'!C65-SUM('Data Sheet'!C67:C69),0)</f>
        <v>29579.359999999986</v>
      </c>
      <c r="E57" s="16">
        <f>IFERROR('Data Sheet'!D65-SUM('Data Sheet'!D67:D69),0)</f>
        <v>37360.780000000013</v>
      </c>
      <c r="F57" s="16">
        <f>IFERROR('Data Sheet'!E65-SUM('Data Sheet'!E67:E69),0)</f>
        <v>48286.860000000015</v>
      </c>
      <c r="G57" s="16">
        <f>IFERROR('Data Sheet'!F65-SUM('Data Sheet'!F67:F69),0)</f>
        <v>56155.739999999991</v>
      </c>
      <c r="H57" s="16">
        <f>IFERROR('Data Sheet'!G65-SUM('Data Sheet'!G67:G69),0)</f>
        <v>58784.94</v>
      </c>
      <c r="I57" s="16">
        <f>IFERROR('Data Sheet'!H65-SUM('Data Sheet'!H67:H69),0)</f>
        <v>61717.959999999992</v>
      </c>
      <c r="J57" s="16">
        <f>IFERROR('Data Sheet'!I65-SUM('Data Sheet'!I67:I69),0)</f>
        <v>62223.770000000019</v>
      </c>
      <c r="K57" s="16">
        <f>IFERROR('Data Sheet'!J65-SUM('Data Sheet'!J67:J69),0)</f>
        <v>68432.090000000011</v>
      </c>
      <c r="L57" s="16">
        <f>IFERROR('Data Sheet'!K65-SUM('Data Sheet'!K67:K69),0)</f>
        <v>79018.859999999986</v>
      </c>
    </row>
    <row r="58" spans="2:12" x14ac:dyDescent="0.25">
      <c r="B58" s="36" t="s">
        <v>82</v>
      </c>
      <c r="C58" s="37">
        <f>SUM(C54:C57)</f>
        <v>163347.49</v>
      </c>
      <c r="D58" s="37">
        <f t="shared" ref="D58:L58" si="17">SUM(D54:D57)</f>
        <v>186497.07999999996</v>
      </c>
      <c r="E58" s="37">
        <f t="shared" si="17"/>
        <v>187341.62</v>
      </c>
      <c r="F58" s="37">
        <f t="shared" si="17"/>
        <v>230546.97</v>
      </c>
      <c r="G58" s="37">
        <f t="shared" si="17"/>
        <v>215044.77</v>
      </c>
      <c r="H58" s="37">
        <f t="shared" si="17"/>
        <v>237822.85</v>
      </c>
      <c r="I58" s="37">
        <f t="shared" si="17"/>
        <v>246009.77999999997</v>
      </c>
      <c r="J58" s="37">
        <f t="shared" si="17"/>
        <v>240709.84000000003</v>
      </c>
      <c r="K58" s="37">
        <f t="shared" si="17"/>
        <v>241165.51</v>
      </c>
      <c r="L58" s="37">
        <f t="shared" si="17"/>
        <v>258973.82</v>
      </c>
    </row>
    <row r="59" spans="2:12" x14ac:dyDescent="0.25">
      <c r="B59" s="1"/>
    </row>
    <row r="60" spans="2:12" x14ac:dyDescent="0.25">
      <c r="B60" s="4" t="s">
        <v>43</v>
      </c>
      <c r="C60" s="16">
        <f>IFERROR('Data Sheet'!B67,0)</f>
        <v>12579.2</v>
      </c>
      <c r="D60" s="16">
        <f>IFERROR('Data Sheet'!C67,0)</f>
        <v>13570.91</v>
      </c>
      <c r="E60" s="16">
        <f>IFERROR('Data Sheet'!D67,0)</f>
        <v>14075.55</v>
      </c>
      <c r="F60" s="16">
        <f>IFERROR('Data Sheet'!E67,0)</f>
        <v>19893.3</v>
      </c>
      <c r="G60" s="16">
        <f>IFERROR('Data Sheet'!F67,0)</f>
        <v>18996.169999999998</v>
      </c>
      <c r="H60" s="16">
        <f>IFERROR('Data Sheet'!G67,0)</f>
        <v>11172.69</v>
      </c>
      <c r="I60" s="16">
        <f>IFERROR('Data Sheet'!H67,0)</f>
        <v>12679.08</v>
      </c>
      <c r="J60" s="16">
        <f>IFERROR('Data Sheet'!I67,0)</f>
        <v>12442.12</v>
      </c>
      <c r="K60" s="16">
        <f>IFERROR('Data Sheet'!J67,0)</f>
        <v>15737.97</v>
      </c>
      <c r="L60" s="16">
        <f>IFERROR('Data Sheet'!K67,0)</f>
        <v>16951.810000000001</v>
      </c>
    </row>
    <row r="61" spans="2:12" x14ac:dyDescent="0.25">
      <c r="B61" s="4" t="s">
        <v>30</v>
      </c>
      <c r="C61" s="16">
        <f>IFERROR('Data Sheet'!B68,0)</f>
        <v>29272.34</v>
      </c>
      <c r="D61" s="16">
        <f>IFERROR('Data Sheet'!C68,0)</f>
        <v>32655.73</v>
      </c>
      <c r="E61" s="16">
        <f>IFERROR('Data Sheet'!D68,0)</f>
        <v>35085.31</v>
      </c>
      <c r="F61" s="16">
        <f>IFERROR('Data Sheet'!E68,0)</f>
        <v>42137.63</v>
      </c>
      <c r="G61" s="16">
        <f>IFERROR('Data Sheet'!F68,0)</f>
        <v>39013.730000000003</v>
      </c>
      <c r="H61" s="16">
        <f>IFERROR('Data Sheet'!G68,0)</f>
        <v>37456.879999999997</v>
      </c>
      <c r="I61" s="16">
        <f>IFERROR('Data Sheet'!H68,0)</f>
        <v>36088.589999999997</v>
      </c>
      <c r="J61" s="16">
        <f>IFERROR('Data Sheet'!I68,0)</f>
        <v>35240.339999999997</v>
      </c>
      <c r="K61" s="16">
        <f>IFERROR('Data Sheet'!J68,0)</f>
        <v>40755.39</v>
      </c>
      <c r="L61" s="16">
        <f>IFERROR('Data Sheet'!K68,0)</f>
        <v>47788.29</v>
      </c>
    </row>
    <row r="62" spans="2:12" x14ac:dyDescent="0.25">
      <c r="B62" s="3" t="s">
        <v>52</v>
      </c>
      <c r="C62" s="16">
        <f>IFERROR('Data Sheet'!B69,0)</f>
        <v>32115.759999999998</v>
      </c>
      <c r="D62" s="16">
        <f>IFERROR('Data Sheet'!C69,0)</f>
        <v>30460.400000000001</v>
      </c>
      <c r="E62" s="16">
        <f>IFERROR('Data Sheet'!D69,0)</f>
        <v>36077.879999999997</v>
      </c>
      <c r="F62" s="16">
        <f>IFERROR('Data Sheet'!E69,0)</f>
        <v>34613.910000000003</v>
      </c>
      <c r="G62" s="16">
        <f>IFERROR('Data Sheet'!F69,0)</f>
        <v>32648.82</v>
      </c>
      <c r="H62" s="16">
        <f>IFERROR('Data Sheet'!G69,0)</f>
        <v>33726.97</v>
      </c>
      <c r="I62" s="16">
        <f>IFERROR('Data Sheet'!H69,0)</f>
        <v>46792.46</v>
      </c>
      <c r="J62" s="16">
        <f>IFERROR('Data Sheet'!I69,0)</f>
        <v>40669.19</v>
      </c>
      <c r="K62" s="16">
        <f>IFERROR('Data Sheet'!J69,0)</f>
        <v>37015.56</v>
      </c>
      <c r="L62" s="16">
        <f>IFERROR('Data Sheet'!K69,0)</f>
        <v>45806.69</v>
      </c>
    </row>
    <row r="63" spans="2:12" x14ac:dyDescent="0.25">
      <c r="B63" s="36" t="s">
        <v>83</v>
      </c>
      <c r="C63" s="37">
        <f>SUM(C60:C62)</f>
        <v>73967.3</v>
      </c>
      <c r="D63" s="37">
        <f t="shared" ref="D63:L63" si="18">SUM(D60:D62)</f>
        <v>76687.040000000008</v>
      </c>
      <c r="E63" s="37">
        <f t="shared" si="18"/>
        <v>85238.739999999991</v>
      </c>
      <c r="F63" s="37">
        <f t="shared" si="18"/>
        <v>96644.84</v>
      </c>
      <c r="G63" s="37">
        <f t="shared" si="18"/>
        <v>90658.72</v>
      </c>
      <c r="H63" s="37">
        <f t="shared" si="18"/>
        <v>82356.540000000008</v>
      </c>
      <c r="I63" s="37">
        <f t="shared" si="18"/>
        <v>95560.13</v>
      </c>
      <c r="J63" s="37">
        <f t="shared" si="18"/>
        <v>88351.65</v>
      </c>
      <c r="K63" s="37">
        <f t="shared" si="18"/>
        <v>93508.92</v>
      </c>
      <c r="L63" s="37">
        <f t="shared" si="18"/>
        <v>110546.79000000001</v>
      </c>
    </row>
    <row r="65" spans="1:12" x14ac:dyDescent="0.25">
      <c r="B65" s="38" t="s">
        <v>84</v>
      </c>
      <c r="C65" s="37">
        <f>C63+C58</f>
        <v>237314.78999999998</v>
      </c>
      <c r="D65" s="37">
        <f t="shared" ref="D65:L65" si="19">D63+D58</f>
        <v>263184.12</v>
      </c>
      <c r="E65" s="37">
        <f t="shared" si="19"/>
        <v>272580.36</v>
      </c>
      <c r="F65" s="37">
        <f t="shared" si="19"/>
        <v>327191.81</v>
      </c>
      <c r="G65" s="37">
        <f t="shared" si="19"/>
        <v>305703.49</v>
      </c>
      <c r="H65" s="37">
        <f t="shared" si="19"/>
        <v>320179.39</v>
      </c>
      <c r="I65" s="37">
        <f t="shared" si="19"/>
        <v>341569.91</v>
      </c>
      <c r="J65" s="37">
        <f t="shared" si="19"/>
        <v>329061.49</v>
      </c>
      <c r="K65" s="37">
        <f t="shared" si="19"/>
        <v>334674.43</v>
      </c>
      <c r="L65" s="37">
        <f t="shared" si="19"/>
        <v>369520.61</v>
      </c>
    </row>
    <row r="67" spans="1:12" x14ac:dyDescent="0.25">
      <c r="B67" s="23" t="s">
        <v>85</v>
      </c>
      <c r="C67" t="b">
        <f>C65=C52</f>
        <v>1</v>
      </c>
      <c r="D67" t="b">
        <f t="shared" ref="D67:L67" si="20">D65=D52</f>
        <v>1</v>
      </c>
      <c r="E67" t="b">
        <f t="shared" si="20"/>
        <v>1</v>
      </c>
      <c r="F67" t="b">
        <f t="shared" si="20"/>
        <v>1</v>
      </c>
      <c r="G67" t="b">
        <f t="shared" si="20"/>
        <v>1</v>
      </c>
      <c r="H67" t="b">
        <f t="shared" si="20"/>
        <v>1</v>
      </c>
      <c r="I67" t="b">
        <f t="shared" si="20"/>
        <v>1</v>
      </c>
      <c r="J67" t="b">
        <f t="shared" si="20"/>
        <v>1</v>
      </c>
      <c r="K67" t="b">
        <f t="shared" si="20"/>
        <v>1</v>
      </c>
      <c r="L67" t="b">
        <f t="shared" si="20"/>
        <v>1</v>
      </c>
    </row>
    <row r="69" spans="1:12" s="32" customFormat="1" x14ac:dyDescent="0.25">
      <c r="A69" s="32" t="s">
        <v>58</v>
      </c>
      <c r="B69" s="33" t="s">
        <v>114</v>
      </c>
    </row>
    <row r="71" spans="1:12" x14ac:dyDescent="0.25">
      <c r="B71" s="2" t="s">
        <v>116</v>
      </c>
    </row>
    <row r="72" spans="1:12" x14ac:dyDescent="0.25">
      <c r="B72" s="28" t="s">
        <v>87</v>
      </c>
      <c r="C72" s="12">
        <f>IFERROR('Cashflow Data'!E4,0)</f>
        <v>43397</v>
      </c>
      <c r="D72" s="12">
        <f>IFERROR('Cashflow Data'!F4,0)</f>
        <v>38626</v>
      </c>
      <c r="E72" s="12">
        <f>IFERROR('Cashflow Data'!G4,0)</f>
        <v>28840</v>
      </c>
      <c r="F72" s="12">
        <f>IFERROR('Cashflow Data'!H4,0)</f>
        <v>33312</v>
      </c>
      <c r="G72" s="12">
        <f>IFERROR('Cashflow Data'!I4,0)</f>
        <v>28771</v>
      </c>
      <c r="H72" s="12">
        <f>IFERROR('Cashflow Data'!J4,0)</f>
        <v>23352</v>
      </c>
      <c r="I72" s="12">
        <f>IFERROR('Cashflow Data'!K4,0)</f>
        <v>31198</v>
      </c>
      <c r="J72" s="12">
        <f>IFERROR('Cashflow Data'!L4,0)</f>
        <v>26943</v>
      </c>
      <c r="K72" s="12">
        <f>IFERROR('Cashflow Data'!M4,0)</f>
        <v>41694</v>
      </c>
      <c r="L72" s="12">
        <f>IFERROR('Cashflow Data'!N4,0)</f>
        <v>65106</v>
      </c>
    </row>
    <row r="73" spans="1:12" x14ac:dyDescent="0.25">
      <c r="B73" s="28" t="s">
        <v>43</v>
      </c>
      <c r="C73" s="12">
        <f>IFERROR('Cashflow Data'!E5,0)</f>
        <v>-3179</v>
      </c>
      <c r="D73" s="12">
        <f>IFERROR('Cashflow Data'!F5,0)</f>
        <v>-2223</v>
      </c>
      <c r="E73" s="12">
        <f>IFERROR('Cashflow Data'!G5,0)</f>
        <v>-4152</v>
      </c>
      <c r="F73" s="12">
        <f>IFERROR('Cashflow Data'!H5,0)</f>
        <v>-10688</v>
      </c>
      <c r="G73" s="12">
        <f>IFERROR('Cashflow Data'!I5,0)</f>
        <v>-9109</v>
      </c>
      <c r="H73" s="12">
        <f>IFERROR('Cashflow Data'!J5,0)</f>
        <v>9950</v>
      </c>
      <c r="I73" s="12">
        <f>IFERROR('Cashflow Data'!K5,0)</f>
        <v>-5505</v>
      </c>
      <c r="J73" s="12">
        <f>IFERROR('Cashflow Data'!L5,0)</f>
        <v>185</v>
      </c>
      <c r="K73" s="12">
        <f>IFERROR('Cashflow Data'!M5,0)</f>
        <v>-2213</v>
      </c>
      <c r="L73" s="12">
        <f>IFERROR('Cashflow Data'!N5,0)</f>
        <v>-1875</v>
      </c>
    </row>
    <row r="74" spans="1:12" x14ac:dyDescent="0.25">
      <c r="B74" s="28" t="s">
        <v>30</v>
      </c>
      <c r="C74" s="12">
        <f>IFERROR('Cashflow Data'!E6,0)</f>
        <v>-3692</v>
      </c>
      <c r="D74" s="12">
        <f>IFERROR('Cashflow Data'!F6,0)</f>
        <v>-5743</v>
      </c>
      <c r="E74" s="12">
        <f>IFERROR('Cashflow Data'!G6,0)</f>
        <v>-6621</v>
      </c>
      <c r="F74" s="12">
        <f>IFERROR('Cashflow Data'!H6,0)</f>
        <v>-3560</v>
      </c>
      <c r="G74" s="12">
        <f>IFERROR('Cashflow Data'!I6,0)</f>
        <v>2069</v>
      </c>
      <c r="H74" s="12">
        <f>IFERROR('Cashflow Data'!J6,0)</f>
        <v>2326</v>
      </c>
      <c r="I74" s="12">
        <f>IFERROR('Cashflow Data'!K6,0)</f>
        <v>3814</v>
      </c>
      <c r="J74" s="12">
        <f>IFERROR('Cashflow Data'!L6,0)</f>
        <v>472</v>
      </c>
      <c r="K74" s="12">
        <f>IFERROR('Cashflow Data'!M6,0)</f>
        <v>-5665</v>
      </c>
      <c r="L74" s="12">
        <f>IFERROR('Cashflow Data'!N6,0)</f>
        <v>-7265</v>
      </c>
    </row>
    <row r="75" spans="1:12" x14ac:dyDescent="0.25">
      <c r="B75" s="28" t="s">
        <v>88</v>
      </c>
      <c r="C75" s="12">
        <f>IFERROR('Cashflow Data'!E7,0)</f>
        <v>3598</v>
      </c>
      <c r="D75" s="12">
        <f>IFERROR('Cashflow Data'!F7,0)</f>
        <v>3947</v>
      </c>
      <c r="E75" s="12">
        <f>IFERROR('Cashflow Data'!G7,0)</f>
        <v>9301</v>
      </c>
      <c r="F75" s="12">
        <f>IFERROR('Cashflow Data'!H7,0)</f>
        <v>7320</v>
      </c>
      <c r="G75" s="12">
        <f>IFERROR('Cashflow Data'!I7,0)</f>
        <v>-4692</v>
      </c>
      <c r="H75" s="12">
        <f>IFERROR('Cashflow Data'!J7,0)</f>
        <v>-8085</v>
      </c>
      <c r="I75" s="12">
        <f>IFERROR('Cashflow Data'!K7,0)</f>
        <v>5748</v>
      </c>
      <c r="J75" s="12">
        <f>IFERROR('Cashflow Data'!L7,0)</f>
        <v>-7012</v>
      </c>
      <c r="K75" s="12">
        <f>IFERROR('Cashflow Data'!M7,0)</f>
        <v>6945</v>
      </c>
      <c r="L75" s="12">
        <f>IFERROR('Cashflow Data'!N7,0)</f>
        <v>13706</v>
      </c>
    </row>
    <row r="76" spans="1:12" x14ac:dyDescent="0.25">
      <c r="B76" s="28" t="s">
        <v>89</v>
      </c>
      <c r="C76" s="12">
        <f>IFERROR('Cashflow Data'!E8,0)</f>
        <v>0</v>
      </c>
      <c r="D76" s="12">
        <f>IFERROR('Cashflow Data'!F8,0)</f>
        <v>-520</v>
      </c>
      <c r="E76" s="12">
        <f>IFERROR('Cashflow Data'!G8,0)</f>
        <v>0</v>
      </c>
      <c r="F76" s="12">
        <f>IFERROR('Cashflow Data'!H8,0)</f>
        <v>0</v>
      </c>
      <c r="G76" s="12">
        <f>IFERROR('Cashflow Data'!I8,0)</f>
        <v>0</v>
      </c>
      <c r="H76" s="12">
        <f>IFERROR('Cashflow Data'!J8,0)</f>
        <v>0</v>
      </c>
      <c r="I76" s="12">
        <f>IFERROR('Cashflow Data'!K8,0)</f>
        <v>0</v>
      </c>
      <c r="J76" s="12">
        <f>IFERROR('Cashflow Data'!L8,0)</f>
        <v>0</v>
      </c>
      <c r="K76" s="12">
        <f>IFERROR('Cashflow Data'!M8,0)</f>
        <v>0</v>
      </c>
      <c r="L76" s="12">
        <f>IFERROR('Cashflow Data'!N8,0)</f>
        <v>0</v>
      </c>
    </row>
    <row r="77" spans="1:12" x14ac:dyDescent="0.25">
      <c r="B77" s="28" t="s">
        <v>90</v>
      </c>
      <c r="C77" s="12">
        <f>IFERROR('Cashflow Data'!E9,0)</f>
        <v>-398</v>
      </c>
      <c r="D77" s="12">
        <f>IFERROR('Cashflow Data'!F9,0)</f>
        <v>5852</v>
      </c>
      <c r="E77" s="12">
        <f>IFERROR('Cashflow Data'!G9,0)</f>
        <v>4727</v>
      </c>
      <c r="F77" s="12">
        <f>IFERROR('Cashflow Data'!H9,0)</f>
        <v>494</v>
      </c>
      <c r="G77" s="12">
        <f>IFERROR('Cashflow Data'!I9,0)</f>
        <v>4512</v>
      </c>
      <c r="H77" s="12">
        <f>IFERROR('Cashflow Data'!J9,0)</f>
        <v>875</v>
      </c>
      <c r="I77" s="12">
        <f>IFERROR('Cashflow Data'!K9,0)</f>
        <v>-4150</v>
      </c>
      <c r="J77" s="12">
        <f>IFERROR('Cashflow Data'!L9,0)</f>
        <v>-4396</v>
      </c>
      <c r="K77" s="12">
        <f>IFERROR('Cashflow Data'!M9,0)</f>
        <v>-2194</v>
      </c>
      <c r="L77" s="12">
        <f>IFERROR('Cashflow Data'!N9,0)</f>
        <v>2760</v>
      </c>
    </row>
    <row r="78" spans="1:12" x14ac:dyDescent="0.25">
      <c r="B78" s="28" t="s">
        <v>91</v>
      </c>
      <c r="C78" s="12">
        <f>IFERROR('Cashflow Data'!E10,0)</f>
        <v>-3672</v>
      </c>
      <c r="D78" s="12">
        <f>IFERROR('Cashflow Data'!F10,0)</f>
        <v>1313</v>
      </c>
      <c r="E78" s="12">
        <f>IFERROR('Cashflow Data'!G10,0)</f>
        <v>3254</v>
      </c>
      <c r="F78" s="12">
        <f>IFERROR('Cashflow Data'!H10,0)</f>
        <v>-6434</v>
      </c>
      <c r="G78" s="12">
        <f>IFERROR('Cashflow Data'!I10,0)</f>
        <v>-7221</v>
      </c>
      <c r="H78" s="12">
        <f>IFERROR('Cashflow Data'!J10,0)</f>
        <v>5065</v>
      </c>
      <c r="I78" s="12">
        <f>IFERROR('Cashflow Data'!K10,0)</f>
        <v>-93</v>
      </c>
      <c r="J78" s="12">
        <f>IFERROR('Cashflow Data'!L10,0)</f>
        <v>-10750</v>
      </c>
      <c r="K78" s="12">
        <f>IFERROR('Cashflow Data'!M10,0)</f>
        <v>-3127</v>
      </c>
      <c r="L78" s="12">
        <f>IFERROR('Cashflow Data'!N10,0)</f>
        <v>7325</v>
      </c>
    </row>
    <row r="79" spans="1:12" x14ac:dyDescent="0.25">
      <c r="B79" s="28" t="s">
        <v>92</v>
      </c>
      <c r="C79" s="12">
        <f>IFERROR('Cashflow Data'!E11,0)</f>
        <v>-4194</v>
      </c>
      <c r="D79" s="12">
        <f>IFERROR('Cashflow Data'!F11,0)</f>
        <v>-2040</v>
      </c>
      <c r="E79" s="12">
        <f>IFERROR('Cashflow Data'!G11,0)</f>
        <v>-1895</v>
      </c>
      <c r="F79" s="12">
        <f>IFERROR('Cashflow Data'!H11,0)</f>
        <v>-3021</v>
      </c>
      <c r="G79" s="12">
        <f>IFERROR('Cashflow Data'!I11,0)</f>
        <v>-2659</v>
      </c>
      <c r="H79" s="12">
        <f>IFERROR('Cashflow Data'!J11,0)</f>
        <v>-1785</v>
      </c>
      <c r="I79" s="12">
        <f>IFERROR('Cashflow Data'!K11,0)</f>
        <v>-2105</v>
      </c>
      <c r="J79" s="12">
        <f>IFERROR('Cashflow Data'!L11,0)</f>
        <v>-1910</v>
      </c>
      <c r="K79" s="12">
        <f>IFERROR('Cashflow Data'!M11,0)</f>
        <v>-3179</v>
      </c>
      <c r="L79" s="12">
        <f>IFERROR('Cashflow Data'!N11,0)</f>
        <v>-4516</v>
      </c>
    </row>
    <row r="80" spans="1:12" x14ac:dyDescent="0.25">
      <c r="B80" s="45" t="s">
        <v>115</v>
      </c>
      <c r="C80" s="44">
        <f>SUM(C72:C79)</f>
        <v>31860</v>
      </c>
      <c r="D80" s="44">
        <f t="shared" ref="D80:L80" si="21">SUM(D72:D79)</f>
        <v>39212</v>
      </c>
      <c r="E80" s="44">
        <f t="shared" si="21"/>
        <v>33454</v>
      </c>
      <c r="F80" s="44">
        <f t="shared" si="21"/>
        <v>17423</v>
      </c>
      <c r="G80" s="44">
        <f t="shared" si="21"/>
        <v>11671</v>
      </c>
      <c r="H80" s="44">
        <f t="shared" si="21"/>
        <v>31698</v>
      </c>
      <c r="I80" s="44">
        <f t="shared" si="21"/>
        <v>28907</v>
      </c>
      <c r="J80" s="44">
        <f t="shared" si="21"/>
        <v>3532</v>
      </c>
      <c r="K80" s="44">
        <f t="shared" si="21"/>
        <v>32261</v>
      </c>
      <c r="L80" s="44">
        <f t="shared" si="21"/>
        <v>75241</v>
      </c>
    </row>
    <row r="82" spans="2:12" x14ac:dyDescent="0.25">
      <c r="B82" s="2" t="s">
        <v>117</v>
      </c>
    </row>
    <row r="83" spans="2:12" x14ac:dyDescent="0.25">
      <c r="B83" s="28" t="s">
        <v>94</v>
      </c>
      <c r="C83" s="12">
        <f>IFERROR('Cashflow Data'!C13,0)</f>
        <v>-18863</v>
      </c>
      <c r="D83" s="12">
        <f>IFERROR('Cashflow Data'!D13,0)</f>
        <v>-26975</v>
      </c>
      <c r="E83" s="12">
        <f>IFERROR('Cashflow Data'!E13,0)</f>
        <v>-31962</v>
      </c>
      <c r="F83" s="12">
        <f>IFERROR('Cashflow Data'!F13,0)</f>
        <v>-31503</v>
      </c>
      <c r="G83" s="12">
        <f>IFERROR('Cashflow Data'!G13,0)</f>
        <v>-16072</v>
      </c>
      <c r="H83" s="12">
        <f>IFERROR('Cashflow Data'!H13,0)</f>
        <v>-35079</v>
      </c>
      <c r="I83" s="12">
        <f>IFERROR('Cashflow Data'!I13,0)</f>
        <v>-35304</v>
      </c>
      <c r="J83" s="12">
        <f>IFERROR('Cashflow Data'!J13,0)</f>
        <v>-29702</v>
      </c>
      <c r="K83" s="12">
        <f>IFERROR('Cashflow Data'!K13,0)</f>
        <v>-20205</v>
      </c>
      <c r="L83" s="12">
        <f>IFERROR('Cashflow Data'!L13,0)</f>
        <v>-15168</v>
      </c>
    </row>
    <row r="84" spans="2:12" x14ac:dyDescent="0.25">
      <c r="B84" s="28" t="s">
        <v>95</v>
      </c>
      <c r="C84" s="12">
        <f>IFERROR('Cashflow Data'!C14,0)</f>
        <v>37</v>
      </c>
      <c r="D84" s="12">
        <f>IFERROR('Cashflow Data'!D14,0)</f>
        <v>50</v>
      </c>
      <c r="E84" s="12">
        <f>IFERROR('Cashflow Data'!E14,0)</f>
        <v>74</v>
      </c>
      <c r="F84" s="12">
        <f>IFERROR('Cashflow Data'!F14,0)</f>
        <v>59</v>
      </c>
      <c r="G84" s="12">
        <f>IFERROR('Cashflow Data'!G14,0)</f>
        <v>53</v>
      </c>
      <c r="H84" s="12">
        <f>IFERROR('Cashflow Data'!H14,0)</f>
        <v>30</v>
      </c>
      <c r="I84" s="12">
        <f>IFERROR('Cashflow Data'!I14,0)</f>
        <v>67</v>
      </c>
      <c r="J84" s="12">
        <f>IFERROR('Cashflow Data'!J14,0)</f>
        <v>171</v>
      </c>
      <c r="K84" s="12">
        <f>IFERROR('Cashflow Data'!K14,0)</f>
        <v>351</v>
      </c>
      <c r="L84" s="12">
        <f>IFERROR('Cashflow Data'!L14,0)</f>
        <v>230</v>
      </c>
    </row>
    <row r="85" spans="2:12" x14ac:dyDescent="0.25">
      <c r="B85" s="28" t="s">
        <v>96</v>
      </c>
      <c r="C85" s="12">
        <f>IFERROR('Cashflow Data'!C15,0)</f>
        <v>73</v>
      </c>
      <c r="D85" s="12">
        <f>IFERROR('Cashflow Data'!D15,0)</f>
        <v>-429</v>
      </c>
      <c r="E85" s="12">
        <f>IFERROR('Cashflow Data'!E15,0)</f>
        <v>-5461</v>
      </c>
      <c r="F85" s="12">
        <f>IFERROR('Cashflow Data'!F15,0)</f>
        <v>-4728</v>
      </c>
      <c r="G85" s="12">
        <f>IFERROR('Cashflow Data'!G15,0)</f>
        <v>-6</v>
      </c>
      <c r="H85" s="12">
        <f>IFERROR('Cashflow Data'!H15,0)</f>
        <v>-329</v>
      </c>
      <c r="I85" s="12">
        <f>IFERROR('Cashflow Data'!I15,0)</f>
        <v>-130</v>
      </c>
      <c r="J85" s="12">
        <f>IFERROR('Cashflow Data'!J15,0)</f>
        <v>-1439</v>
      </c>
      <c r="K85" s="12">
        <f>IFERROR('Cashflow Data'!K15,0)</f>
        <v>-7530</v>
      </c>
      <c r="L85" s="12">
        <f>IFERROR('Cashflow Data'!L15,0)</f>
        <v>-3008</v>
      </c>
    </row>
    <row r="86" spans="2:12" x14ac:dyDescent="0.25">
      <c r="B86" s="28" t="s">
        <v>97</v>
      </c>
      <c r="C86" s="12">
        <f>IFERROR('Cashflow Data'!C16,0)</f>
        <v>34</v>
      </c>
      <c r="D86" s="12">
        <f>IFERROR('Cashflow Data'!D16,0)</f>
        <v>4</v>
      </c>
      <c r="E86" s="12">
        <f>IFERROR('Cashflow Data'!E16,0)</f>
        <v>42</v>
      </c>
      <c r="F86" s="12">
        <f>IFERROR('Cashflow Data'!F16,0)</f>
        <v>89</v>
      </c>
      <c r="G86" s="12">
        <f>IFERROR('Cashflow Data'!G16,0)</f>
        <v>1965</v>
      </c>
      <c r="H86" s="12">
        <f>IFERROR('Cashflow Data'!H16,0)</f>
        <v>2381</v>
      </c>
      <c r="I86" s="12">
        <f>IFERROR('Cashflow Data'!I16,0)</f>
        <v>5644</v>
      </c>
      <c r="J86" s="12">
        <f>IFERROR('Cashflow Data'!J16,0)</f>
        <v>21</v>
      </c>
      <c r="K86" s="12">
        <f>IFERROR('Cashflow Data'!K16,0)</f>
        <v>226</v>
      </c>
      <c r="L86" s="12">
        <f>IFERROR('Cashflow Data'!L16,0)</f>
        <v>104</v>
      </c>
    </row>
    <row r="87" spans="2:12" x14ac:dyDescent="0.25">
      <c r="B87" s="28" t="s">
        <v>98</v>
      </c>
      <c r="C87" s="12">
        <f>IFERROR('Cashflow Data'!C17,0)</f>
        <v>713</v>
      </c>
      <c r="D87" s="12">
        <f>IFERROR('Cashflow Data'!D17,0)</f>
        <v>653</v>
      </c>
      <c r="E87" s="12">
        <f>IFERROR('Cashflow Data'!E17,0)</f>
        <v>698</v>
      </c>
      <c r="F87" s="12">
        <f>IFERROR('Cashflow Data'!F17,0)</f>
        <v>731</v>
      </c>
      <c r="G87" s="12">
        <f>IFERROR('Cashflow Data'!G17,0)</f>
        <v>638</v>
      </c>
      <c r="H87" s="12">
        <f>IFERROR('Cashflow Data'!H17,0)</f>
        <v>690</v>
      </c>
      <c r="I87" s="12">
        <f>IFERROR('Cashflow Data'!I17,0)</f>
        <v>761</v>
      </c>
      <c r="J87" s="12">
        <f>IFERROR('Cashflow Data'!J17,0)</f>
        <v>1104</v>
      </c>
      <c r="K87" s="12">
        <f>IFERROR('Cashflow Data'!K17,0)</f>
        <v>428</v>
      </c>
      <c r="L87" s="12">
        <f>IFERROR('Cashflow Data'!L17,0)</f>
        <v>653</v>
      </c>
    </row>
    <row r="88" spans="2:12" x14ac:dyDescent="0.25">
      <c r="B88" s="28" t="s">
        <v>99</v>
      </c>
      <c r="C88" s="12">
        <f>IFERROR('Cashflow Data'!C18,0)</f>
        <v>95</v>
      </c>
      <c r="D88" s="12">
        <f>IFERROR('Cashflow Data'!D18,0)</f>
        <v>40</v>
      </c>
      <c r="E88" s="12">
        <f>IFERROR('Cashflow Data'!E18,0)</f>
        <v>80</v>
      </c>
      <c r="F88" s="12">
        <f>IFERROR('Cashflow Data'!F18,0)</f>
        <v>58</v>
      </c>
      <c r="G88" s="12">
        <f>IFERROR('Cashflow Data'!G18,0)</f>
        <v>620</v>
      </c>
      <c r="H88" s="12">
        <f>IFERROR('Cashflow Data'!H18,0)</f>
        <v>1797</v>
      </c>
      <c r="I88" s="12">
        <f>IFERROR('Cashflow Data'!I18,0)</f>
        <v>232</v>
      </c>
      <c r="J88" s="12">
        <f>IFERROR('Cashflow Data'!J18,0)</f>
        <v>21</v>
      </c>
      <c r="K88" s="12">
        <f>IFERROR('Cashflow Data'!K18,0)</f>
        <v>18</v>
      </c>
      <c r="L88" s="12">
        <f>IFERROR('Cashflow Data'!L18,0)</f>
        <v>32</v>
      </c>
    </row>
    <row r="89" spans="2:12" x14ac:dyDescent="0.25">
      <c r="B89" s="28" t="s">
        <v>100</v>
      </c>
      <c r="C89" s="12">
        <f>IFERROR('Cashflow Data'!C19,0)</f>
        <v>0</v>
      </c>
      <c r="D89" s="12">
        <f>IFERROR('Cashflow Data'!D19,0)</f>
        <v>0</v>
      </c>
      <c r="E89" s="12">
        <f>IFERROR('Cashflow Data'!E19,0)</f>
        <v>-160</v>
      </c>
      <c r="F89" s="12">
        <f>IFERROR('Cashflow Data'!F19,0)</f>
        <v>0</v>
      </c>
      <c r="G89" s="12">
        <f>IFERROR('Cashflow Data'!G19,0)</f>
        <v>-107</v>
      </c>
      <c r="H89" s="12">
        <f>IFERROR('Cashflow Data'!H19,0)</f>
        <v>-4</v>
      </c>
      <c r="I89" s="12">
        <f>IFERROR('Cashflow Data'!I19,0)</f>
        <v>-9</v>
      </c>
      <c r="J89" s="12">
        <f>IFERROR('Cashflow Data'!J19,0)</f>
        <v>-606</v>
      </c>
      <c r="K89" s="12">
        <f>IFERROR('Cashflow Data'!K19,0)</f>
        <v>-10</v>
      </c>
      <c r="L89" s="12">
        <f>IFERROR('Cashflow Data'!L19,0)</f>
        <v>0</v>
      </c>
    </row>
    <row r="90" spans="2:12" x14ac:dyDescent="0.25">
      <c r="B90" s="28" t="s">
        <v>101</v>
      </c>
      <c r="C90" s="12">
        <f>IFERROR('Cashflow Data'!C20,0)</f>
        <v>0</v>
      </c>
      <c r="D90" s="12">
        <f>IFERROR('Cashflow Data'!D20,0)</f>
        <v>0</v>
      </c>
      <c r="E90" s="12">
        <f>IFERROR('Cashflow Data'!E20,0)</f>
        <v>0</v>
      </c>
      <c r="F90" s="12">
        <f>IFERROR('Cashflow Data'!F20,0)</f>
        <v>0</v>
      </c>
      <c r="G90" s="12">
        <f>IFERROR('Cashflow Data'!G20,0)</f>
        <v>0</v>
      </c>
      <c r="H90" s="12">
        <f>IFERROR('Cashflow Data'!H20,0)</f>
        <v>14</v>
      </c>
      <c r="I90" s="12">
        <f>IFERROR('Cashflow Data'!I20,0)</f>
        <v>533</v>
      </c>
      <c r="J90" s="12">
        <f>IFERROR('Cashflow Data'!J20,0)</f>
        <v>0</v>
      </c>
      <c r="K90" s="12">
        <f>IFERROR('Cashflow Data'!K20,0)</f>
        <v>0</v>
      </c>
      <c r="L90" s="12">
        <f>IFERROR('Cashflow Data'!L20,0)</f>
        <v>0</v>
      </c>
    </row>
    <row r="91" spans="2:12" x14ac:dyDescent="0.25">
      <c r="B91" s="28" t="s">
        <v>102</v>
      </c>
      <c r="C91" s="12">
        <f>IFERROR('Cashflow Data'!C21,0)</f>
        <v>0</v>
      </c>
      <c r="D91" s="12">
        <f>IFERROR('Cashflow Data'!D21,0)</f>
        <v>-185</v>
      </c>
      <c r="E91" s="12">
        <f>IFERROR('Cashflow Data'!E21,0)</f>
        <v>0</v>
      </c>
      <c r="F91" s="12">
        <f>IFERROR('Cashflow Data'!F21,0)</f>
        <v>-111</v>
      </c>
      <c r="G91" s="12">
        <f>IFERROR('Cashflow Data'!G21,0)</f>
        <v>0</v>
      </c>
      <c r="H91" s="12">
        <f>IFERROR('Cashflow Data'!H21,0)</f>
        <v>0</v>
      </c>
      <c r="I91" s="12">
        <f>IFERROR('Cashflow Data'!I21,0)</f>
        <v>-8</v>
      </c>
      <c r="J91" s="12">
        <f>IFERROR('Cashflow Data'!J21,0)</f>
        <v>-27</v>
      </c>
      <c r="K91" s="12">
        <f>IFERROR('Cashflow Data'!K21,0)</f>
        <v>0</v>
      </c>
      <c r="L91" s="12">
        <f>IFERROR('Cashflow Data'!L21,0)</f>
        <v>-98</v>
      </c>
    </row>
    <row r="92" spans="2:12" x14ac:dyDescent="0.25">
      <c r="B92" s="28" t="s">
        <v>103</v>
      </c>
      <c r="C92" s="12">
        <f>IFERROR('Cashflow Data'!C22,0)</f>
        <v>45</v>
      </c>
      <c r="D92" s="12">
        <f>IFERROR('Cashflow Data'!D22,0)</f>
        <v>0</v>
      </c>
      <c r="E92" s="12">
        <f>IFERROR('Cashflow Data'!E22,0)</f>
        <v>0</v>
      </c>
      <c r="F92" s="12">
        <f>IFERROR('Cashflow Data'!F22,0)</f>
        <v>0</v>
      </c>
      <c r="G92" s="12">
        <f>IFERROR('Cashflow Data'!G22,0)</f>
        <v>0</v>
      </c>
      <c r="H92" s="12">
        <f>IFERROR('Cashflow Data'!H22,0)</f>
        <v>0</v>
      </c>
      <c r="I92" s="12">
        <f>IFERROR('Cashflow Data'!I22,0)</f>
        <v>0</v>
      </c>
      <c r="J92" s="12">
        <f>IFERROR('Cashflow Data'!J22,0)</f>
        <v>0</v>
      </c>
      <c r="K92" s="12">
        <f>IFERROR('Cashflow Data'!K22,0)</f>
        <v>0</v>
      </c>
      <c r="L92" s="12">
        <f>IFERROR('Cashflow Data'!L22,0)</f>
        <v>0</v>
      </c>
    </row>
    <row r="93" spans="2:12" x14ac:dyDescent="0.25">
      <c r="B93" s="28" t="s">
        <v>104</v>
      </c>
      <c r="C93" s="12">
        <f>IFERROR('Cashflow Data'!C23,0)</f>
        <v>-5103</v>
      </c>
      <c r="D93" s="12">
        <f>IFERROR('Cashflow Data'!D23,0)</f>
        <v>-1149</v>
      </c>
      <c r="E93" s="12">
        <f>IFERROR('Cashflow Data'!E23,0)</f>
        <v>456</v>
      </c>
      <c r="F93" s="12">
        <f>IFERROR('Cashflow Data'!F23,0)</f>
        <v>-1289</v>
      </c>
      <c r="G93" s="12">
        <f>IFERROR('Cashflow Data'!G23,0)</f>
        <v>-26663</v>
      </c>
      <c r="H93" s="12">
        <f>IFERROR('Cashflow Data'!H23,0)</f>
        <v>5360</v>
      </c>
      <c r="I93" s="12">
        <f>IFERROR('Cashflow Data'!I23,0)</f>
        <v>7335</v>
      </c>
      <c r="J93" s="12">
        <f>IFERROR('Cashflow Data'!J23,0)</f>
        <v>-2659</v>
      </c>
      <c r="K93" s="12">
        <f>IFERROR('Cashflow Data'!K23,0)</f>
        <v>1051</v>
      </c>
      <c r="L93" s="12">
        <f>IFERROR('Cashflow Data'!L23,0)</f>
        <v>12813</v>
      </c>
    </row>
    <row r="94" spans="2:12" x14ac:dyDescent="0.25">
      <c r="B94" s="43" t="s">
        <v>118</v>
      </c>
      <c r="C94" s="44">
        <f>SUM(C83:C93)</f>
        <v>-22969</v>
      </c>
      <c r="D94" s="44">
        <f t="shared" ref="D94:L94" si="22">SUM(D83:D93)</f>
        <v>-27991</v>
      </c>
      <c r="E94" s="44">
        <f t="shared" si="22"/>
        <v>-36233</v>
      </c>
      <c r="F94" s="44">
        <f t="shared" si="22"/>
        <v>-36694</v>
      </c>
      <c r="G94" s="44">
        <f t="shared" si="22"/>
        <v>-39572</v>
      </c>
      <c r="H94" s="44">
        <f t="shared" si="22"/>
        <v>-25140</v>
      </c>
      <c r="I94" s="44">
        <f t="shared" si="22"/>
        <v>-20879</v>
      </c>
      <c r="J94" s="44">
        <f t="shared" si="22"/>
        <v>-33116</v>
      </c>
      <c r="K94" s="44">
        <f t="shared" si="22"/>
        <v>-25671</v>
      </c>
      <c r="L94" s="44">
        <f t="shared" si="22"/>
        <v>-4442</v>
      </c>
    </row>
    <row r="96" spans="2:12" x14ac:dyDescent="0.25">
      <c r="B96" s="2" t="s">
        <v>119</v>
      </c>
    </row>
    <row r="97" spans="2:12" x14ac:dyDescent="0.25">
      <c r="B97" s="28" t="s">
        <v>106</v>
      </c>
      <c r="C97" s="12">
        <f>IFERROR('Cashflow Data'!C25,0)</f>
        <v>1</v>
      </c>
      <c r="D97" s="12">
        <f>IFERROR('Cashflow Data'!D25,0)</f>
        <v>0</v>
      </c>
      <c r="E97" s="12">
        <f>IFERROR('Cashflow Data'!E25,0)</f>
        <v>0</v>
      </c>
      <c r="F97" s="12">
        <f>IFERROR('Cashflow Data'!F25,0)</f>
        <v>7433</v>
      </c>
      <c r="G97" s="12">
        <f>IFERROR('Cashflow Data'!G25,0)</f>
        <v>5</v>
      </c>
      <c r="H97" s="12">
        <f>IFERROR('Cashflow Data'!H25,0)</f>
        <v>0</v>
      </c>
      <c r="I97" s="12">
        <f>IFERROR('Cashflow Data'!I25,0)</f>
        <v>0</v>
      </c>
      <c r="J97" s="12">
        <f>IFERROR('Cashflow Data'!J25,0)</f>
        <v>3889</v>
      </c>
      <c r="K97" s="12">
        <f>IFERROR('Cashflow Data'!K25,0)</f>
        <v>2603</v>
      </c>
      <c r="L97" s="12">
        <f>IFERROR('Cashflow Data'!L25,0)</f>
        <v>19</v>
      </c>
    </row>
    <row r="98" spans="2:12" x14ac:dyDescent="0.25">
      <c r="B98" s="28" t="s">
        <v>107</v>
      </c>
      <c r="C98" s="12">
        <f>IFERROR('Cashflow Data'!C26,0)</f>
        <v>-97</v>
      </c>
      <c r="D98" s="12">
        <f>IFERROR('Cashflow Data'!D26,0)</f>
        <v>-658</v>
      </c>
      <c r="E98" s="12">
        <f>IFERROR('Cashflow Data'!E26,0)</f>
        <v>-744</v>
      </c>
      <c r="F98" s="12">
        <f>IFERROR('Cashflow Data'!F26,0)</f>
        <v>0</v>
      </c>
      <c r="G98" s="12">
        <f>IFERROR('Cashflow Data'!G26,0)</f>
        <v>0</v>
      </c>
      <c r="H98" s="12">
        <f>IFERROR('Cashflow Data'!H26,0)</f>
        <v>0</v>
      </c>
      <c r="I98" s="12">
        <f>IFERROR('Cashflow Data'!I26,0)</f>
        <v>0</v>
      </c>
      <c r="J98" s="12">
        <f>IFERROR('Cashflow Data'!J26,0)</f>
        <v>0</v>
      </c>
      <c r="K98" s="12">
        <f>IFERROR('Cashflow Data'!K26,0)</f>
        <v>0</v>
      </c>
      <c r="L98" s="12">
        <f>IFERROR('Cashflow Data'!L26,0)</f>
        <v>0</v>
      </c>
    </row>
    <row r="99" spans="2:12" x14ac:dyDescent="0.25">
      <c r="B99" s="28" t="s">
        <v>108</v>
      </c>
      <c r="C99" s="12">
        <f>IFERROR('Cashflow Data'!C27,0)</f>
        <v>27863</v>
      </c>
      <c r="D99" s="12">
        <f>IFERROR('Cashflow Data'!D27,0)</f>
        <v>33258</v>
      </c>
      <c r="E99" s="12">
        <f>IFERROR('Cashflow Data'!E27,0)</f>
        <v>36363</v>
      </c>
      <c r="F99" s="12">
        <f>IFERROR('Cashflow Data'!F27,0)</f>
        <v>19519</v>
      </c>
      <c r="G99" s="12">
        <f>IFERROR('Cashflow Data'!G27,0)</f>
        <v>33390</v>
      </c>
      <c r="H99" s="12">
        <f>IFERROR('Cashflow Data'!H27,0)</f>
        <v>37482</v>
      </c>
      <c r="I99" s="12">
        <f>IFERROR('Cashflow Data'!I27,0)</f>
        <v>51128</v>
      </c>
      <c r="J99" s="12">
        <f>IFERROR('Cashflow Data'!J27,0)</f>
        <v>38297</v>
      </c>
      <c r="K99" s="12">
        <f>IFERROR('Cashflow Data'!K27,0)</f>
        <v>46641</v>
      </c>
      <c r="L99" s="12">
        <f>IFERROR('Cashflow Data'!L27,0)</f>
        <v>46578</v>
      </c>
    </row>
    <row r="100" spans="2:12" x14ac:dyDescent="0.25">
      <c r="B100" s="28" t="s">
        <v>109</v>
      </c>
      <c r="C100" s="12">
        <f>IFERROR('Cashflow Data'!C28,0)</f>
        <v>-20395</v>
      </c>
      <c r="D100" s="12">
        <f>IFERROR('Cashflow Data'!D28,0)</f>
        <v>-29141</v>
      </c>
      <c r="E100" s="12">
        <f>IFERROR('Cashflow Data'!E28,0)</f>
        <v>-23332</v>
      </c>
      <c r="F100" s="12">
        <f>IFERROR('Cashflow Data'!F28,0)</f>
        <v>-24924</v>
      </c>
      <c r="G100" s="12">
        <f>IFERROR('Cashflow Data'!G28,0)</f>
        <v>-21732</v>
      </c>
      <c r="H100" s="12">
        <f>IFERROR('Cashflow Data'!H28,0)</f>
        <v>-29964</v>
      </c>
      <c r="I100" s="12">
        <f>IFERROR('Cashflow Data'!I28,0)</f>
        <v>-35198</v>
      </c>
      <c r="J100" s="12">
        <f>IFERROR('Cashflow Data'!J28,0)</f>
        <v>-29847</v>
      </c>
      <c r="K100" s="12">
        <f>IFERROR('Cashflow Data'!K28,0)</f>
        <v>-29709</v>
      </c>
      <c r="L100" s="12">
        <f>IFERROR('Cashflow Data'!L28,0)</f>
        <v>-42816</v>
      </c>
    </row>
    <row r="101" spans="2:12" x14ac:dyDescent="0.25">
      <c r="B101" s="28" t="s">
        <v>110</v>
      </c>
      <c r="C101" s="12">
        <f>IFERROR('Cashflow Data'!C29,0)</f>
        <v>-4666</v>
      </c>
      <c r="D101" s="12">
        <f>IFERROR('Cashflow Data'!D29,0)</f>
        <v>-6171</v>
      </c>
      <c r="E101" s="12">
        <f>IFERROR('Cashflow Data'!E29,0)</f>
        <v>-6307</v>
      </c>
      <c r="F101" s="12">
        <f>IFERROR('Cashflow Data'!F29,0)</f>
        <v>-5716</v>
      </c>
      <c r="G101" s="12">
        <f>IFERROR('Cashflow Data'!G29,0)</f>
        <v>-5336</v>
      </c>
      <c r="H101" s="12">
        <f>IFERROR('Cashflow Data'!H29,0)</f>
        <v>-5411</v>
      </c>
      <c r="I101" s="12">
        <f>IFERROR('Cashflow Data'!I29,0)</f>
        <v>-7005</v>
      </c>
      <c r="J101" s="12">
        <f>IFERROR('Cashflow Data'!J29,0)</f>
        <v>-7518</v>
      </c>
      <c r="K101" s="12">
        <f>IFERROR('Cashflow Data'!K29,0)</f>
        <v>-8123</v>
      </c>
      <c r="L101" s="12">
        <f>IFERROR('Cashflow Data'!L29,0)</f>
        <v>-9251</v>
      </c>
    </row>
    <row r="102" spans="2:12" x14ac:dyDescent="0.25">
      <c r="B102" s="28" t="s">
        <v>111</v>
      </c>
      <c r="C102" s="12">
        <f>IFERROR('Cashflow Data'!C30,0)</f>
        <v>-1551</v>
      </c>
      <c r="D102" s="12">
        <f>IFERROR('Cashflow Data'!D30,0)</f>
        <v>-722</v>
      </c>
      <c r="E102" s="12">
        <f>IFERROR('Cashflow Data'!E30,0)</f>
        <v>-720</v>
      </c>
      <c r="F102" s="12">
        <f>IFERROR('Cashflow Data'!F30,0)</f>
        <v>-108</v>
      </c>
      <c r="G102" s="12">
        <f>IFERROR('Cashflow Data'!G30,0)</f>
        <v>-121</v>
      </c>
      <c r="H102" s="12">
        <f>IFERROR('Cashflow Data'!H30,0)</f>
        <v>-96</v>
      </c>
      <c r="I102" s="12">
        <f>IFERROR('Cashflow Data'!I30,0)</f>
        <v>-95</v>
      </c>
      <c r="J102" s="12">
        <f>IFERROR('Cashflow Data'!J30,0)</f>
        <v>-57</v>
      </c>
      <c r="K102" s="12">
        <f>IFERROR('Cashflow Data'!K30,0)</f>
        <v>-30</v>
      </c>
      <c r="L102" s="12">
        <f>IFERROR('Cashflow Data'!L30,0)</f>
        <v>-100</v>
      </c>
    </row>
    <row r="103" spans="2:12" x14ac:dyDescent="0.25">
      <c r="B103" s="28" t="s">
        <v>112</v>
      </c>
      <c r="C103" s="12">
        <f>IFERROR('Cashflow Data'!C31,0)</f>
        <v>0</v>
      </c>
      <c r="D103" s="12">
        <f>IFERROR('Cashflow Data'!D31,0)</f>
        <v>0</v>
      </c>
      <c r="E103" s="12">
        <f>IFERROR('Cashflow Data'!E31,0)</f>
        <v>0</v>
      </c>
      <c r="F103" s="12">
        <f>IFERROR('Cashflow Data'!F31,0)</f>
        <v>0</v>
      </c>
      <c r="G103" s="12">
        <f>IFERROR('Cashflow Data'!G31,0)</f>
        <v>0</v>
      </c>
      <c r="H103" s="12">
        <f>IFERROR('Cashflow Data'!H31,0)</f>
        <v>0</v>
      </c>
      <c r="I103" s="12">
        <f>IFERROR('Cashflow Data'!I31,0)</f>
        <v>0</v>
      </c>
      <c r="J103" s="12">
        <f>IFERROR('Cashflow Data'!J31,0)</f>
        <v>-1346</v>
      </c>
      <c r="K103" s="12">
        <f>IFERROR('Cashflow Data'!K31,0)</f>
        <v>-1477</v>
      </c>
      <c r="L103" s="12">
        <f>IFERROR('Cashflow Data'!L31,0)</f>
        <v>-1559</v>
      </c>
    </row>
    <row r="104" spans="2:12" x14ac:dyDescent="0.25">
      <c r="B104" s="28" t="s">
        <v>113</v>
      </c>
      <c r="C104" s="12">
        <f>IFERROR('Cashflow Data'!C32,0)</f>
        <v>-2849</v>
      </c>
      <c r="D104" s="12">
        <f>IFERROR('Cashflow Data'!D32,0)</f>
        <v>-450</v>
      </c>
      <c r="E104" s="12">
        <f>IFERROR('Cashflow Data'!E32,0)</f>
        <v>-57</v>
      </c>
      <c r="F104" s="12">
        <f>IFERROR('Cashflow Data'!F32,0)</f>
        <v>0</v>
      </c>
      <c r="G104" s="12">
        <f>IFERROR('Cashflow Data'!G32,0)</f>
        <v>0</v>
      </c>
      <c r="H104" s="12">
        <f>IFERROR('Cashflow Data'!H32,0)</f>
        <v>0</v>
      </c>
      <c r="I104" s="12">
        <f>IFERROR('Cashflow Data'!I32,0)</f>
        <v>0</v>
      </c>
      <c r="J104" s="12">
        <f>IFERROR('Cashflow Data'!J32,0)</f>
        <v>-29</v>
      </c>
      <c r="K104" s="12">
        <f>IFERROR('Cashflow Data'!K32,0)</f>
        <v>0</v>
      </c>
      <c r="L104" s="12">
        <f>IFERROR('Cashflow Data'!L32,0)</f>
        <v>3750</v>
      </c>
    </row>
    <row r="105" spans="2:12" x14ac:dyDescent="0.25">
      <c r="B105" s="43" t="s">
        <v>120</v>
      </c>
      <c r="C105" s="44">
        <f>SUM(C97:C104)</f>
        <v>-1694</v>
      </c>
      <c r="D105" s="44">
        <f t="shared" ref="D105:L105" si="23">SUM(D97:D104)</f>
        <v>-3884</v>
      </c>
      <c r="E105" s="44">
        <f t="shared" si="23"/>
        <v>5203</v>
      </c>
      <c r="F105" s="44">
        <f t="shared" si="23"/>
        <v>-3796</v>
      </c>
      <c r="G105" s="44">
        <f t="shared" si="23"/>
        <v>6206</v>
      </c>
      <c r="H105" s="44">
        <f t="shared" si="23"/>
        <v>2011</v>
      </c>
      <c r="I105" s="44">
        <f t="shared" si="23"/>
        <v>8830</v>
      </c>
      <c r="J105" s="44">
        <f t="shared" si="23"/>
        <v>3389</v>
      </c>
      <c r="K105" s="44">
        <f t="shared" si="23"/>
        <v>9905</v>
      </c>
      <c r="L105" s="44">
        <f t="shared" si="23"/>
        <v>-3379</v>
      </c>
    </row>
    <row r="107" spans="2:12" x14ac:dyDescent="0.25">
      <c r="B107" s="43" t="s">
        <v>21</v>
      </c>
      <c r="C107" s="46">
        <f t="shared" ref="C107:L107" si="24">SUM(C99:C106)</f>
        <v>-3292</v>
      </c>
      <c r="D107" s="46">
        <f t="shared" si="24"/>
        <v>-7110</v>
      </c>
      <c r="E107" s="46">
        <f t="shared" si="24"/>
        <v>11150</v>
      </c>
      <c r="F107" s="46">
        <f t="shared" si="24"/>
        <v>-15025</v>
      </c>
      <c r="G107" s="46">
        <f t="shared" si="24"/>
        <v>12407</v>
      </c>
      <c r="H107" s="46">
        <f t="shared" si="24"/>
        <v>4022</v>
      </c>
      <c r="I107" s="46">
        <f t="shared" si="24"/>
        <v>17660</v>
      </c>
      <c r="J107" s="46">
        <f t="shared" si="24"/>
        <v>2889</v>
      </c>
      <c r="K107" s="46">
        <f t="shared" si="24"/>
        <v>17207</v>
      </c>
      <c r="L107" s="46">
        <f t="shared" si="24"/>
        <v>-6777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M6 M9 C15 H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156D-7FBC-4400-8E48-109B7E048335}">
  <dimension ref="B2:L16"/>
  <sheetViews>
    <sheetView tabSelected="1" workbookViewId="0">
      <selection activeCell="D18" sqref="D18"/>
    </sheetView>
  </sheetViews>
  <sheetFormatPr defaultRowHeight="15" x14ac:dyDescent="0.25"/>
  <cols>
    <col min="1" max="1" width="1.85546875" customWidth="1"/>
    <col min="2" max="2" width="16.85546875" bestFit="1" customWidth="1"/>
    <col min="3" max="3" width="7.28515625" bestFit="1" customWidth="1"/>
    <col min="4" max="4" width="8.42578125" bestFit="1" customWidth="1"/>
    <col min="5" max="5" width="9.42578125" bestFit="1" customWidth="1"/>
    <col min="6" max="6" width="8.42578125" bestFit="1" customWidth="1"/>
    <col min="7" max="7" width="9.42578125" bestFit="1" customWidth="1"/>
    <col min="8" max="8" width="8.7109375" bestFit="1" customWidth="1"/>
    <col min="9" max="9" width="9.42578125" bestFit="1" customWidth="1"/>
    <col min="10" max="10" width="10.42578125" bestFit="1" customWidth="1"/>
    <col min="11" max="11" width="8.42578125" bestFit="1" customWidth="1"/>
    <col min="12" max="12" width="9.42578125" bestFit="1" customWidth="1"/>
  </cols>
  <sheetData>
    <row r="2" spans="2:12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x14ac:dyDescent="0.25">
      <c r="B3" s="40" t="str">
        <f>"Ratio Analysis - "&amp;'Data Sheet'!$B$1</f>
        <v>Ratio Analysis - TATA MOTORS LTD</v>
      </c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2:12" x14ac:dyDescent="0.25">
      <c r="B4" s="9" t="s">
        <v>55</v>
      </c>
      <c r="C4" s="10">
        <v>42094</v>
      </c>
      <c r="D4" s="10">
        <v>42460</v>
      </c>
      <c r="E4" s="10">
        <v>42825</v>
      </c>
      <c r="F4" s="10">
        <v>43190</v>
      </c>
      <c r="G4" s="10">
        <v>43555</v>
      </c>
      <c r="H4" s="10">
        <v>43921</v>
      </c>
      <c r="I4" s="10">
        <v>44286</v>
      </c>
      <c r="J4" s="10">
        <v>44651</v>
      </c>
      <c r="K4" s="10">
        <v>45016</v>
      </c>
      <c r="L4" s="10">
        <v>45382</v>
      </c>
    </row>
    <row r="6" spans="2:12" x14ac:dyDescent="0.25">
      <c r="B6" t="s">
        <v>10</v>
      </c>
      <c r="C6" s="15" t="str">
        <f>IFERROR('Historical FS'!C7,0)</f>
        <v>-</v>
      </c>
      <c r="D6" s="15">
        <f>IFERROR('Historical FS'!D7,0)</f>
        <v>3.75690010654397E-2</v>
      </c>
      <c r="E6" s="15">
        <f>IFERROR('Historical FS'!E7,0)</f>
        <v>-1.2280329732469508E-2</v>
      </c>
      <c r="F6" s="15">
        <f>IFERROR('Historical FS'!F7,0)</f>
        <v>8.104774581985974E-2</v>
      </c>
      <c r="G6" s="15">
        <f>IFERROR('Historical FS'!G7,0)</f>
        <v>3.5629919045237157E-2</v>
      </c>
      <c r="H6" s="15">
        <f>IFERROR('Historical FS'!H7,0)</f>
        <v>-0.135360159555724</v>
      </c>
      <c r="I6" s="15">
        <f>IFERROR('Historical FS'!I7,0)</f>
        <v>-4.3181168490336042E-2</v>
      </c>
      <c r="J6" s="15">
        <f>IFERROR('Historical FS'!J7,0)</f>
        <v>0.11472967306158344</v>
      </c>
      <c r="K6" s="15">
        <f>IFERROR('Historical FS'!K7,0)</f>
        <v>0.24245815155859707</v>
      </c>
      <c r="L6" s="15">
        <f>IFERROR('Historical FS'!L7,0)</f>
        <v>0.26580803363974326</v>
      </c>
    </row>
    <row r="7" spans="2:12" x14ac:dyDescent="0.25">
      <c r="B7" t="s">
        <v>121</v>
      </c>
      <c r="D7" s="15">
        <f>IFERROR('Historical FS'!D18/'Historical FS'!C18-1,0)</f>
        <v>-2.1494113584437979E-2</v>
      </c>
      <c r="E7" s="15">
        <f>IFERROR('Historical FS'!E18/'Historical FS'!D18-1,0)</f>
        <v>-0.22936587208052905</v>
      </c>
      <c r="F7" s="15">
        <f>IFERROR('Historical FS'!F18/'Historical FS'!E18-1,0)</f>
        <v>6.3165689322506102E-2</v>
      </c>
      <c r="G7" s="15">
        <f>IFERROR('Historical FS'!G18/'Historical FS'!F18-1,0)</f>
        <v>-0.21595203460649259</v>
      </c>
      <c r="H7" s="15">
        <f>IFERROR('Historical FS'!H18/'Historical FS'!G18-1,0)</f>
        <v>-0.27072537547138131</v>
      </c>
      <c r="I7" s="15">
        <f>IFERROR('Historical FS'!I18/'Historical FS'!H18-1,0)</f>
        <v>0.79503554497758966</v>
      </c>
      <c r="J7" s="15">
        <f>IFERROR('Historical FS'!J18/'Historical FS'!I18-1,0)</f>
        <v>-0.234374182150762</v>
      </c>
      <c r="K7" s="15">
        <f>IFERROR('Historical FS'!K18/'Historical FS'!J18-1,0)</f>
        <v>0.28704223973294352</v>
      </c>
      <c r="L7" s="15">
        <f>IFERROR('Historical FS'!L18/'Historical FS'!K18-1,0)</f>
        <v>0.87134505497269021</v>
      </c>
    </row>
    <row r="8" spans="2:12" x14ac:dyDescent="0.25">
      <c r="B8" t="s">
        <v>122</v>
      </c>
      <c r="D8" s="15">
        <f>IFERROR('Historical FS'!D27/'Historical FS'!C27-1,0)</f>
        <v>-0.19978245260625749</v>
      </c>
      <c r="E8" s="15">
        <f>IFERROR('Historical FS'!E27/'Historical FS'!D27-1,0)</f>
        <v>-0.55668251823863213</v>
      </c>
      <c r="F8" s="15">
        <f>IFERROR('Historical FS'!F27/'Historical FS'!E27-1,0)</f>
        <v>-0.29861436616351744</v>
      </c>
      <c r="G8" s="15">
        <f>IFERROR('Historical FS'!G27/'Historical FS'!F27-1,0)</f>
        <v>-1.897095149646705</v>
      </c>
      <c r="H8" s="15">
        <f>IFERROR('Historical FS'!H27/'Historical FS'!G27-1,0)</f>
        <v>1.2800251873039095</v>
      </c>
      <c r="I8" s="15">
        <f>IFERROR('Historical FS'!I27/'Historical FS'!H27-1,0)</f>
        <v>-1.0602479570180365</v>
      </c>
      <c r="J8" s="15">
        <f>IFERROR('Historical FS'!J27/'Historical FS'!I27-1,0)</f>
        <v>-15.64914925025267</v>
      </c>
      <c r="K8" s="15">
        <f>IFERROR('Historical FS'!K27/'Historical FS'!J27-1,0)</f>
        <v>-0.65313668793078505</v>
      </c>
      <c r="L8" s="15">
        <f>IFERROR('Historical FS'!L27/'Historical FS'!K27-1,0)</f>
        <v>-7.8141215397976129</v>
      </c>
    </row>
    <row r="9" spans="2:12" x14ac:dyDescent="0.25">
      <c r="B9" t="s">
        <v>123</v>
      </c>
      <c r="D9" s="15">
        <f>IFERROR('Historical FS'!D33/'Historical FS'!C33-1,0)</f>
        <v>3.1824673563310757E-2</v>
      </c>
      <c r="E9" s="15">
        <f>IFERROR('Historical FS'!E33/'Historical FS'!D33-1,0)</f>
        <v>-0.69539895165986787</v>
      </c>
      <c r="F9" s="15">
        <f>IFERROR('Historical FS'!F33/'Historical FS'!E33-1,0)</f>
        <v>-0.79011124197155724</v>
      </c>
      <c r="G9" s="15">
        <f>IFERROR('Historical FS'!G33/'Historical FS'!F33-1,0)</f>
        <v>-3.5528470983790919</v>
      </c>
      <c r="H9" s="15">
        <f>IFERROR('Historical FS'!H33/'Historical FS'!G33-1,0)</f>
        <v>3.9286702707513577</v>
      </c>
      <c r="I9" s="15">
        <f>IFERROR('Historical FS'!I33/'Historical FS'!H33-1,0)</f>
        <v>-0.82862505348950144</v>
      </c>
      <c r="J9" s="15">
        <f>IFERROR('Historical FS'!J33/'Historical FS'!I33-1,0)</f>
        <v>6.1952157445306248</v>
      </c>
      <c r="K9" s="15">
        <f>IFERROR('Historical FS'!K33/'Historical FS'!J33-1,0)</f>
        <v>-0.7090436533357708</v>
      </c>
      <c r="L9" s="15">
        <f>IFERROR('Historical FS'!L33/'Historical FS'!K33-1,0)</f>
        <v>-7.5761027654059525</v>
      </c>
    </row>
    <row r="10" spans="2:12" x14ac:dyDescent="0.25">
      <c r="B10" t="s">
        <v>124</v>
      </c>
      <c r="D10" s="15">
        <f>IFERROR('Historical FS'!D40/'Historical FS'!C40-1,0)</f>
        <v>0</v>
      </c>
      <c r="E10" s="15">
        <f>IFERROR('Historical FS'!E40/'Historical FS'!D40-1,0)</f>
        <v>-1</v>
      </c>
      <c r="F10" s="15">
        <f>IFERROR('Historical FS'!F40/'Historical FS'!E40-1,0)</f>
        <v>0</v>
      </c>
      <c r="G10" s="15">
        <f>IFERROR('Historical FS'!G40/'Historical FS'!F40-1,0)</f>
        <v>0</v>
      </c>
      <c r="H10" s="15">
        <f>IFERROR('Historical FS'!H40/'Historical FS'!G40-1,0)</f>
        <v>0</v>
      </c>
      <c r="I10" s="15">
        <f>IFERROR('Historical FS'!I40/'Historical FS'!H40-1,0)</f>
        <v>0</v>
      </c>
      <c r="J10" s="15">
        <f>IFERROR('Historical FS'!J40/'Historical FS'!I40-1,0)</f>
        <v>0</v>
      </c>
      <c r="K10" s="15">
        <f>IFERROR('Historical FS'!K40/'Historical FS'!J40-1,0)</f>
        <v>0</v>
      </c>
      <c r="L10" s="15">
        <f>IFERROR('Historical FS'!L40/'Historical FS'!K40-1,0)</f>
        <v>1.9997122285739932</v>
      </c>
    </row>
    <row r="12" spans="2:12" x14ac:dyDescent="0.25">
      <c r="B12" t="s">
        <v>68</v>
      </c>
      <c r="D12" s="15">
        <f>IFERROR('Historical FS'!C13,0)</f>
        <v>0.22914703499762759</v>
      </c>
      <c r="E12" s="15">
        <f>IFERROR('Historical FS'!D13,0)</f>
        <v>0.24734524196690946</v>
      </c>
      <c r="F12" s="15">
        <f>IFERROR('Historical FS'!E13,0)</f>
        <v>0.23819078253229964</v>
      </c>
      <c r="G12" s="15">
        <f>IFERROR('Historical FS'!F13,0)</f>
        <v>0.21649990080619999</v>
      </c>
      <c r="H12" s="15">
        <f>IFERROR('Historical FS'!G13,0)</f>
        <v>0.19571167496416494</v>
      </c>
      <c r="I12" s="15">
        <f>IFERROR('Historical FS'!H13,0)</f>
        <v>0.19417127271491774</v>
      </c>
      <c r="J12" s="15">
        <f>IFERROR('Historical FS'!I13,0)</f>
        <v>0.2180538622208833</v>
      </c>
      <c r="K12" s="15">
        <f>IFERROR('Historical FS'!J13,0)</f>
        <v>0.19807108271747378</v>
      </c>
      <c r="L12" s="15">
        <f>IFERROR('Historical FS'!K13,0)</f>
        <v>0.20685017994636876</v>
      </c>
    </row>
    <row r="13" spans="2:12" x14ac:dyDescent="0.25">
      <c r="B13" t="s">
        <v>65</v>
      </c>
      <c r="D13" s="15">
        <f>IFERROR('Historical FS'!C19,0)</f>
        <v>0.14910625508580397</v>
      </c>
      <c r="E13" s="15">
        <f>IFERROR('Historical FS'!D19,0)</f>
        <v>0.14061845347443788</v>
      </c>
      <c r="F13" s="15">
        <f>IFERROR('Historical FS'!E19,0)</f>
        <v>0.10971268723777329</v>
      </c>
      <c r="G13" s="15">
        <f>IFERROR('Historical FS'!F19,0)</f>
        <v>0.10789788444182975</v>
      </c>
      <c r="H13" s="15">
        <f>IFERROR('Historical FS'!G19,0)</f>
        <v>8.1686628795807431E-2</v>
      </c>
      <c r="I13" s="15">
        <f>IFERROR('Historical FS'!H19,0)</f>
        <v>6.8898034485042198E-2</v>
      </c>
      <c r="J13" s="15">
        <f>IFERROR('Historical FS'!I19,0)</f>
        <v>0.12925583904385496</v>
      </c>
      <c r="K13" s="15">
        <f>IFERROR('Historical FS'!J19,0)</f>
        <v>8.877632835227646E-2</v>
      </c>
      <c r="L13" s="15">
        <f>IFERROR('Historical FS'!K19,0)</f>
        <v>9.1961958102532049E-2</v>
      </c>
    </row>
    <row r="14" spans="2:12" x14ac:dyDescent="0.25">
      <c r="B14" t="s">
        <v>127</v>
      </c>
      <c r="D14" s="15">
        <f>IFERROR(('Historical FS'!C18-'Historical FS'!C24)/'Historical FS'!C6,0)</f>
        <v>9.8229670900837146E-2</v>
      </c>
      <c r="E14" s="15">
        <f>IFERROR(('Historical FS'!D18-'Historical FS'!D24)/'Historical FS'!D6,0)</f>
        <v>7.941702777851016E-2</v>
      </c>
      <c r="F14" s="15">
        <f>IFERROR(('Historical FS'!E18-'Historical FS'!E24)/'Historical FS'!E6,0)</f>
        <v>4.3322300645279484E-2</v>
      </c>
      <c r="G14" s="15">
        <f>IFERROR(('Historical FS'!F18-'Historical FS'!F24)/'Historical FS'!F6,0)</f>
        <v>3.3970412259310953E-2</v>
      </c>
      <c r="H14" s="15">
        <f>IFERROR(('Historical FS'!G18-'Historical FS'!G24)/'Historical FS'!G6,0)</f>
        <v>3.5560233478087663E-3</v>
      </c>
      <c r="I14" s="15">
        <f>IFERROR(('Historical FS'!H18-'Historical FS'!H24)/'Historical FS'!H6,0)</f>
        <v>-1.3170363258273456E-2</v>
      </c>
      <c r="J14" s="15">
        <f>IFERROR(('Historical FS'!I18-'Historical FS'!I24)/'Historical FS'!I6,0)</f>
        <v>3.4991608110258483E-2</v>
      </c>
      <c r="K14" s="15">
        <f>IFERROR(('Historical FS'!J18-'Historical FS'!J24)/'Historical FS'!J6,0)</f>
        <v>-4.1514992694289269E-4</v>
      </c>
      <c r="L14" s="15">
        <f>IFERROR(('Historical FS'!K18-'Historical FS'!K24)/'Historical FS'!K6,0)</f>
        <v>2.0104346955433228E-2</v>
      </c>
    </row>
    <row r="15" spans="2:12" x14ac:dyDescent="0.25">
      <c r="B15" t="s">
        <v>125</v>
      </c>
      <c r="D15" s="15">
        <f>IFERROR('Historical FS'!C28,0)</f>
        <v>7.9756085085905037E-2</v>
      </c>
      <c r="E15" s="15">
        <f>IFERROR('Historical FS'!D28,0)</f>
        <v>6.1511300676516931E-2</v>
      </c>
      <c r="F15" s="15">
        <f>IFERROR('Historical FS'!E28,0)</f>
        <v>2.7608071132565179E-2</v>
      </c>
      <c r="G15" s="15">
        <f>IFERROR('Historical FS'!F28,0)</f>
        <v>1.7912163958707913E-2</v>
      </c>
      <c r="H15" s="15">
        <f>IFERROR('Historical FS'!G28,0)</f>
        <v>-1.5516078776333117E-2</v>
      </c>
      <c r="I15" s="15">
        <f>IFERROR('Historical FS'!H28,0)</f>
        <v>-4.0915360088026265E-2</v>
      </c>
      <c r="J15" s="15">
        <f>IFERROR('Historical FS'!I28,0)</f>
        <v>2.5763151547420113E-3</v>
      </c>
      <c r="K15" s="15">
        <f>IFERROR('Historical FS'!J28,0)</f>
        <v>-3.3856482095653805E-2</v>
      </c>
      <c r="L15" s="15">
        <f>IFERROR('Historical FS'!K28,0)</f>
        <v>-9.4518849588445895E-3</v>
      </c>
    </row>
    <row r="16" spans="2:12" x14ac:dyDescent="0.25">
      <c r="B16" t="s">
        <v>126</v>
      </c>
      <c r="D16" s="15">
        <f>IFERROR('Historical FS'!C34,0)</f>
        <v>5.0713146858982282E-2</v>
      </c>
      <c r="E16" s="15">
        <f>IFERROR('Historical FS'!D34,0)</f>
        <v>5.0432381990407359E-2</v>
      </c>
      <c r="F16" s="15">
        <f>IFERROR('Historical FS'!E34,0)</f>
        <v>1.5552749314395296E-2</v>
      </c>
      <c r="G16" s="15">
        <f>IFERROR('Historical FS'!F34,0)</f>
        <v>3.01961430487095E-3</v>
      </c>
      <c r="H16" s="15">
        <f>IFERROR('Historical FS'!G34,0)</f>
        <v>-7.4434056747998256E-3</v>
      </c>
      <c r="I16" s="15">
        <f>IFERROR('Historical FS'!H34,0)</f>
        <v>-4.2429333632923408E-2</v>
      </c>
      <c r="J16" s="15">
        <f>IFERROR('Historical FS'!I34,0)</f>
        <v>-7.5994791724005731E-3</v>
      </c>
      <c r="K16" s="15">
        <f>IFERROR('Historical FS'!J34,0)</f>
        <v>-4.9052154538339235E-2</v>
      </c>
      <c r="L16" s="15">
        <f>IFERROR('Historical FS'!K34,0)</f>
        <v>-1.1486934720964945E-2</v>
      </c>
    </row>
  </sheetData>
  <mergeCells count="1">
    <mergeCell ref="B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224B-8970-455C-809A-4A50B5C7B0AF}">
  <sheetPr>
    <tabColor theme="7" tint="-0.249977111117893"/>
  </sheetPr>
  <dimension ref="A1"/>
  <sheetViews>
    <sheetView topLeftCell="A154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topLeftCell="A49" zoomScale="90" zoomScaleNormal="120" zoomScalePageLayoutView="120" workbookViewId="0">
      <selection activeCell="I75" sqref="I75"/>
    </sheetView>
  </sheetViews>
  <sheetFormatPr defaultColWidth="8.85546875" defaultRowHeight="15" x14ac:dyDescent="0.25"/>
  <cols>
    <col min="1" max="1" width="27.7109375" style="3" bestFit="1" customWidth="1"/>
    <col min="2" max="11" width="13.42578125" style="3" bestFit="1" customWidth="1"/>
    <col min="12" max="16384" width="8.85546875" style="3"/>
  </cols>
  <sheetData>
    <row r="1" spans="1:11" s="1" customFormat="1" x14ac:dyDescent="0.25">
      <c r="A1" s="1" t="s">
        <v>0</v>
      </c>
      <c r="B1" s="1" t="s">
        <v>33</v>
      </c>
      <c r="E1" s="41" t="str">
        <f>IF(B2&lt;&gt;B3, "A NEW VERSION OF THE WORKSHEET IS AVAILABLE", "")</f>
        <v/>
      </c>
      <c r="F1" s="41"/>
      <c r="G1" s="41"/>
      <c r="H1" s="41"/>
      <c r="I1" s="41"/>
      <c r="J1" s="41"/>
      <c r="K1" s="41"/>
    </row>
    <row r="2" spans="1:11" x14ac:dyDescent="0.25">
      <c r="A2" s="1" t="s">
        <v>31</v>
      </c>
      <c r="B2" s="3">
        <v>2.1</v>
      </c>
      <c r="E2" s="42" t="s">
        <v>22</v>
      </c>
      <c r="F2" s="42"/>
      <c r="G2" s="42"/>
      <c r="H2" s="42"/>
      <c r="I2" s="42"/>
      <c r="J2" s="42"/>
      <c r="K2" s="42"/>
    </row>
    <row r="3" spans="1:11" x14ac:dyDescent="0.25">
      <c r="A3" s="1" t="s">
        <v>32</v>
      </c>
      <c r="B3" s="3">
        <v>2.1</v>
      </c>
    </row>
    <row r="4" spans="1:11" x14ac:dyDescent="0.25">
      <c r="A4" s="1"/>
    </row>
    <row r="5" spans="1:11" x14ac:dyDescent="0.25">
      <c r="A5" s="1" t="s">
        <v>34</v>
      </c>
    </row>
    <row r="6" spans="1:11" x14ac:dyDescent="0.25">
      <c r="A6" s="3" t="s">
        <v>28</v>
      </c>
      <c r="B6" s="3">
        <f>IF(B9&gt;0, B9/B8, 0)</f>
        <v>368.09917972575903</v>
      </c>
    </row>
    <row r="7" spans="1:11" x14ac:dyDescent="0.25">
      <c r="A7" s="3" t="s">
        <v>17</v>
      </c>
      <c r="B7">
        <v>2</v>
      </c>
    </row>
    <row r="8" spans="1:11" x14ac:dyDescent="0.25">
      <c r="A8" s="3" t="s">
        <v>29</v>
      </c>
      <c r="B8">
        <v>816.8</v>
      </c>
    </row>
    <row r="9" spans="1:11" x14ac:dyDescent="0.25">
      <c r="A9" s="3" t="s">
        <v>44</v>
      </c>
      <c r="B9">
        <v>300663.40999999997</v>
      </c>
    </row>
    <row r="15" spans="1:11" x14ac:dyDescent="0.25">
      <c r="A15" s="1" t="s">
        <v>23</v>
      </c>
    </row>
    <row r="16" spans="1:11" s="7" customFormat="1" x14ac:dyDescent="0.25">
      <c r="A16" s="6" t="s">
        <v>24</v>
      </c>
      <c r="B16" s="5">
        <v>42094</v>
      </c>
      <c r="C16" s="5">
        <v>42460</v>
      </c>
      <c r="D16" s="5">
        <v>42825</v>
      </c>
      <c r="E16" s="5">
        <v>43190</v>
      </c>
      <c r="F16" s="5">
        <v>43555</v>
      </c>
      <c r="G16" s="5">
        <v>43921</v>
      </c>
      <c r="H16" s="5">
        <v>44286</v>
      </c>
      <c r="I16" s="5">
        <v>44651</v>
      </c>
      <c r="J16" s="5">
        <v>45016</v>
      </c>
      <c r="K16" s="5">
        <v>45382</v>
      </c>
    </row>
    <row r="17" spans="1:11" s="4" customFormat="1" x14ac:dyDescent="0.25">
      <c r="A17" s="4" t="s">
        <v>1</v>
      </c>
      <c r="B17">
        <v>263158.98</v>
      </c>
      <c r="C17">
        <v>273045.59999999998</v>
      </c>
      <c r="D17">
        <v>269692.51</v>
      </c>
      <c r="E17">
        <v>291550.48</v>
      </c>
      <c r="F17">
        <v>301938.40000000002</v>
      </c>
      <c r="G17">
        <v>261067.97</v>
      </c>
      <c r="H17">
        <v>249794.75</v>
      </c>
      <c r="I17">
        <v>278453.62</v>
      </c>
      <c r="J17">
        <v>345966.97</v>
      </c>
      <c r="K17">
        <v>437927.77</v>
      </c>
    </row>
    <row r="18" spans="1:11" s="4" customFormat="1" x14ac:dyDescent="0.25">
      <c r="A18" s="3" t="s">
        <v>45</v>
      </c>
      <c r="B18">
        <v>163250.35999999999</v>
      </c>
      <c r="C18">
        <v>166134.01</v>
      </c>
      <c r="D18">
        <v>173294.07999999999</v>
      </c>
      <c r="E18">
        <v>187896.58</v>
      </c>
      <c r="F18">
        <v>194267.91</v>
      </c>
      <c r="G18">
        <v>164899.82</v>
      </c>
      <c r="H18">
        <v>153607.35999999999</v>
      </c>
      <c r="I18">
        <v>179295.33</v>
      </c>
      <c r="J18">
        <v>231251.26</v>
      </c>
      <c r="K18">
        <v>274321.23</v>
      </c>
    </row>
    <row r="19" spans="1:11" s="4" customFormat="1" x14ac:dyDescent="0.25">
      <c r="A19" s="3" t="s">
        <v>46</v>
      </c>
      <c r="B19">
        <v>3330.35</v>
      </c>
      <c r="C19">
        <v>2750.99</v>
      </c>
      <c r="D19">
        <v>7399.92</v>
      </c>
      <c r="E19">
        <v>2046.58</v>
      </c>
      <c r="F19">
        <v>-2053.2800000000002</v>
      </c>
      <c r="G19">
        <v>-2231.19</v>
      </c>
      <c r="H19">
        <v>-4684.16</v>
      </c>
      <c r="I19">
        <v>-1590.49</v>
      </c>
      <c r="J19">
        <v>4781.62</v>
      </c>
      <c r="K19">
        <v>1565.53</v>
      </c>
    </row>
    <row r="20" spans="1:11" s="4" customFormat="1" x14ac:dyDescent="0.25">
      <c r="A20" s="3" t="s">
        <v>47</v>
      </c>
      <c r="B20">
        <v>1121.75</v>
      </c>
      <c r="C20">
        <v>1143.6300000000001</v>
      </c>
      <c r="D20">
        <v>1159.82</v>
      </c>
      <c r="E20">
        <v>1308.08</v>
      </c>
      <c r="F20">
        <v>1585.93</v>
      </c>
      <c r="G20">
        <v>1264.95</v>
      </c>
      <c r="H20">
        <v>1112.8699999999999</v>
      </c>
      <c r="I20">
        <v>2178.29</v>
      </c>
      <c r="J20">
        <v>2513.33</v>
      </c>
      <c r="K20">
        <v>2195.12</v>
      </c>
    </row>
    <row r="21" spans="1:11" s="4" customFormat="1" x14ac:dyDescent="0.25">
      <c r="A21" s="3" t="s">
        <v>48</v>
      </c>
      <c r="B21">
        <v>16173.17</v>
      </c>
      <c r="C21">
        <v>12101.53</v>
      </c>
      <c r="D21">
        <v>10067.370000000001</v>
      </c>
      <c r="E21">
        <v>10971.66</v>
      </c>
      <c r="F21">
        <v>11694.54</v>
      </c>
      <c r="G21">
        <v>11541.51</v>
      </c>
      <c r="H21">
        <v>8273.17</v>
      </c>
      <c r="I21">
        <v>9427.3799999999992</v>
      </c>
      <c r="J21">
        <v>11765.97</v>
      </c>
      <c r="K21">
        <v>17114.330000000002</v>
      </c>
    </row>
    <row r="22" spans="1:11" s="4" customFormat="1" x14ac:dyDescent="0.25">
      <c r="A22" s="3" t="s">
        <v>49</v>
      </c>
      <c r="B22">
        <v>25641.95</v>
      </c>
      <c r="C22">
        <v>28880.89</v>
      </c>
      <c r="D22">
        <v>28332.89</v>
      </c>
      <c r="E22">
        <v>30300.09</v>
      </c>
      <c r="F22">
        <v>33243.870000000003</v>
      </c>
      <c r="G22">
        <v>30438.6</v>
      </c>
      <c r="H22">
        <v>27648.48</v>
      </c>
      <c r="I22">
        <v>30808.52</v>
      </c>
      <c r="J22">
        <v>33654.699999999997</v>
      </c>
      <c r="K22">
        <v>42486.64</v>
      </c>
    </row>
    <row r="23" spans="1:11" s="4" customFormat="1" x14ac:dyDescent="0.25">
      <c r="A23" s="3" t="s">
        <v>50</v>
      </c>
      <c r="B23">
        <v>23603.01</v>
      </c>
      <c r="C23">
        <v>21991.9</v>
      </c>
      <c r="D23">
        <v>30039.38</v>
      </c>
      <c r="E23">
        <v>31004.58</v>
      </c>
      <c r="F23">
        <v>32719.8</v>
      </c>
      <c r="G23">
        <v>29248.32</v>
      </c>
      <c r="H23">
        <v>23015.79</v>
      </c>
      <c r="I23">
        <v>29205.4</v>
      </c>
      <c r="J23">
        <v>34839.19</v>
      </c>
      <c r="K23">
        <v>42765.33</v>
      </c>
    </row>
    <row r="24" spans="1:11" s="4" customFormat="1" x14ac:dyDescent="0.25">
      <c r="A24" s="3" t="s">
        <v>51</v>
      </c>
      <c r="B24">
        <v>-2539.56</v>
      </c>
      <c r="C24">
        <v>7149.38</v>
      </c>
      <c r="D24">
        <v>4610.2</v>
      </c>
      <c r="E24">
        <v>658.39</v>
      </c>
      <c r="F24">
        <v>1708.74</v>
      </c>
      <c r="G24">
        <v>3456.51</v>
      </c>
      <c r="H24">
        <v>-834.51</v>
      </c>
      <c r="I24">
        <v>1228.1199999999999</v>
      </c>
      <c r="J24">
        <v>4908.34</v>
      </c>
      <c r="K24">
        <v>1072.31</v>
      </c>
    </row>
    <row r="25" spans="1:11" s="4" customFormat="1" x14ac:dyDescent="0.25">
      <c r="A25" s="4" t="s">
        <v>4</v>
      </c>
      <c r="B25">
        <v>714.03</v>
      </c>
      <c r="C25">
        <v>-2669.62</v>
      </c>
      <c r="D25">
        <v>1869.1</v>
      </c>
      <c r="E25">
        <v>5932.73</v>
      </c>
      <c r="F25">
        <v>-26686.25</v>
      </c>
      <c r="G25">
        <v>101.71</v>
      </c>
      <c r="H25">
        <v>-11117.83</v>
      </c>
      <c r="I25">
        <v>2424.0500000000002</v>
      </c>
      <c r="J25">
        <v>6663.97</v>
      </c>
      <c r="K25">
        <v>5672.66</v>
      </c>
    </row>
    <row r="26" spans="1:11" s="4" customFormat="1" x14ac:dyDescent="0.25">
      <c r="A26" s="4" t="s">
        <v>5</v>
      </c>
      <c r="B26">
        <v>13388.63</v>
      </c>
      <c r="C26">
        <v>16710.78</v>
      </c>
      <c r="D26">
        <v>17904.990000000002</v>
      </c>
      <c r="E26">
        <v>21553.59</v>
      </c>
      <c r="F26">
        <v>23590.63</v>
      </c>
      <c r="G26">
        <v>21425.43</v>
      </c>
      <c r="H26">
        <v>23546.71</v>
      </c>
      <c r="I26">
        <v>24835.69</v>
      </c>
      <c r="J26">
        <v>24860.36</v>
      </c>
      <c r="K26">
        <v>27270.13</v>
      </c>
    </row>
    <row r="27" spans="1:11" s="4" customFormat="1" x14ac:dyDescent="0.25">
      <c r="A27" s="4" t="s">
        <v>6</v>
      </c>
      <c r="B27">
        <v>4861.49</v>
      </c>
      <c r="C27">
        <v>4889.08</v>
      </c>
      <c r="D27">
        <v>4238.01</v>
      </c>
      <c r="E27">
        <v>4681.79</v>
      </c>
      <c r="F27">
        <v>5758.6</v>
      </c>
      <c r="G27">
        <v>7243.33</v>
      </c>
      <c r="H27">
        <v>8097.17</v>
      </c>
      <c r="I27">
        <v>9311.86</v>
      </c>
      <c r="J27">
        <v>10225.48</v>
      </c>
      <c r="K27">
        <v>9985.76</v>
      </c>
    </row>
    <row r="28" spans="1:11" s="4" customFormat="1" x14ac:dyDescent="0.25">
      <c r="A28" s="4" t="s">
        <v>7</v>
      </c>
      <c r="B28">
        <v>21702.560000000001</v>
      </c>
      <c r="C28">
        <v>14125.77</v>
      </c>
      <c r="D28">
        <v>9314.7900000000009</v>
      </c>
      <c r="E28">
        <v>11155.03</v>
      </c>
      <c r="F28">
        <v>-31371.15</v>
      </c>
      <c r="G28">
        <v>-10579.98</v>
      </c>
      <c r="H28">
        <v>-10474.280000000001</v>
      </c>
      <c r="I28">
        <v>-7003.41</v>
      </c>
      <c r="J28">
        <v>3393.93</v>
      </c>
      <c r="K28">
        <v>27955.11</v>
      </c>
    </row>
    <row r="29" spans="1:11" s="4" customFormat="1" x14ac:dyDescent="0.25">
      <c r="A29" s="4" t="s">
        <v>8</v>
      </c>
      <c r="B29">
        <v>7642.91</v>
      </c>
      <c r="C29">
        <v>3025.05</v>
      </c>
      <c r="D29">
        <v>3251.23</v>
      </c>
      <c r="E29">
        <v>4341.93</v>
      </c>
      <c r="F29">
        <v>-2437.4499999999998</v>
      </c>
      <c r="G29">
        <v>395.25</v>
      </c>
      <c r="H29">
        <v>2541.86</v>
      </c>
      <c r="I29">
        <v>4231.29</v>
      </c>
      <c r="J29">
        <v>704.06</v>
      </c>
      <c r="K29">
        <v>-3851.64</v>
      </c>
    </row>
    <row r="30" spans="1:11" s="4" customFormat="1" x14ac:dyDescent="0.25">
      <c r="A30" s="4" t="s">
        <v>9</v>
      </c>
      <c r="B30">
        <v>13986.29</v>
      </c>
      <c r="C30">
        <v>11579.31</v>
      </c>
      <c r="D30">
        <v>7454.36</v>
      </c>
      <c r="E30">
        <v>8988.91</v>
      </c>
      <c r="F30">
        <v>-28826.23</v>
      </c>
      <c r="G30">
        <v>-12070.85</v>
      </c>
      <c r="H30">
        <v>-13451.39</v>
      </c>
      <c r="I30">
        <v>-11441.47</v>
      </c>
      <c r="J30">
        <v>2414.29</v>
      </c>
      <c r="K30">
        <v>31399.09</v>
      </c>
    </row>
    <row r="31" spans="1:11" s="4" customFormat="1" x14ac:dyDescent="0.25">
      <c r="A31" s="4" t="s">
        <v>35</v>
      </c>
      <c r="C31">
        <v>67.92</v>
      </c>
      <c r="J31">
        <v>766.02</v>
      </c>
      <c r="K31">
        <v>2299.5</v>
      </c>
    </row>
    <row r="32" spans="1:11" s="4" customFormat="1" x14ac:dyDescent="0.25"/>
    <row r="33" spans="1:11" x14ac:dyDescent="0.25">
      <c r="A33" s="4"/>
    </row>
    <row r="34" spans="1:11" x14ac:dyDescent="0.25">
      <c r="A34" s="4"/>
    </row>
    <row r="35" spans="1:11" x14ac:dyDescent="0.25">
      <c r="A35" s="4"/>
    </row>
    <row r="36" spans="1:11" x14ac:dyDescent="0.25">
      <c r="A36" s="4"/>
    </row>
    <row r="37" spans="1:11" x14ac:dyDescent="0.25">
      <c r="A37" s="4"/>
    </row>
    <row r="38" spans="1:11" x14ac:dyDescent="0.25">
      <c r="A38" s="4"/>
    </row>
    <row r="39" spans="1:11" x14ac:dyDescent="0.25">
      <c r="A39" s="4"/>
    </row>
    <row r="40" spans="1:11" x14ac:dyDescent="0.25">
      <c r="A40" s="1" t="s">
        <v>25</v>
      </c>
    </row>
    <row r="41" spans="1:11" s="7" customFormat="1" x14ac:dyDescent="0.25">
      <c r="A41" s="6" t="s">
        <v>24</v>
      </c>
      <c r="B41" s="5">
        <v>44742</v>
      </c>
      <c r="C41" s="5">
        <v>44834</v>
      </c>
      <c r="D41" s="5">
        <v>44926</v>
      </c>
      <c r="E41" s="5">
        <v>45016</v>
      </c>
      <c r="F41" s="5">
        <v>45107</v>
      </c>
      <c r="G41" s="5">
        <v>45199</v>
      </c>
      <c r="H41" s="5">
        <v>45291</v>
      </c>
      <c r="I41" s="5">
        <v>45382</v>
      </c>
      <c r="J41" s="5">
        <v>45473</v>
      </c>
      <c r="K41" s="5">
        <v>45565</v>
      </c>
    </row>
    <row r="42" spans="1:11" s="4" customFormat="1" x14ac:dyDescent="0.25">
      <c r="A42" s="4" t="s">
        <v>1</v>
      </c>
      <c r="B42">
        <v>71934.66</v>
      </c>
      <c r="C42">
        <v>79611.37</v>
      </c>
      <c r="D42">
        <v>88488.59</v>
      </c>
      <c r="E42">
        <v>105932.35</v>
      </c>
      <c r="F42">
        <v>102236</v>
      </c>
      <c r="G42">
        <v>105129</v>
      </c>
      <c r="H42">
        <v>110577.14</v>
      </c>
      <c r="I42">
        <v>119986</v>
      </c>
      <c r="J42">
        <v>108048</v>
      </c>
      <c r="K42">
        <v>101450</v>
      </c>
    </row>
    <row r="43" spans="1:11" s="4" customFormat="1" x14ac:dyDescent="0.25">
      <c r="A43" s="4" t="s">
        <v>2</v>
      </c>
      <c r="B43">
        <v>69521.929999999993</v>
      </c>
      <c r="C43">
        <v>74039.06</v>
      </c>
      <c r="D43">
        <v>77668.350000000006</v>
      </c>
      <c r="E43">
        <v>92817.95</v>
      </c>
      <c r="F43">
        <v>89019</v>
      </c>
      <c r="G43">
        <v>91362</v>
      </c>
      <c r="H43">
        <v>95158.77</v>
      </c>
      <c r="I43">
        <v>102851</v>
      </c>
      <c r="J43">
        <v>92263</v>
      </c>
      <c r="K43">
        <v>89291</v>
      </c>
    </row>
    <row r="44" spans="1:11" s="4" customFormat="1" x14ac:dyDescent="0.25">
      <c r="A44" s="4" t="s">
        <v>4</v>
      </c>
      <c r="B44">
        <v>2380.98</v>
      </c>
      <c r="C44">
        <v>1351.14</v>
      </c>
      <c r="D44">
        <v>1129.98</v>
      </c>
      <c r="E44">
        <v>1452.86</v>
      </c>
      <c r="F44">
        <v>895</v>
      </c>
      <c r="G44">
        <v>1557</v>
      </c>
      <c r="H44">
        <v>1603.76</v>
      </c>
      <c r="I44">
        <v>1619</v>
      </c>
      <c r="J44">
        <v>1747</v>
      </c>
      <c r="K44">
        <v>1647</v>
      </c>
    </row>
    <row r="45" spans="1:11" s="4" customFormat="1" x14ac:dyDescent="0.25">
      <c r="A45" s="4" t="s">
        <v>5</v>
      </c>
      <c r="B45">
        <v>5841.04</v>
      </c>
      <c r="C45">
        <v>5897.34</v>
      </c>
      <c r="D45">
        <v>6071.78</v>
      </c>
      <c r="E45">
        <v>7050.2</v>
      </c>
      <c r="F45">
        <v>6633</v>
      </c>
      <c r="G45">
        <v>6637</v>
      </c>
      <c r="H45">
        <v>6850</v>
      </c>
      <c r="I45">
        <v>7151</v>
      </c>
      <c r="J45">
        <v>6574</v>
      </c>
      <c r="K45">
        <v>6005</v>
      </c>
    </row>
    <row r="46" spans="1:11" s="4" customFormat="1" x14ac:dyDescent="0.25">
      <c r="A46" s="4" t="s">
        <v>6</v>
      </c>
      <c r="B46">
        <v>2420.7199999999998</v>
      </c>
      <c r="C46">
        <v>2487.2600000000002</v>
      </c>
      <c r="D46">
        <v>2675.83</v>
      </c>
      <c r="E46">
        <v>2641.67</v>
      </c>
      <c r="F46">
        <v>2615</v>
      </c>
      <c r="G46">
        <v>2652</v>
      </c>
      <c r="H46">
        <v>2484.91</v>
      </c>
      <c r="I46">
        <v>2234</v>
      </c>
      <c r="J46">
        <v>2088</v>
      </c>
      <c r="K46">
        <v>2034</v>
      </c>
    </row>
    <row r="47" spans="1:11" s="4" customFormat="1" x14ac:dyDescent="0.25">
      <c r="A47" s="4" t="s">
        <v>7</v>
      </c>
      <c r="B47">
        <v>-3468.05</v>
      </c>
      <c r="C47">
        <v>-1461.15</v>
      </c>
      <c r="D47">
        <v>3202.61</v>
      </c>
      <c r="E47">
        <v>4875.3900000000003</v>
      </c>
      <c r="F47">
        <v>4864</v>
      </c>
      <c r="G47">
        <v>6035</v>
      </c>
      <c r="H47">
        <v>7687.22</v>
      </c>
      <c r="I47">
        <v>9369</v>
      </c>
      <c r="J47">
        <v>8870</v>
      </c>
      <c r="K47">
        <v>5767</v>
      </c>
    </row>
    <row r="48" spans="1:11" s="4" customFormat="1" x14ac:dyDescent="0.25">
      <c r="A48" s="4" t="s">
        <v>8</v>
      </c>
      <c r="B48">
        <v>1518.96</v>
      </c>
      <c r="C48">
        <v>-457.08</v>
      </c>
      <c r="D48">
        <v>262.83</v>
      </c>
      <c r="E48">
        <v>-620.65</v>
      </c>
      <c r="F48">
        <v>1563</v>
      </c>
      <c r="G48">
        <v>2203</v>
      </c>
      <c r="H48">
        <v>541.79</v>
      </c>
      <c r="I48">
        <v>-8160</v>
      </c>
      <c r="J48">
        <v>3178</v>
      </c>
      <c r="K48">
        <v>2317</v>
      </c>
    </row>
    <row r="49" spans="1:11" s="4" customFormat="1" x14ac:dyDescent="0.25">
      <c r="A49" s="4" t="s">
        <v>9</v>
      </c>
      <c r="B49">
        <v>-5006.6000000000004</v>
      </c>
      <c r="C49">
        <v>-944.61</v>
      </c>
      <c r="D49">
        <v>2957.71</v>
      </c>
      <c r="E49">
        <v>5407.79</v>
      </c>
      <c r="F49">
        <v>3203</v>
      </c>
      <c r="G49">
        <v>3764</v>
      </c>
      <c r="H49">
        <v>7025.11</v>
      </c>
      <c r="I49">
        <v>17407</v>
      </c>
      <c r="J49">
        <v>5566</v>
      </c>
      <c r="K49">
        <v>3343</v>
      </c>
    </row>
    <row r="50" spans="1:11" x14ac:dyDescent="0.25">
      <c r="A50" s="4" t="s">
        <v>3</v>
      </c>
      <c r="B50">
        <v>2412.73</v>
      </c>
      <c r="C50">
        <v>5572.31</v>
      </c>
      <c r="D50">
        <v>10820.24</v>
      </c>
      <c r="E50">
        <v>13114.4</v>
      </c>
      <c r="F50">
        <v>13217</v>
      </c>
      <c r="G50">
        <v>13767</v>
      </c>
      <c r="H50">
        <v>15418.37</v>
      </c>
      <c r="I50">
        <v>17135</v>
      </c>
      <c r="J50">
        <v>15785</v>
      </c>
      <c r="K50">
        <v>12159</v>
      </c>
    </row>
    <row r="51" spans="1:11" x14ac:dyDescent="0.25">
      <c r="A51" s="4"/>
    </row>
    <row r="52" spans="1:11" x14ac:dyDescent="0.25">
      <c r="A52" s="4"/>
    </row>
    <row r="53" spans="1:11" x14ac:dyDescent="0.25">
      <c r="A53" s="4"/>
    </row>
    <row r="54" spans="1:11" x14ac:dyDescent="0.25">
      <c r="A54" s="4"/>
    </row>
    <row r="55" spans="1:11" x14ac:dyDescent="0.25">
      <c r="A55" s="1" t="s">
        <v>26</v>
      </c>
    </row>
    <row r="56" spans="1:11" s="7" customFormat="1" x14ac:dyDescent="0.25">
      <c r="A56" s="6" t="s">
        <v>24</v>
      </c>
      <c r="B56" s="5">
        <v>42094</v>
      </c>
      <c r="C56" s="5">
        <v>42460</v>
      </c>
      <c r="D56" s="5">
        <v>42825</v>
      </c>
      <c r="E56" s="5">
        <v>43190</v>
      </c>
      <c r="F56" s="5">
        <v>43555</v>
      </c>
      <c r="G56" s="5">
        <v>43921</v>
      </c>
      <c r="H56" s="5">
        <v>44286</v>
      </c>
      <c r="I56" s="5">
        <v>44651</v>
      </c>
      <c r="J56" s="5">
        <v>45016</v>
      </c>
      <c r="K56" s="5">
        <v>45382</v>
      </c>
    </row>
    <row r="57" spans="1:11" x14ac:dyDescent="0.25">
      <c r="A57" s="4" t="s">
        <v>11</v>
      </c>
      <c r="B57">
        <v>643.78</v>
      </c>
      <c r="C57">
        <v>679.18</v>
      </c>
      <c r="D57">
        <v>679.22</v>
      </c>
      <c r="E57">
        <v>679.22</v>
      </c>
      <c r="F57">
        <v>679.22</v>
      </c>
      <c r="G57">
        <v>719.54</v>
      </c>
      <c r="H57">
        <v>765.81</v>
      </c>
      <c r="I57">
        <v>765.88</v>
      </c>
      <c r="J57">
        <v>766.02</v>
      </c>
      <c r="K57">
        <v>766.5</v>
      </c>
    </row>
    <row r="58" spans="1:11" x14ac:dyDescent="0.25">
      <c r="A58" s="4" t="s">
        <v>12</v>
      </c>
      <c r="B58">
        <v>55618.14</v>
      </c>
      <c r="C58">
        <v>78273.23</v>
      </c>
      <c r="D58">
        <v>57382.67</v>
      </c>
      <c r="E58">
        <v>94748.69</v>
      </c>
      <c r="F58">
        <v>59500.34</v>
      </c>
      <c r="G58">
        <v>62358.99</v>
      </c>
      <c r="H58">
        <v>54480.91</v>
      </c>
      <c r="I58">
        <v>43795.360000000001</v>
      </c>
      <c r="J58">
        <v>44555.77</v>
      </c>
      <c r="K58">
        <v>84151.52</v>
      </c>
    </row>
    <row r="59" spans="1:11" x14ac:dyDescent="0.25">
      <c r="A59" s="4" t="s">
        <v>36</v>
      </c>
      <c r="B59">
        <v>73610.39</v>
      </c>
      <c r="C59">
        <v>69359.960000000006</v>
      </c>
      <c r="D59">
        <v>78603.98</v>
      </c>
      <c r="E59">
        <v>88950.47</v>
      </c>
      <c r="F59">
        <v>106175.34</v>
      </c>
      <c r="G59">
        <v>124787.64</v>
      </c>
      <c r="H59">
        <v>142130.57</v>
      </c>
      <c r="I59">
        <v>146449.03</v>
      </c>
      <c r="J59">
        <v>134113.44</v>
      </c>
      <c r="K59">
        <v>107262.5</v>
      </c>
    </row>
    <row r="60" spans="1:11" x14ac:dyDescent="0.25">
      <c r="A60" s="4" t="s">
        <v>37</v>
      </c>
      <c r="B60">
        <v>107442.48</v>
      </c>
      <c r="C60">
        <v>114871.75</v>
      </c>
      <c r="D60">
        <v>135914.49</v>
      </c>
      <c r="E60">
        <v>142813.43</v>
      </c>
      <c r="F60">
        <v>139348.59</v>
      </c>
      <c r="G60">
        <v>132313.22</v>
      </c>
      <c r="H60">
        <v>144192.62</v>
      </c>
      <c r="I60">
        <v>138051.22</v>
      </c>
      <c r="J60">
        <v>155239.20000000001</v>
      </c>
      <c r="K60">
        <v>177340.09</v>
      </c>
    </row>
    <row r="61" spans="1:11" s="1" customFormat="1" x14ac:dyDescent="0.25">
      <c r="A61" s="1" t="s">
        <v>13</v>
      </c>
      <c r="B61">
        <v>237314.79</v>
      </c>
      <c r="C61">
        <v>263184.12</v>
      </c>
      <c r="D61">
        <v>272580.36</v>
      </c>
      <c r="E61">
        <v>327191.81</v>
      </c>
      <c r="F61">
        <v>305703.49</v>
      </c>
      <c r="G61">
        <v>320179.39</v>
      </c>
      <c r="H61">
        <v>341569.91</v>
      </c>
      <c r="I61">
        <v>329061.49</v>
      </c>
      <c r="J61">
        <v>334674.43</v>
      </c>
      <c r="K61">
        <v>369520.61</v>
      </c>
    </row>
    <row r="62" spans="1:11" x14ac:dyDescent="0.25">
      <c r="A62" s="4" t="s">
        <v>14</v>
      </c>
      <c r="B62">
        <v>88479.49</v>
      </c>
      <c r="C62">
        <v>107231.76</v>
      </c>
      <c r="D62">
        <v>95944.08</v>
      </c>
      <c r="E62">
        <v>121413.86</v>
      </c>
      <c r="F62">
        <v>111234.47</v>
      </c>
      <c r="G62">
        <v>127107.14</v>
      </c>
      <c r="H62">
        <v>138707.60999999999</v>
      </c>
      <c r="I62">
        <v>138855.45000000001</v>
      </c>
      <c r="J62">
        <v>132079.76</v>
      </c>
      <c r="K62">
        <v>121285.46</v>
      </c>
    </row>
    <row r="63" spans="1:11" x14ac:dyDescent="0.25">
      <c r="A63" s="4" t="s">
        <v>15</v>
      </c>
      <c r="B63">
        <v>28640.09</v>
      </c>
      <c r="C63">
        <v>25918.94</v>
      </c>
      <c r="D63">
        <v>33698.839999999997</v>
      </c>
      <c r="E63">
        <v>40033.5</v>
      </c>
      <c r="F63">
        <v>31883.84</v>
      </c>
      <c r="G63">
        <v>35622.29</v>
      </c>
      <c r="H63">
        <v>20963.93</v>
      </c>
      <c r="I63">
        <v>10251.09</v>
      </c>
      <c r="J63">
        <v>14274.5</v>
      </c>
      <c r="K63">
        <v>35698.43</v>
      </c>
    </row>
    <row r="64" spans="1:11" x14ac:dyDescent="0.25">
      <c r="A64" s="4" t="s">
        <v>16</v>
      </c>
      <c r="B64">
        <v>15336.74</v>
      </c>
      <c r="C64">
        <v>23767.02</v>
      </c>
      <c r="D64">
        <v>20337.919999999998</v>
      </c>
      <c r="E64">
        <v>20812.75</v>
      </c>
      <c r="F64">
        <v>15770.72</v>
      </c>
      <c r="G64">
        <v>16308.48</v>
      </c>
      <c r="H64">
        <v>24620.28</v>
      </c>
      <c r="I64">
        <v>29379.53</v>
      </c>
      <c r="J64">
        <v>26379.16</v>
      </c>
      <c r="K64">
        <v>22971.07</v>
      </c>
    </row>
    <row r="65" spans="1:11" x14ac:dyDescent="0.25">
      <c r="A65" s="4" t="s">
        <v>38</v>
      </c>
      <c r="B65">
        <v>104858.47</v>
      </c>
      <c r="C65">
        <v>106266.4</v>
      </c>
      <c r="D65">
        <v>122599.52</v>
      </c>
      <c r="E65">
        <v>144931.70000000001</v>
      </c>
      <c r="F65">
        <v>146814.46</v>
      </c>
      <c r="G65">
        <v>141141.48000000001</v>
      </c>
      <c r="H65">
        <v>157278.09</v>
      </c>
      <c r="I65">
        <v>150575.42000000001</v>
      </c>
      <c r="J65">
        <v>161941.01</v>
      </c>
      <c r="K65">
        <v>189565.65</v>
      </c>
    </row>
    <row r="66" spans="1:11" s="1" customFormat="1" x14ac:dyDescent="0.25">
      <c r="A66" s="1" t="s">
        <v>13</v>
      </c>
      <c r="B66">
        <v>237314.79</v>
      </c>
      <c r="C66">
        <v>263184.12</v>
      </c>
      <c r="D66">
        <v>272580.36</v>
      </c>
      <c r="E66">
        <v>327191.81</v>
      </c>
      <c r="F66">
        <v>305703.49</v>
      </c>
      <c r="G66">
        <v>320179.39</v>
      </c>
      <c r="H66">
        <v>341569.91</v>
      </c>
      <c r="I66">
        <v>329061.49</v>
      </c>
      <c r="J66">
        <v>334674.43</v>
      </c>
      <c r="K66">
        <v>369520.61</v>
      </c>
    </row>
    <row r="67" spans="1:11" s="4" customFormat="1" x14ac:dyDescent="0.25">
      <c r="A67" s="4" t="s">
        <v>43</v>
      </c>
      <c r="B67">
        <v>12579.2</v>
      </c>
      <c r="C67">
        <v>13570.91</v>
      </c>
      <c r="D67">
        <v>14075.55</v>
      </c>
      <c r="E67">
        <v>19893.3</v>
      </c>
      <c r="F67">
        <v>18996.169999999998</v>
      </c>
      <c r="G67">
        <v>11172.69</v>
      </c>
      <c r="H67">
        <v>12679.08</v>
      </c>
      <c r="I67">
        <v>12442.12</v>
      </c>
      <c r="J67">
        <v>15737.97</v>
      </c>
      <c r="K67">
        <v>16951.810000000001</v>
      </c>
    </row>
    <row r="68" spans="1:11" x14ac:dyDescent="0.25">
      <c r="A68" s="4" t="s">
        <v>30</v>
      </c>
      <c r="B68">
        <v>29272.34</v>
      </c>
      <c r="C68">
        <v>32655.73</v>
      </c>
      <c r="D68">
        <v>35085.31</v>
      </c>
      <c r="E68">
        <v>42137.63</v>
      </c>
      <c r="F68">
        <v>39013.730000000003</v>
      </c>
      <c r="G68">
        <v>37456.879999999997</v>
      </c>
      <c r="H68">
        <v>36088.589999999997</v>
      </c>
      <c r="I68">
        <v>35240.339999999997</v>
      </c>
      <c r="J68">
        <v>40755.39</v>
      </c>
      <c r="K68">
        <v>47788.29</v>
      </c>
    </row>
    <row r="69" spans="1:11" x14ac:dyDescent="0.25">
      <c r="A69" s="3" t="s">
        <v>52</v>
      </c>
      <c r="B69">
        <v>32115.759999999998</v>
      </c>
      <c r="C69">
        <v>30460.400000000001</v>
      </c>
      <c r="D69">
        <v>36077.879999999997</v>
      </c>
      <c r="E69">
        <v>34613.910000000003</v>
      </c>
      <c r="F69">
        <v>32648.82</v>
      </c>
      <c r="G69">
        <v>33726.97</v>
      </c>
      <c r="H69">
        <v>46792.46</v>
      </c>
      <c r="I69">
        <v>40669.19</v>
      </c>
      <c r="J69">
        <v>37015.56</v>
      </c>
      <c r="K69">
        <v>45806.69</v>
      </c>
    </row>
    <row r="70" spans="1:11" x14ac:dyDescent="0.25">
      <c r="A70" s="3" t="s">
        <v>39</v>
      </c>
      <c r="B70">
        <v>3218930067</v>
      </c>
      <c r="C70">
        <v>3395930306</v>
      </c>
      <c r="D70">
        <v>3396100719</v>
      </c>
      <c r="E70">
        <v>3396100719</v>
      </c>
      <c r="F70">
        <v>3396100719</v>
      </c>
      <c r="G70">
        <v>3597726185</v>
      </c>
      <c r="H70">
        <v>3829060661</v>
      </c>
      <c r="I70">
        <v>3829414903</v>
      </c>
      <c r="J70">
        <v>3830097221</v>
      </c>
      <c r="K70">
        <v>3832491897</v>
      </c>
    </row>
    <row r="71" spans="1:11" x14ac:dyDescent="0.25">
      <c r="A71" s="3" t="s">
        <v>40</v>
      </c>
    </row>
    <row r="72" spans="1:11" x14ac:dyDescent="0.25">
      <c r="A72" s="3" t="s">
        <v>53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25">
      <c r="A74" s="4"/>
    </row>
    <row r="75" spans="1:11" x14ac:dyDescent="0.25">
      <c r="A75" s="4"/>
    </row>
    <row r="76" spans="1:11" x14ac:dyDescent="0.25">
      <c r="A76" s="4"/>
    </row>
    <row r="77" spans="1:11" x14ac:dyDescent="0.25">
      <c r="A77" s="4"/>
    </row>
    <row r="78" spans="1:11" x14ac:dyDescent="0.25">
      <c r="A78" s="4"/>
    </row>
    <row r="79" spans="1:11" x14ac:dyDescent="0.25">
      <c r="A79" s="4"/>
    </row>
    <row r="80" spans="1:11" x14ac:dyDescent="0.25">
      <c r="A80" s="1" t="s">
        <v>27</v>
      </c>
    </row>
    <row r="81" spans="1:11" s="7" customFormat="1" x14ac:dyDescent="0.25">
      <c r="A81" s="6" t="s">
        <v>24</v>
      </c>
      <c r="B81" s="5">
        <v>42094</v>
      </c>
      <c r="C81" s="5">
        <v>42460</v>
      </c>
      <c r="D81" s="5">
        <v>42825</v>
      </c>
      <c r="E81" s="5">
        <v>43190</v>
      </c>
      <c r="F81" s="5">
        <v>43555</v>
      </c>
      <c r="G81" s="5">
        <v>43921</v>
      </c>
      <c r="H81" s="5">
        <v>44286</v>
      </c>
      <c r="I81" s="5">
        <v>44651</v>
      </c>
      <c r="J81" s="5">
        <v>45016</v>
      </c>
      <c r="K81" s="5">
        <v>45382</v>
      </c>
    </row>
    <row r="82" spans="1:11" s="1" customFormat="1" x14ac:dyDescent="0.25">
      <c r="A82" s="4" t="s">
        <v>18</v>
      </c>
      <c r="B82">
        <v>35531.26</v>
      </c>
      <c r="C82">
        <v>37899.54</v>
      </c>
      <c r="D82">
        <v>30199.25</v>
      </c>
      <c r="E82">
        <v>23857.42</v>
      </c>
      <c r="F82">
        <v>18890.75</v>
      </c>
      <c r="G82">
        <v>26632.94</v>
      </c>
      <c r="H82">
        <v>29000.51</v>
      </c>
      <c r="I82">
        <v>14282.83</v>
      </c>
      <c r="J82">
        <v>35388.01</v>
      </c>
      <c r="K82">
        <v>67915.360000000001</v>
      </c>
    </row>
    <row r="83" spans="1:11" s="4" customFormat="1" x14ac:dyDescent="0.25">
      <c r="A83" s="4" t="s">
        <v>19</v>
      </c>
      <c r="B83">
        <v>-36232.35</v>
      </c>
      <c r="C83">
        <v>-36693.9</v>
      </c>
      <c r="D83">
        <v>-39571.4</v>
      </c>
      <c r="E83">
        <v>-25139.14</v>
      </c>
      <c r="F83">
        <v>-20878.07</v>
      </c>
      <c r="G83">
        <v>-33114.550000000003</v>
      </c>
      <c r="H83">
        <v>-25672.5</v>
      </c>
      <c r="I83">
        <v>-4443.66</v>
      </c>
      <c r="J83">
        <v>-15417.17</v>
      </c>
      <c r="K83">
        <v>-22781.56</v>
      </c>
    </row>
    <row r="84" spans="1:11" s="4" customFormat="1" x14ac:dyDescent="0.25">
      <c r="A84" s="4" t="s">
        <v>20</v>
      </c>
      <c r="B84">
        <v>5201.4399999999996</v>
      </c>
      <c r="C84">
        <v>-3795.12</v>
      </c>
      <c r="D84">
        <v>6205.3</v>
      </c>
      <c r="E84">
        <v>2011.71</v>
      </c>
      <c r="F84">
        <v>8830.3700000000008</v>
      </c>
      <c r="G84">
        <v>3389.61</v>
      </c>
      <c r="H84">
        <v>9904.2000000000007</v>
      </c>
      <c r="I84">
        <v>-3380.17</v>
      </c>
      <c r="J84">
        <v>-26242.9</v>
      </c>
      <c r="K84">
        <v>-37005.99</v>
      </c>
    </row>
    <row r="85" spans="1:11" s="1" customFormat="1" x14ac:dyDescent="0.25">
      <c r="A85" s="4" t="s">
        <v>21</v>
      </c>
      <c r="B85">
        <v>4500.3500000000004</v>
      </c>
      <c r="C85">
        <v>-2589.48</v>
      </c>
      <c r="D85">
        <v>-3166.85</v>
      </c>
      <c r="E85">
        <v>729.99</v>
      </c>
      <c r="F85">
        <v>6843.05</v>
      </c>
      <c r="G85">
        <v>-3092</v>
      </c>
      <c r="H85">
        <v>13232.21</v>
      </c>
      <c r="I85">
        <v>6459</v>
      </c>
      <c r="J85">
        <v>-6272.06</v>
      </c>
      <c r="K85">
        <v>8127.81</v>
      </c>
    </row>
    <row r="86" spans="1:11" x14ac:dyDescent="0.25">
      <c r="A86" s="4"/>
    </row>
    <row r="87" spans="1:11" x14ac:dyDescent="0.25">
      <c r="A87" s="4"/>
    </row>
    <row r="88" spans="1:11" x14ac:dyDescent="0.25">
      <c r="A88" s="4"/>
    </row>
    <row r="89" spans="1:11" x14ac:dyDescent="0.25">
      <c r="A89" s="4"/>
    </row>
    <row r="90" spans="1:11" s="1" customFormat="1" x14ac:dyDescent="0.25">
      <c r="A90" s="1" t="s">
        <v>42</v>
      </c>
      <c r="B90">
        <v>544.37</v>
      </c>
      <c r="C90">
        <v>386.6</v>
      </c>
      <c r="D90">
        <v>465.85</v>
      </c>
      <c r="E90">
        <v>326.85000000000002</v>
      </c>
      <c r="F90">
        <v>174.25</v>
      </c>
      <c r="G90">
        <v>71.05</v>
      </c>
      <c r="H90">
        <v>301.8</v>
      </c>
      <c r="I90">
        <v>433.75</v>
      </c>
      <c r="J90">
        <v>420.8</v>
      </c>
      <c r="K90">
        <v>992.8</v>
      </c>
    </row>
    <row r="92" spans="1:11" s="1" customFormat="1" x14ac:dyDescent="0.25">
      <c r="A92" s="1" t="s">
        <v>41</v>
      </c>
    </row>
    <row r="93" spans="1:11" x14ac:dyDescent="0.25">
      <c r="A93" s="3" t="s">
        <v>54</v>
      </c>
      <c r="B93" s="8">
        <v>288.74</v>
      </c>
      <c r="C93" s="8">
        <v>288.72000000000003</v>
      </c>
      <c r="D93" s="8">
        <v>288.73</v>
      </c>
      <c r="E93" s="8">
        <v>288.73</v>
      </c>
      <c r="F93" s="8">
        <v>288.73</v>
      </c>
      <c r="G93" s="8">
        <v>308.89999999999998</v>
      </c>
      <c r="H93" s="8">
        <v>332.03</v>
      </c>
      <c r="I93" s="8">
        <v>332.07</v>
      </c>
      <c r="J93" s="8">
        <v>332.13</v>
      </c>
      <c r="K93" s="8">
        <v>332.37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19AB-EFFD-4918-B470-191F7CDB048B}">
  <dimension ref="B2:N33"/>
  <sheetViews>
    <sheetView workbookViewId="0">
      <selection activeCell="A29" sqref="A29"/>
    </sheetView>
  </sheetViews>
  <sheetFormatPr defaultRowHeight="15" x14ac:dyDescent="0.25"/>
  <cols>
    <col min="2" max="2" width="35.5703125" bestFit="1" customWidth="1"/>
    <col min="3" max="14" width="10.5703125" bestFit="1" customWidth="1"/>
  </cols>
  <sheetData>
    <row r="2" spans="2:14" x14ac:dyDescent="0.25">
      <c r="C2" s="24">
        <v>41334</v>
      </c>
      <c r="D2" s="24">
        <v>41699</v>
      </c>
      <c r="E2" s="24">
        <v>42064</v>
      </c>
      <c r="F2" s="24">
        <v>42430</v>
      </c>
      <c r="G2" s="24">
        <v>42795</v>
      </c>
      <c r="H2" s="24">
        <v>43160</v>
      </c>
      <c r="I2" s="24">
        <v>43525</v>
      </c>
      <c r="J2" s="24">
        <v>43891</v>
      </c>
      <c r="K2" s="24">
        <v>44256</v>
      </c>
      <c r="L2" s="24">
        <v>44621</v>
      </c>
      <c r="M2" s="24">
        <v>44986</v>
      </c>
      <c r="N2" s="24">
        <v>45352</v>
      </c>
    </row>
    <row r="3" spans="2:14" x14ac:dyDescent="0.25">
      <c r="B3" s="25" t="s">
        <v>86</v>
      </c>
      <c r="C3" s="26">
        <v>22163</v>
      </c>
      <c r="D3" s="26">
        <v>36151</v>
      </c>
      <c r="E3" s="26">
        <v>35531</v>
      </c>
      <c r="F3" s="26">
        <v>37900</v>
      </c>
      <c r="G3" s="26">
        <v>30199</v>
      </c>
      <c r="H3" s="26">
        <v>23857</v>
      </c>
      <c r="I3" s="26">
        <v>18891</v>
      </c>
      <c r="J3" s="26">
        <v>26633</v>
      </c>
      <c r="K3" s="26">
        <v>29001</v>
      </c>
      <c r="L3" s="26">
        <v>14283</v>
      </c>
      <c r="M3" s="26">
        <v>35388</v>
      </c>
      <c r="N3" s="26">
        <v>67915</v>
      </c>
    </row>
    <row r="4" spans="2:14" x14ac:dyDescent="0.25">
      <c r="B4" s="27" t="s">
        <v>87</v>
      </c>
      <c r="C4" s="26">
        <v>24406</v>
      </c>
      <c r="D4" s="26">
        <v>36303</v>
      </c>
      <c r="E4" s="26">
        <v>43397</v>
      </c>
      <c r="F4" s="26">
        <v>38626</v>
      </c>
      <c r="G4" s="26">
        <v>28840</v>
      </c>
      <c r="H4" s="26">
        <v>33312</v>
      </c>
      <c r="I4" s="26">
        <v>28771</v>
      </c>
      <c r="J4" s="26">
        <v>23352</v>
      </c>
      <c r="K4" s="26">
        <v>31198</v>
      </c>
      <c r="L4" s="26">
        <v>26943</v>
      </c>
      <c r="M4" s="26">
        <v>41694</v>
      </c>
      <c r="N4" s="26">
        <v>65106</v>
      </c>
    </row>
    <row r="5" spans="2:14" x14ac:dyDescent="0.25">
      <c r="B5" s="28" t="s">
        <v>43</v>
      </c>
      <c r="C5" s="29">
        <v>-5177</v>
      </c>
      <c r="D5" s="30">
        <v>445</v>
      </c>
      <c r="E5" s="29">
        <v>-3179</v>
      </c>
      <c r="F5" s="29">
        <v>-2223</v>
      </c>
      <c r="G5" s="29">
        <v>-4152</v>
      </c>
      <c r="H5" s="29">
        <v>-10688</v>
      </c>
      <c r="I5" s="29">
        <v>-9109</v>
      </c>
      <c r="J5" s="29">
        <v>9950</v>
      </c>
      <c r="K5" s="29">
        <v>-5505</v>
      </c>
      <c r="L5" s="30">
        <v>185</v>
      </c>
      <c r="M5" s="29">
        <v>-2213</v>
      </c>
      <c r="N5" s="29">
        <v>-1875</v>
      </c>
    </row>
    <row r="6" spans="2:14" x14ac:dyDescent="0.25">
      <c r="B6" s="28" t="s">
        <v>30</v>
      </c>
      <c r="C6" s="29">
        <v>-2656</v>
      </c>
      <c r="D6" s="29">
        <v>-2853</v>
      </c>
      <c r="E6" s="29">
        <v>-3692</v>
      </c>
      <c r="F6" s="29">
        <v>-5743</v>
      </c>
      <c r="G6" s="29">
        <v>-6621</v>
      </c>
      <c r="H6" s="29">
        <v>-3560</v>
      </c>
      <c r="I6" s="29">
        <v>2069</v>
      </c>
      <c r="J6" s="29">
        <v>2326</v>
      </c>
      <c r="K6" s="29">
        <v>3814</v>
      </c>
      <c r="L6" s="30">
        <v>472</v>
      </c>
      <c r="M6" s="29">
        <v>-5665</v>
      </c>
      <c r="N6" s="29">
        <v>-7265</v>
      </c>
    </row>
    <row r="7" spans="2:14" x14ac:dyDescent="0.25">
      <c r="B7" s="28" t="s">
        <v>88</v>
      </c>
      <c r="C7" s="29">
        <v>8132</v>
      </c>
      <c r="D7" s="29">
        <v>4694</v>
      </c>
      <c r="E7" s="29">
        <v>3598</v>
      </c>
      <c r="F7" s="29">
        <v>3947</v>
      </c>
      <c r="G7" s="29">
        <v>9301</v>
      </c>
      <c r="H7" s="29">
        <v>7320</v>
      </c>
      <c r="I7" s="29">
        <v>-4692</v>
      </c>
      <c r="J7" s="29">
        <v>-8085</v>
      </c>
      <c r="K7" s="29">
        <v>5748</v>
      </c>
      <c r="L7" s="29">
        <v>-7012</v>
      </c>
      <c r="M7" s="29">
        <v>6945</v>
      </c>
      <c r="N7" s="29">
        <v>13706</v>
      </c>
    </row>
    <row r="8" spans="2:14" x14ac:dyDescent="0.25">
      <c r="B8" s="28" t="s">
        <v>89</v>
      </c>
      <c r="C8" s="30">
        <v>0</v>
      </c>
      <c r="D8" s="30">
        <v>0</v>
      </c>
      <c r="E8" s="30">
        <v>0</v>
      </c>
      <c r="F8" s="30">
        <v>-520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</row>
    <row r="9" spans="2:14" x14ac:dyDescent="0.25">
      <c r="B9" s="28" t="s">
        <v>90</v>
      </c>
      <c r="C9" s="30">
        <v>-303</v>
      </c>
      <c r="D9" s="29">
        <v>1870</v>
      </c>
      <c r="E9" s="30">
        <v>-398</v>
      </c>
      <c r="F9" s="29">
        <v>5852</v>
      </c>
      <c r="G9" s="29">
        <v>4727</v>
      </c>
      <c r="H9" s="30">
        <v>494</v>
      </c>
      <c r="I9" s="29">
        <v>4512</v>
      </c>
      <c r="J9" s="30">
        <v>875</v>
      </c>
      <c r="K9" s="29">
        <v>-4150</v>
      </c>
      <c r="L9" s="29">
        <v>-4396</v>
      </c>
      <c r="M9" s="29">
        <v>-2194</v>
      </c>
      <c r="N9" s="29">
        <v>2760</v>
      </c>
    </row>
    <row r="10" spans="2:14" x14ac:dyDescent="0.25">
      <c r="B10" s="27" t="s">
        <v>91</v>
      </c>
      <c r="C10" s="31">
        <v>-3</v>
      </c>
      <c r="D10" s="26">
        <v>4157</v>
      </c>
      <c r="E10" s="26">
        <v>-3672</v>
      </c>
      <c r="F10" s="26">
        <v>1313</v>
      </c>
      <c r="G10" s="26">
        <v>3254</v>
      </c>
      <c r="H10" s="26">
        <v>-6434</v>
      </c>
      <c r="I10" s="26">
        <v>-7221</v>
      </c>
      <c r="J10" s="26">
        <v>5065</v>
      </c>
      <c r="K10" s="31">
        <v>-93</v>
      </c>
      <c r="L10" s="26">
        <v>-10750</v>
      </c>
      <c r="M10" s="26">
        <v>-3127</v>
      </c>
      <c r="N10" s="26">
        <v>7325</v>
      </c>
    </row>
    <row r="11" spans="2:14" x14ac:dyDescent="0.25">
      <c r="B11" s="28" t="s">
        <v>92</v>
      </c>
      <c r="C11" s="29">
        <v>-2240</v>
      </c>
      <c r="D11" s="29">
        <v>-4308</v>
      </c>
      <c r="E11" s="29">
        <v>-4194</v>
      </c>
      <c r="F11" s="29">
        <v>-2040</v>
      </c>
      <c r="G11" s="29">
        <v>-1895</v>
      </c>
      <c r="H11" s="29">
        <v>-3021</v>
      </c>
      <c r="I11" s="29">
        <v>-2659</v>
      </c>
      <c r="J11" s="29">
        <v>-1785</v>
      </c>
      <c r="K11" s="29">
        <v>-2105</v>
      </c>
      <c r="L11" s="29">
        <v>-1910</v>
      </c>
      <c r="M11" s="29">
        <v>-3179</v>
      </c>
      <c r="N11" s="29">
        <v>-4516</v>
      </c>
    </row>
    <row r="12" spans="2:14" x14ac:dyDescent="0.25">
      <c r="B12" s="25" t="s">
        <v>93</v>
      </c>
      <c r="C12" s="26">
        <v>-22969</v>
      </c>
      <c r="D12" s="26">
        <v>-27991</v>
      </c>
      <c r="E12" s="26">
        <v>-36232</v>
      </c>
      <c r="F12" s="26">
        <v>-36694</v>
      </c>
      <c r="G12" s="26">
        <v>-39571</v>
      </c>
      <c r="H12" s="26">
        <v>-25139</v>
      </c>
      <c r="I12" s="26">
        <v>-20878</v>
      </c>
      <c r="J12" s="26">
        <v>-33115</v>
      </c>
      <c r="K12" s="26">
        <v>-25672</v>
      </c>
      <c r="L12" s="26">
        <v>-4444</v>
      </c>
      <c r="M12" s="26">
        <v>-15417</v>
      </c>
      <c r="N12" s="26">
        <v>-22782</v>
      </c>
    </row>
    <row r="13" spans="2:14" x14ac:dyDescent="0.25">
      <c r="B13" s="28" t="s">
        <v>94</v>
      </c>
      <c r="C13" s="29">
        <v>-18863</v>
      </c>
      <c r="D13" s="29">
        <v>-26975</v>
      </c>
      <c r="E13" s="29">
        <v>-31962</v>
      </c>
      <c r="F13" s="29">
        <v>-31503</v>
      </c>
      <c r="G13" s="29">
        <v>-16072</v>
      </c>
      <c r="H13" s="29">
        <v>-35079</v>
      </c>
      <c r="I13" s="29">
        <v>-35304</v>
      </c>
      <c r="J13" s="29">
        <v>-29702</v>
      </c>
      <c r="K13" s="29">
        <v>-20205</v>
      </c>
      <c r="L13" s="29">
        <v>-15168</v>
      </c>
      <c r="M13" s="29">
        <v>-19230</v>
      </c>
      <c r="N13" s="29">
        <v>-31414</v>
      </c>
    </row>
    <row r="14" spans="2:14" x14ac:dyDescent="0.25">
      <c r="B14" s="28" t="s">
        <v>95</v>
      </c>
      <c r="C14" s="30">
        <v>37</v>
      </c>
      <c r="D14" s="30">
        <v>50</v>
      </c>
      <c r="E14" s="30">
        <v>74</v>
      </c>
      <c r="F14" s="30">
        <v>59</v>
      </c>
      <c r="G14" s="30">
        <v>53</v>
      </c>
      <c r="H14" s="30">
        <v>30</v>
      </c>
      <c r="I14" s="30">
        <v>67</v>
      </c>
      <c r="J14" s="30">
        <v>171</v>
      </c>
      <c r="K14" s="30">
        <v>351</v>
      </c>
      <c r="L14" s="30">
        <v>230</v>
      </c>
      <c r="M14" s="30">
        <v>285</v>
      </c>
      <c r="N14" s="30">
        <v>231</v>
      </c>
    </row>
    <row r="15" spans="2:14" x14ac:dyDescent="0.25">
      <c r="B15" s="28" t="s">
        <v>96</v>
      </c>
      <c r="C15" s="30">
        <v>73</v>
      </c>
      <c r="D15" s="30">
        <v>-429</v>
      </c>
      <c r="E15" s="29">
        <v>-5461</v>
      </c>
      <c r="F15" s="29">
        <v>-4728</v>
      </c>
      <c r="G15" s="30">
        <v>-6</v>
      </c>
      <c r="H15" s="30">
        <v>-329</v>
      </c>
      <c r="I15" s="30">
        <v>-130</v>
      </c>
      <c r="J15" s="29">
        <v>-1439</v>
      </c>
      <c r="K15" s="29">
        <v>-7530</v>
      </c>
      <c r="L15" s="29">
        <v>-3008</v>
      </c>
      <c r="M15" s="30">
        <v>-50</v>
      </c>
      <c r="N15" s="30">
        <v>-74</v>
      </c>
    </row>
    <row r="16" spans="2:14" x14ac:dyDescent="0.25">
      <c r="B16" s="28" t="s">
        <v>97</v>
      </c>
      <c r="C16" s="30">
        <v>34</v>
      </c>
      <c r="D16" s="30">
        <v>4</v>
      </c>
      <c r="E16" s="30">
        <v>42</v>
      </c>
      <c r="F16" s="30">
        <v>89</v>
      </c>
      <c r="G16" s="29">
        <v>1965</v>
      </c>
      <c r="H16" s="29">
        <v>2381</v>
      </c>
      <c r="I16" s="29">
        <v>5644</v>
      </c>
      <c r="J16" s="30">
        <v>21</v>
      </c>
      <c r="K16" s="30">
        <v>226</v>
      </c>
      <c r="L16" s="30">
        <v>104</v>
      </c>
      <c r="M16" s="29">
        <v>6895</v>
      </c>
      <c r="N16" s="29">
        <v>10820</v>
      </c>
    </row>
    <row r="17" spans="2:14" x14ac:dyDescent="0.25">
      <c r="B17" s="28" t="s">
        <v>98</v>
      </c>
      <c r="C17" s="30">
        <v>713</v>
      </c>
      <c r="D17" s="30">
        <v>653</v>
      </c>
      <c r="E17" s="30">
        <v>698</v>
      </c>
      <c r="F17" s="30">
        <v>731</v>
      </c>
      <c r="G17" s="30">
        <v>638</v>
      </c>
      <c r="H17" s="30">
        <v>690</v>
      </c>
      <c r="I17" s="30">
        <v>761</v>
      </c>
      <c r="J17" s="29">
        <v>1104</v>
      </c>
      <c r="K17" s="30">
        <v>428</v>
      </c>
      <c r="L17" s="30">
        <v>653</v>
      </c>
      <c r="M17" s="30">
        <v>973</v>
      </c>
      <c r="N17" s="29">
        <v>2493</v>
      </c>
    </row>
    <row r="18" spans="2:14" x14ac:dyDescent="0.25">
      <c r="B18" s="28" t="s">
        <v>99</v>
      </c>
      <c r="C18" s="30">
        <v>95</v>
      </c>
      <c r="D18" s="30">
        <v>40</v>
      </c>
      <c r="E18" s="30">
        <v>80</v>
      </c>
      <c r="F18" s="30">
        <v>58</v>
      </c>
      <c r="G18" s="30">
        <v>620</v>
      </c>
      <c r="H18" s="29">
        <v>1797</v>
      </c>
      <c r="I18" s="30">
        <v>232</v>
      </c>
      <c r="J18" s="30">
        <v>21</v>
      </c>
      <c r="K18" s="30">
        <v>18</v>
      </c>
      <c r="L18" s="30">
        <v>32</v>
      </c>
      <c r="M18" s="30">
        <v>46</v>
      </c>
      <c r="N18" s="30">
        <v>47</v>
      </c>
    </row>
    <row r="19" spans="2:14" x14ac:dyDescent="0.25">
      <c r="B19" s="28" t="s">
        <v>100</v>
      </c>
      <c r="C19" s="30">
        <v>0</v>
      </c>
      <c r="D19" s="30">
        <v>0</v>
      </c>
      <c r="E19" s="30">
        <v>-160</v>
      </c>
      <c r="F19" s="30">
        <v>0</v>
      </c>
      <c r="G19" s="30">
        <v>-107</v>
      </c>
      <c r="H19" s="30">
        <v>-4</v>
      </c>
      <c r="I19" s="30">
        <v>-9</v>
      </c>
      <c r="J19" s="30">
        <v>-606</v>
      </c>
      <c r="K19" s="30">
        <v>-10</v>
      </c>
      <c r="L19" s="30">
        <v>0</v>
      </c>
      <c r="M19" s="30">
        <v>0</v>
      </c>
      <c r="N19" s="30">
        <v>-150</v>
      </c>
    </row>
    <row r="20" spans="2:14" x14ac:dyDescent="0.25">
      <c r="B20" s="28" t="s">
        <v>101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14</v>
      </c>
      <c r="I20" s="30">
        <v>533</v>
      </c>
      <c r="J20" s="30">
        <v>0</v>
      </c>
      <c r="K20" s="30">
        <v>0</v>
      </c>
      <c r="L20" s="30">
        <v>0</v>
      </c>
      <c r="M20" s="30">
        <v>19</v>
      </c>
      <c r="N20" s="30">
        <v>108</v>
      </c>
    </row>
    <row r="21" spans="2:14" x14ac:dyDescent="0.25">
      <c r="B21" s="28" t="s">
        <v>102</v>
      </c>
      <c r="C21" s="30">
        <v>0</v>
      </c>
      <c r="D21" s="30">
        <v>-185</v>
      </c>
      <c r="E21" s="30">
        <v>0</v>
      </c>
      <c r="F21" s="30">
        <v>-111</v>
      </c>
      <c r="G21" s="30">
        <v>0</v>
      </c>
      <c r="H21" s="30">
        <v>0</v>
      </c>
      <c r="I21" s="30">
        <v>-8</v>
      </c>
      <c r="J21" s="30">
        <v>-27</v>
      </c>
      <c r="K21" s="30">
        <v>0</v>
      </c>
      <c r="L21" s="30">
        <v>-98</v>
      </c>
      <c r="M21" s="30">
        <v>0</v>
      </c>
      <c r="N21" s="30">
        <v>0</v>
      </c>
    </row>
    <row r="22" spans="2:14" x14ac:dyDescent="0.25">
      <c r="B22" s="28" t="s">
        <v>103</v>
      </c>
      <c r="C22" s="30">
        <v>45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-24</v>
      </c>
    </row>
    <row r="23" spans="2:14" x14ac:dyDescent="0.25">
      <c r="B23" s="28" t="s">
        <v>104</v>
      </c>
      <c r="C23" s="29">
        <v>-5103</v>
      </c>
      <c r="D23" s="29">
        <v>-1149</v>
      </c>
      <c r="E23" s="30">
        <v>456</v>
      </c>
      <c r="F23" s="29">
        <v>-1289</v>
      </c>
      <c r="G23" s="29">
        <v>-26663</v>
      </c>
      <c r="H23" s="29">
        <v>5360</v>
      </c>
      <c r="I23" s="29">
        <v>7335</v>
      </c>
      <c r="J23" s="29">
        <v>-2659</v>
      </c>
      <c r="K23" s="29">
        <v>1051</v>
      </c>
      <c r="L23" s="29">
        <v>12813</v>
      </c>
      <c r="M23" s="29">
        <v>-4357</v>
      </c>
      <c r="N23" s="29">
        <v>-4817</v>
      </c>
    </row>
    <row r="24" spans="2:14" x14ac:dyDescent="0.25">
      <c r="B24" s="25" t="s">
        <v>105</v>
      </c>
      <c r="C24" s="26">
        <v>-1692</v>
      </c>
      <c r="D24" s="26">
        <v>-3883</v>
      </c>
      <c r="E24" s="26">
        <v>5201</v>
      </c>
      <c r="F24" s="26">
        <v>-3795</v>
      </c>
      <c r="G24" s="26">
        <v>6205</v>
      </c>
      <c r="H24" s="26">
        <v>2012</v>
      </c>
      <c r="I24" s="26">
        <v>8830</v>
      </c>
      <c r="J24" s="26">
        <v>3390</v>
      </c>
      <c r="K24" s="26">
        <v>9904</v>
      </c>
      <c r="L24" s="26">
        <v>-3380</v>
      </c>
      <c r="M24" s="26">
        <v>-26243</v>
      </c>
      <c r="N24" s="26">
        <v>-37006</v>
      </c>
    </row>
    <row r="25" spans="2:14" x14ac:dyDescent="0.25">
      <c r="B25" s="28" t="s">
        <v>106</v>
      </c>
      <c r="C25" s="30">
        <v>1</v>
      </c>
      <c r="D25" s="30">
        <v>0</v>
      </c>
      <c r="E25" s="30">
        <v>0</v>
      </c>
      <c r="F25" s="29">
        <v>7433</v>
      </c>
      <c r="G25" s="30">
        <v>5</v>
      </c>
      <c r="H25" s="30">
        <v>0</v>
      </c>
      <c r="I25" s="30">
        <v>0</v>
      </c>
      <c r="J25" s="29">
        <v>3889</v>
      </c>
      <c r="K25" s="29">
        <v>2603</v>
      </c>
      <c r="L25" s="30">
        <v>19</v>
      </c>
      <c r="M25" s="30">
        <v>20</v>
      </c>
      <c r="N25" s="30">
        <v>82</v>
      </c>
    </row>
    <row r="26" spans="2:14" x14ac:dyDescent="0.25">
      <c r="B26" s="28" t="s">
        <v>107</v>
      </c>
      <c r="C26" s="30">
        <v>-97</v>
      </c>
      <c r="D26" s="30">
        <v>-658</v>
      </c>
      <c r="E26" s="30">
        <v>-744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</row>
    <row r="27" spans="2:14" x14ac:dyDescent="0.25">
      <c r="B27" s="28" t="s">
        <v>108</v>
      </c>
      <c r="C27" s="29">
        <v>27863</v>
      </c>
      <c r="D27" s="29">
        <v>33258</v>
      </c>
      <c r="E27" s="29">
        <v>36363</v>
      </c>
      <c r="F27" s="29">
        <v>19519</v>
      </c>
      <c r="G27" s="29">
        <v>33390</v>
      </c>
      <c r="H27" s="29">
        <v>37482</v>
      </c>
      <c r="I27" s="29">
        <v>51128</v>
      </c>
      <c r="J27" s="29">
        <v>38297</v>
      </c>
      <c r="K27" s="29">
        <v>46641</v>
      </c>
      <c r="L27" s="29">
        <v>46578</v>
      </c>
      <c r="M27" s="29">
        <v>43934</v>
      </c>
      <c r="N27" s="29">
        <v>18747</v>
      </c>
    </row>
    <row r="28" spans="2:14" x14ac:dyDescent="0.25">
      <c r="B28" s="28" t="s">
        <v>109</v>
      </c>
      <c r="C28" s="29">
        <v>-20395</v>
      </c>
      <c r="D28" s="29">
        <v>-29141</v>
      </c>
      <c r="E28" s="29">
        <v>-23332</v>
      </c>
      <c r="F28" s="29">
        <v>-24924</v>
      </c>
      <c r="G28" s="29">
        <v>-21732</v>
      </c>
      <c r="H28" s="29">
        <v>-29964</v>
      </c>
      <c r="I28" s="29">
        <v>-35198</v>
      </c>
      <c r="J28" s="29">
        <v>-29847</v>
      </c>
      <c r="K28" s="29">
        <v>-29709</v>
      </c>
      <c r="L28" s="29">
        <v>-42816</v>
      </c>
      <c r="M28" s="29">
        <v>-62557</v>
      </c>
      <c r="N28" s="29">
        <v>-47332</v>
      </c>
    </row>
    <row r="29" spans="2:14" x14ac:dyDescent="0.25">
      <c r="B29" s="28" t="s">
        <v>110</v>
      </c>
      <c r="C29" s="29">
        <v>-4666</v>
      </c>
      <c r="D29" s="29">
        <v>-6171</v>
      </c>
      <c r="E29" s="29">
        <v>-6307</v>
      </c>
      <c r="F29" s="29">
        <v>-5716</v>
      </c>
      <c r="G29" s="29">
        <v>-5336</v>
      </c>
      <c r="H29" s="29">
        <v>-5411</v>
      </c>
      <c r="I29" s="29">
        <v>-7005</v>
      </c>
      <c r="J29" s="29">
        <v>-7518</v>
      </c>
      <c r="K29" s="29">
        <v>-8123</v>
      </c>
      <c r="L29" s="29">
        <v>-9251</v>
      </c>
      <c r="M29" s="29">
        <v>-9336</v>
      </c>
      <c r="N29" s="29">
        <v>-9332</v>
      </c>
    </row>
    <row r="30" spans="2:14" x14ac:dyDescent="0.25">
      <c r="B30" s="28" t="s">
        <v>111</v>
      </c>
      <c r="C30" s="29">
        <v>-1551</v>
      </c>
      <c r="D30" s="30">
        <v>-722</v>
      </c>
      <c r="E30" s="30">
        <v>-720</v>
      </c>
      <c r="F30" s="30">
        <v>-108</v>
      </c>
      <c r="G30" s="30">
        <v>-121</v>
      </c>
      <c r="H30" s="30">
        <v>-96</v>
      </c>
      <c r="I30" s="30">
        <v>-95</v>
      </c>
      <c r="J30" s="30">
        <v>-57</v>
      </c>
      <c r="K30" s="30">
        <v>-30</v>
      </c>
      <c r="L30" s="30">
        <v>-100</v>
      </c>
      <c r="M30" s="30">
        <v>-141</v>
      </c>
      <c r="N30" s="29">
        <v>-1059</v>
      </c>
    </row>
    <row r="31" spans="2:14" x14ac:dyDescent="0.25">
      <c r="B31" s="28" t="s">
        <v>112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29">
        <v>-1346</v>
      </c>
      <c r="K31" s="29">
        <v>-1477</v>
      </c>
      <c r="L31" s="29">
        <v>-1559</v>
      </c>
      <c r="M31" s="29">
        <v>-1517</v>
      </c>
      <c r="N31" s="29">
        <v>-1924</v>
      </c>
    </row>
    <row r="32" spans="2:14" x14ac:dyDescent="0.25">
      <c r="B32" s="28" t="s">
        <v>113</v>
      </c>
      <c r="C32" s="29">
        <v>-2849</v>
      </c>
      <c r="D32" s="30">
        <v>-450</v>
      </c>
      <c r="E32" s="30">
        <v>-57</v>
      </c>
      <c r="F32" s="30">
        <v>0</v>
      </c>
      <c r="G32" s="30">
        <v>0</v>
      </c>
      <c r="H32" s="30">
        <v>0</v>
      </c>
      <c r="I32" s="30">
        <v>0</v>
      </c>
      <c r="J32" s="30">
        <v>-29</v>
      </c>
      <c r="K32" s="30">
        <v>0</v>
      </c>
      <c r="L32" s="29">
        <v>3750</v>
      </c>
      <c r="M32" s="29">
        <v>3355</v>
      </c>
      <c r="N32" s="29">
        <v>3812</v>
      </c>
    </row>
    <row r="33" spans="2:14" x14ac:dyDescent="0.25">
      <c r="B33" s="25" t="s">
        <v>21</v>
      </c>
      <c r="C33" s="26">
        <v>-2499</v>
      </c>
      <c r="D33" s="26">
        <v>4277</v>
      </c>
      <c r="E33" s="26">
        <v>4500</v>
      </c>
      <c r="F33" s="26">
        <v>-2589</v>
      </c>
      <c r="G33" s="26">
        <v>-3167</v>
      </c>
      <c r="H33" s="31">
        <v>730</v>
      </c>
      <c r="I33" s="26">
        <v>6843</v>
      </c>
      <c r="J33" s="26">
        <v>-3092</v>
      </c>
      <c r="K33" s="26">
        <v>13232</v>
      </c>
      <c r="L33" s="26">
        <v>6459</v>
      </c>
      <c r="M33" s="26">
        <v>-6272</v>
      </c>
      <c r="N33" s="26">
        <v>8128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Financials</vt:lpstr>
      <vt:lpstr>Historical FS</vt:lpstr>
      <vt:lpstr>Ratio Analysis</vt:lpstr>
      <vt:lpstr>Data</vt:lpstr>
      <vt:lpstr>Data Sheet</vt:lpstr>
      <vt:lpstr>Cashflow Data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saiapurba mohanty</cp:lastModifiedBy>
  <cp:lastPrinted>2012-12-06T18:14:13Z</cp:lastPrinted>
  <dcterms:created xsi:type="dcterms:W3CDTF">2012-08-17T09:55:37Z</dcterms:created>
  <dcterms:modified xsi:type="dcterms:W3CDTF">2025-06-04T10:53:18Z</dcterms:modified>
</cp:coreProperties>
</file>