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9e4d2a4ae686322/Documents/Financial Modelling/"/>
    </mc:Choice>
  </mc:AlternateContent>
  <xr:revisionPtr revIDLastSave="38" documentId="8_{4CABEE71-72ED-4C29-BD10-515CC38ABBEB}" xr6:coauthVersionLast="47" xr6:coauthVersionMax="47" xr10:uidLastSave="{9E90E24E-2DB6-4B11-8D39-59271F65AB91}"/>
  <bookViews>
    <workbookView xWindow="-120" yWindow="-120" windowWidth="20730" windowHeight="11040" activeTab="2" xr2:uid="{00000000-000D-0000-FFFF-FFFF00000000}"/>
  </bookViews>
  <sheets>
    <sheet name="Financials&gt;" sheetId="7" r:id="rId1"/>
    <sheet name="HistoricalFS" sheetId="8" r:id="rId2"/>
    <sheet name="Ratio Analysis" sheetId="11" r:id="rId3"/>
    <sheet name="Data&gt;" sheetId="9" r:id="rId4"/>
    <sheet name="Data Sheet" sheetId="6" r:id="rId5"/>
    <sheet name="Cashflow Data" sheetId="10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0" i="11" l="1"/>
  <c r="K10" i="11"/>
  <c r="J10" i="11"/>
  <c r="I10" i="11"/>
  <c r="H10" i="11"/>
  <c r="G10" i="11"/>
  <c r="F10" i="11"/>
  <c r="E10" i="11"/>
  <c r="D10" i="11"/>
  <c r="C10" i="11"/>
  <c r="L8" i="11"/>
  <c r="K8" i="11"/>
  <c r="J8" i="11"/>
  <c r="I8" i="11"/>
  <c r="H8" i="11"/>
  <c r="G8" i="11"/>
  <c r="F8" i="11"/>
  <c r="E8" i="11"/>
  <c r="D8" i="11"/>
  <c r="D9" i="11"/>
  <c r="E18" i="8"/>
  <c r="L9" i="11"/>
  <c r="K9" i="11"/>
  <c r="J9" i="11"/>
  <c r="I9" i="11"/>
  <c r="H9" i="11"/>
  <c r="G9" i="11"/>
  <c r="F9" i="11"/>
  <c r="E9" i="11"/>
  <c r="C9" i="11"/>
  <c r="C8" i="11"/>
  <c r="L7" i="11"/>
  <c r="K7" i="11"/>
  <c r="J7" i="11"/>
  <c r="I7" i="11"/>
  <c r="H7" i="11"/>
  <c r="G7" i="11"/>
  <c r="F7" i="11"/>
  <c r="E7" i="11"/>
  <c r="D7" i="11"/>
  <c r="C7" i="11"/>
  <c r="B3" i="11"/>
  <c r="L103" i="8"/>
  <c r="K103" i="8"/>
  <c r="J103" i="8"/>
  <c r="I103" i="8"/>
  <c r="H103" i="8"/>
  <c r="G103" i="8"/>
  <c r="F103" i="8"/>
  <c r="E103" i="8"/>
  <c r="D103" i="8"/>
  <c r="C103" i="8"/>
  <c r="L101" i="8"/>
  <c r="K101" i="8"/>
  <c r="J101" i="8"/>
  <c r="I101" i="8"/>
  <c r="H101" i="8"/>
  <c r="G101" i="8"/>
  <c r="F101" i="8"/>
  <c r="E101" i="8"/>
  <c r="D101" i="8"/>
  <c r="C101" i="8"/>
  <c r="L100" i="8"/>
  <c r="K100" i="8"/>
  <c r="J100" i="8"/>
  <c r="I100" i="8"/>
  <c r="H100" i="8"/>
  <c r="G100" i="8"/>
  <c r="F100" i="8"/>
  <c r="E100" i="8"/>
  <c r="D100" i="8"/>
  <c r="C100" i="8"/>
  <c r="L99" i="8"/>
  <c r="K99" i="8"/>
  <c r="J99" i="8"/>
  <c r="I99" i="8"/>
  <c r="H99" i="8"/>
  <c r="G99" i="8"/>
  <c r="F99" i="8"/>
  <c r="E99" i="8"/>
  <c r="D99" i="8"/>
  <c r="C99" i="8"/>
  <c r="L98" i="8"/>
  <c r="K98" i="8"/>
  <c r="J98" i="8"/>
  <c r="I98" i="8"/>
  <c r="H98" i="8"/>
  <c r="G98" i="8"/>
  <c r="F98" i="8"/>
  <c r="E98" i="8"/>
  <c r="D98" i="8"/>
  <c r="C98" i="8"/>
  <c r="L97" i="8"/>
  <c r="K97" i="8"/>
  <c r="J97" i="8"/>
  <c r="I97" i="8"/>
  <c r="H97" i="8"/>
  <c r="G97" i="8"/>
  <c r="F97" i="8"/>
  <c r="E97" i="8"/>
  <c r="D97" i="8"/>
  <c r="C97" i="8"/>
  <c r="L96" i="8"/>
  <c r="K96" i="8"/>
  <c r="J96" i="8"/>
  <c r="I96" i="8"/>
  <c r="H96" i="8"/>
  <c r="G96" i="8"/>
  <c r="F96" i="8"/>
  <c r="E96" i="8"/>
  <c r="D96" i="8"/>
  <c r="C96" i="8"/>
  <c r="L95" i="8"/>
  <c r="K95" i="8"/>
  <c r="J95" i="8"/>
  <c r="I95" i="8"/>
  <c r="H95" i="8"/>
  <c r="G95" i="8"/>
  <c r="F95" i="8"/>
  <c r="E95" i="8"/>
  <c r="D95" i="8"/>
  <c r="C95" i="8"/>
  <c r="L94" i="8"/>
  <c r="K94" i="8"/>
  <c r="J94" i="8"/>
  <c r="I94" i="8"/>
  <c r="H94" i="8"/>
  <c r="G94" i="8"/>
  <c r="F94" i="8"/>
  <c r="E94" i="8"/>
  <c r="D94" i="8"/>
  <c r="C94" i="8"/>
  <c r="L93" i="8"/>
  <c r="K93" i="8"/>
  <c r="J93" i="8"/>
  <c r="I93" i="8"/>
  <c r="H93" i="8"/>
  <c r="G93" i="8"/>
  <c r="F93" i="8"/>
  <c r="E93" i="8"/>
  <c r="D93" i="8"/>
  <c r="C93" i="8"/>
  <c r="L90" i="8"/>
  <c r="K90" i="8"/>
  <c r="J90" i="8"/>
  <c r="I90" i="8"/>
  <c r="H90" i="8"/>
  <c r="G90" i="8"/>
  <c r="F90" i="8"/>
  <c r="E90" i="8"/>
  <c r="D90" i="8"/>
  <c r="C90" i="8"/>
  <c r="L89" i="8"/>
  <c r="K89" i="8"/>
  <c r="J89" i="8"/>
  <c r="I89" i="8"/>
  <c r="H89" i="8"/>
  <c r="G89" i="8"/>
  <c r="F89" i="8"/>
  <c r="E89" i="8"/>
  <c r="D89" i="8"/>
  <c r="C89" i="8"/>
  <c r="L88" i="8"/>
  <c r="K88" i="8"/>
  <c r="J88" i="8"/>
  <c r="I88" i="8"/>
  <c r="H88" i="8"/>
  <c r="G88" i="8"/>
  <c r="F88" i="8"/>
  <c r="E88" i="8"/>
  <c r="D88" i="8"/>
  <c r="C88" i="8"/>
  <c r="L87" i="8"/>
  <c r="K87" i="8"/>
  <c r="J87" i="8"/>
  <c r="I87" i="8"/>
  <c r="H87" i="8"/>
  <c r="G87" i="8"/>
  <c r="F87" i="8"/>
  <c r="E87" i="8"/>
  <c r="D87" i="8"/>
  <c r="C87" i="8"/>
  <c r="L86" i="8"/>
  <c r="K86" i="8"/>
  <c r="J86" i="8"/>
  <c r="I86" i="8"/>
  <c r="H86" i="8"/>
  <c r="G86" i="8"/>
  <c r="F86" i="8"/>
  <c r="E86" i="8"/>
  <c r="D86" i="8"/>
  <c r="C86" i="8"/>
  <c r="L85" i="8"/>
  <c r="K85" i="8"/>
  <c r="J85" i="8"/>
  <c r="I85" i="8"/>
  <c r="H85" i="8"/>
  <c r="G85" i="8"/>
  <c r="F85" i="8"/>
  <c r="E85" i="8"/>
  <c r="D85" i="8"/>
  <c r="C85" i="8"/>
  <c r="L84" i="8"/>
  <c r="K84" i="8"/>
  <c r="J84" i="8"/>
  <c r="I84" i="8"/>
  <c r="H84" i="8"/>
  <c r="G84" i="8"/>
  <c r="F84" i="8"/>
  <c r="E84" i="8"/>
  <c r="D84" i="8"/>
  <c r="C84" i="8"/>
  <c r="L83" i="8"/>
  <c r="K83" i="8"/>
  <c r="J83" i="8"/>
  <c r="I83" i="8"/>
  <c r="H83" i="8"/>
  <c r="G83" i="8"/>
  <c r="F83" i="8"/>
  <c r="E83" i="8"/>
  <c r="D83" i="8"/>
  <c r="C83" i="8"/>
  <c r="L82" i="8"/>
  <c r="K82" i="8"/>
  <c r="J82" i="8"/>
  <c r="I82" i="8"/>
  <c r="H82" i="8"/>
  <c r="G82" i="8"/>
  <c r="F82" i="8"/>
  <c r="E82" i="8"/>
  <c r="D82" i="8"/>
  <c r="C82" i="8"/>
  <c r="L81" i="8"/>
  <c r="K81" i="8"/>
  <c r="J81" i="8"/>
  <c r="I81" i="8"/>
  <c r="H81" i="8"/>
  <c r="G81" i="8"/>
  <c r="F81" i="8"/>
  <c r="E81" i="8"/>
  <c r="D81" i="8"/>
  <c r="C81" i="8"/>
  <c r="L80" i="8"/>
  <c r="K80" i="8"/>
  <c r="J80" i="8"/>
  <c r="I80" i="8"/>
  <c r="H80" i="8"/>
  <c r="G80" i="8"/>
  <c r="F80" i="8"/>
  <c r="E80" i="8"/>
  <c r="D80" i="8"/>
  <c r="C80" i="8"/>
  <c r="L76" i="8"/>
  <c r="K76" i="8"/>
  <c r="J76" i="8"/>
  <c r="I76" i="8"/>
  <c r="H76" i="8"/>
  <c r="G76" i="8"/>
  <c r="F76" i="8"/>
  <c r="E76" i="8"/>
  <c r="D76" i="8"/>
  <c r="C76" i="8"/>
  <c r="L75" i="8"/>
  <c r="K75" i="8"/>
  <c r="J75" i="8"/>
  <c r="I75" i="8"/>
  <c r="H75" i="8"/>
  <c r="G75" i="8"/>
  <c r="F75" i="8"/>
  <c r="E75" i="8"/>
  <c r="D75" i="8"/>
  <c r="C75" i="8"/>
  <c r="L74" i="8"/>
  <c r="K74" i="8"/>
  <c r="J74" i="8"/>
  <c r="I74" i="8"/>
  <c r="H74" i="8"/>
  <c r="G74" i="8"/>
  <c r="F74" i="8"/>
  <c r="E74" i="8"/>
  <c r="D74" i="8"/>
  <c r="C74" i="8"/>
  <c r="L73" i="8"/>
  <c r="K73" i="8"/>
  <c r="J73" i="8"/>
  <c r="I73" i="8"/>
  <c r="H73" i="8"/>
  <c r="G73" i="8"/>
  <c r="F73" i="8"/>
  <c r="E73" i="8"/>
  <c r="D73" i="8"/>
  <c r="C73" i="8"/>
  <c r="L72" i="8"/>
  <c r="K72" i="8"/>
  <c r="J72" i="8"/>
  <c r="I72" i="8"/>
  <c r="H72" i="8"/>
  <c r="G72" i="8"/>
  <c r="F72" i="8"/>
  <c r="E72" i="8"/>
  <c r="D72" i="8"/>
  <c r="C72" i="8"/>
  <c r="L71" i="8"/>
  <c r="K71" i="8"/>
  <c r="J71" i="8"/>
  <c r="I71" i="8"/>
  <c r="H71" i="8"/>
  <c r="G71" i="8"/>
  <c r="F71" i="8"/>
  <c r="E71" i="8"/>
  <c r="D71" i="8"/>
  <c r="C71" i="8"/>
  <c r="L70" i="8"/>
  <c r="K70" i="8"/>
  <c r="J70" i="8"/>
  <c r="I70" i="8"/>
  <c r="H70" i="8"/>
  <c r="G70" i="8"/>
  <c r="F70" i="8"/>
  <c r="E70" i="8"/>
  <c r="D70" i="8"/>
  <c r="C70" i="8"/>
  <c r="L77" i="8"/>
  <c r="K77" i="8"/>
  <c r="J77" i="8"/>
  <c r="I77" i="8"/>
  <c r="H77" i="8"/>
  <c r="G77" i="8"/>
  <c r="F77" i="8"/>
  <c r="E77" i="8"/>
  <c r="D77" i="8"/>
  <c r="C77" i="8"/>
  <c r="L56" i="8"/>
  <c r="K56" i="8"/>
  <c r="J56" i="8"/>
  <c r="I56" i="8"/>
  <c r="H56" i="8"/>
  <c r="G56" i="8"/>
  <c r="F56" i="8"/>
  <c r="E56" i="8"/>
  <c r="D56" i="8"/>
  <c r="J64" i="8"/>
  <c r="J66" i="8" s="1"/>
  <c r="F64" i="8"/>
  <c r="F66" i="8" s="1"/>
  <c r="L57" i="8"/>
  <c r="L64" i="8" s="1"/>
  <c r="L66" i="8" s="1"/>
  <c r="K57" i="8"/>
  <c r="K64" i="8" s="1"/>
  <c r="K66" i="8" s="1"/>
  <c r="J57" i="8"/>
  <c r="I57" i="8"/>
  <c r="I64" i="8" s="1"/>
  <c r="I66" i="8" s="1"/>
  <c r="H57" i="8"/>
  <c r="H64" i="8" s="1"/>
  <c r="H66" i="8" s="1"/>
  <c r="G57" i="8"/>
  <c r="G64" i="8" s="1"/>
  <c r="G66" i="8" s="1"/>
  <c r="F57" i="8"/>
  <c r="E57" i="8"/>
  <c r="E64" i="8" s="1"/>
  <c r="E66" i="8" s="1"/>
  <c r="D57" i="8"/>
  <c r="D64" i="8" s="1"/>
  <c r="D66" i="8" s="1"/>
  <c r="C57" i="8"/>
  <c r="C56" i="8"/>
  <c r="C64" i="8"/>
  <c r="C66" i="8" s="1"/>
  <c r="L61" i="8"/>
  <c r="K61" i="8"/>
  <c r="J61" i="8"/>
  <c r="I61" i="8"/>
  <c r="H61" i="8"/>
  <c r="G61" i="8"/>
  <c r="F61" i="8"/>
  <c r="E61" i="8"/>
  <c r="D61" i="8"/>
  <c r="C61" i="8"/>
  <c r="L60" i="8"/>
  <c r="K60" i="8"/>
  <c r="J60" i="8"/>
  <c r="J62" i="8" s="1"/>
  <c r="I60" i="8"/>
  <c r="I62" i="8" s="1"/>
  <c r="H60" i="8"/>
  <c r="G60" i="8"/>
  <c r="F60" i="8"/>
  <c r="F62" i="8" s="1"/>
  <c r="E60" i="8"/>
  <c r="E62" i="8" s="1"/>
  <c r="D60" i="8"/>
  <c r="C60" i="8"/>
  <c r="L59" i="8"/>
  <c r="L62" i="8" s="1"/>
  <c r="K59" i="8"/>
  <c r="K62" i="8" s="1"/>
  <c r="J59" i="8"/>
  <c r="I59" i="8"/>
  <c r="H59" i="8"/>
  <c r="H62" i="8" s="1"/>
  <c r="G59" i="8"/>
  <c r="G62" i="8" s="1"/>
  <c r="F59" i="8"/>
  <c r="E59" i="8"/>
  <c r="D59" i="8"/>
  <c r="D62" i="8" s="1"/>
  <c r="C59" i="8"/>
  <c r="C62" i="8" s="1"/>
  <c r="L55" i="8"/>
  <c r="K55" i="8"/>
  <c r="J55" i="8"/>
  <c r="I55" i="8"/>
  <c r="H55" i="8"/>
  <c r="G55" i="8"/>
  <c r="F55" i="8"/>
  <c r="E55" i="8"/>
  <c r="D55" i="8"/>
  <c r="C55" i="8"/>
  <c r="L54" i="8"/>
  <c r="K54" i="8"/>
  <c r="J54" i="8"/>
  <c r="I54" i="8"/>
  <c r="H54" i="8"/>
  <c r="G54" i="8"/>
  <c r="F54" i="8"/>
  <c r="E54" i="8"/>
  <c r="D54" i="8"/>
  <c r="C54" i="8"/>
  <c r="L53" i="8"/>
  <c r="K53" i="8"/>
  <c r="J53" i="8"/>
  <c r="I53" i="8"/>
  <c r="H53" i="8"/>
  <c r="G53" i="8"/>
  <c r="F53" i="8"/>
  <c r="E53" i="8"/>
  <c r="D53" i="8"/>
  <c r="C53" i="8"/>
  <c r="L51" i="8"/>
  <c r="K51" i="8"/>
  <c r="J51" i="8"/>
  <c r="I51" i="8"/>
  <c r="H51" i="8"/>
  <c r="G51" i="8"/>
  <c r="F51" i="8"/>
  <c r="E51" i="8"/>
  <c r="D51" i="8"/>
  <c r="C51" i="8"/>
  <c r="L50" i="8"/>
  <c r="K50" i="8"/>
  <c r="J50" i="8"/>
  <c r="I50" i="8"/>
  <c r="H50" i="8"/>
  <c r="G50" i="8"/>
  <c r="F50" i="8"/>
  <c r="E50" i="8"/>
  <c r="D50" i="8"/>
  <c r="C50" i="8"/>
  <c r="L49" i="8"/>
  <c r="K49" i="8"/>
  <c r="J49" i="8"/>
  <c r="I49" i="8"/>
  <c r="H49" i="8"/>
  <c r="G49" i="8"/>
  <c r="F49" i="8"/>
  <c r="E49" i="8"/>
  <c r="D49" i="8"/>
  <c r="C49" i="8"/>
  <c r="L48" i="8"/>
  <c r="K48" i="8"/>
  <c r="J48" i="8"/>
  <c r="I48" i="8"/>
  <c r="H48" i="8"/>
  <c r="G48" i="8"/>
  <c r="F48" i="8"/>
  <c r="E48" i="8"/>
  <c r="D48" i="8"/>
  <c r="C48" i="8"/>
  <c r="L47" i="8"/>
  <c r="K47" i="8"/>
  <c r="J47" i="8"/>
  <c r="I47" i="8"/>
  <c r="H47" i="8"/>
  <c r="G47" i="8"/>
  <c r="F47" i="8"/>
  <c r="E47" i="8"/>
  <c r="D47" i="8"/>
  <c r="C47" i="8"/>
  <c r="L36" i="8"/>
  <c r="L41" i="8" s="1"/>
  <c r="K36" i="8"/>
  <c r="K41" i="8" s="1"/>
  <c r="J36" i="8"/>
  <c r="J41" i="8" s="1"/>
  <c r="I36" i="8"/>
  <c r="I41" i="8" s="1"/>
  <c r="H36" i="8"/>
  <c r="H41" i="8" s="1"/>
  <c r="G36" i="8"/>
  <c r="G41" i="8" s="1"/>
  <c r="F36" i="8"/>
  <c r="F41" i="8" s="1"/>
  <c r="E36" i="8"/>
  <c r="E41" i="8" s="1"/>
  <c r="D36" i="8"/>
  <c r="D41" i="8" s="1"/>
  <c r="C36" i="8"/>
  <c r="C41" i="8" s="1"/>
  <c r="M33" i="8"/>
  <c r="M30" i="8"/>
  <c r="L30" i="8"/>
  <c r="K30" i="8"/>
  <c r="J30" i="8"/>
  <c r="I30" i="8"/>
  <c r="H30" i="8"/>
  <c r="G30" i="8"/>
  <c r="F30" i="8"/>
  <c r="E30" i="8"/>
  <c r="D30" i="8"/>
  <c r="C30" i="8"/>
  <c r="M24" i="8"/>
  <c r="M21" i="8"/>
  <c r="M27" i="8" s="1"/>
  <c r="M28" i="8" s="1"/>
  <c r="L24" i="8"/>
  <c r="K24" i="8"/>
  <c r="J24" i="8"/>
  <c r="I24" i="8"/>
  <c r="H24" i="8"/>
  <c r="G24" i="8"/>
  <c r="F24" i="8"/>
  <c r="E24" i="8"/>
  <c r="D24" i="8"/>
  <c r="C24" i="8"/>
  <c r="L21" i="8"/>
  <c r="K21" i="8"/>
  <c r="J21" i="8"/>
  <c r="I21" i="8"/>
  <c r="H21" i="8"/>
  <c r="G21" i="8"/>
  <c r="F21" i="8"/>
  <c r="E21" i="8"/>
  <c r="D21" i="8"/>
  <c r="C21" i="8"/>
  <c r="L15" i="8"/>
  <c r="K15" i="8"/>
  <c r="J15" i="8"/>
  <c r="I15" i="8"/>
  <c r="H15" i="8"/>
  <c r="G15" i="8"/>
  <c r="F15" i="8"/>
  <c r="E15" i="8"/>
  <c r="D15" i="8"/>
  <c r="C15" i="8"/>
  <c r="M9" i="8"/>
  <c r="L9" i="8"/>
  <c r="L10" i="8" s="1"/>
  <c r="K9" i="8"/>
  <c r="J9" i="8"/>
  <c r="I9" i="8"/>
  <c r="H9" i="8"/>
  <c r="H10" i="8" s="1"/>
  <c r="G9" i="8"/>
  <c r="F9" i="8"/>
  <c r="E9" i="8"/>
  <c r="D9" i="8"/>
  <c r="D10" i="8" s="1"/>
  <c r="C9" i="8"/>
  <c r="M6" i="8"/>
  <c r="M16" i="8" s="1"/>
  <c r="L6" i="8"/>
  <c r="K6" i="8"/>
  <c r="J6" i="8"/>
  <c r="I6" i="8"/>
  <c r="H6" i="8"/>
  <c r="G6" i="8"/>
  <c r="F6" i="8"/>
  <c r="E6" i="8"/>
  <c r="D6" i="8"/>
  <c r="C6" i="8"/>
  <c r="B2" i="8"/>
  <c r="K3" i="8"/>
  <c r="L3" i="8"/>
  <c r="D3" i="8"/>
  <c r="E3" i="8"/>
  <c r="F3" i="8"/>
  <c r="G3" i="8"/>
  <c r="H3" i="8"/>
  <c r="I3" i="8"/>
  <c r="J3" i="8"/>
  <c r="C3" i="8"/>
  <c r="B6" i="6"/>
  <c r="E1" i="6"/>
  <c r="C22" i="8" l="1"/>
  <c r="K22" i="8"/>
  <c r="D12" i="8"/>
  <c r="D13" i="8" s="1"/>
  <c r="H12" i="8"/>
  <c r="H13" i="8" s="1"/>
  <c r="L12" i="8"/>
  <c r="L13" i="8" s="1"/>
  <c r="E12" i="8"/>
  <c r="E13" i="8" s="1"/>
  <c r="I12" i="8"/>
  <c r="I18" i="8" s="1"/>
  <c r="I19" i="8" s="1"/>
  <c r="C25" i="8"/>
  <c r="C10" i="8"/>
  <c r="G10" i="8"/>
  <c r="K10" i="8"/>
  <c r="D16" i="8"/>
  <c r="L16" i="8"/>
  <c r="L25" i="8"/>
  <c r="I25" i="8"/>
  <c r="M25" i="8"/>
  <c r="F7" i="8"/>
  <c r="J7" i="8"/>
  <c r="E7" i="8"/>
  <c r="E10" i="8"/>
  <c r="I10" i="8"/>
  <c r="E16" i="8"/>
  <c r="I16" i="8"/>
  <c r="D22" i="8"/>
  <c r="H22" i="8"/>
  <c r="L22" i="8"/>
  <c r="E25" i="8"/>
  <c r="M31" i="8"/>
  <c r="C12" i="8"/>
  <c r="C13" i="8" s="1"/>
  <c r="M7" i="8"/>
  <c r="F10" i="8"/>
  <c r="J10" i="8"/>
  <c r="M10" i="8"/>
  <c r="E22" i="8"/>
  <c r="I22" i="8"/>
  <c r="E27" i="8"/>
  <c r="F16" i="8"/>
  <c r="J16" i="8"/>
  <c r="F25" i="8"/>
  <c r="J25" i="8"/>
  <c r="I7" i="8"/>
  <c r="C16" i="8"/>
  <c r="G16" i="8"/>
  <c r="K16" i="8"/>
  <c r="H16" i="8"/>
  <c r="H25" i="8"/>
  <c r="F22" i="8"/>
  <c r="J22" i="8"/>
  <c r="D25" i="8"/>
  <c r="M34" i="8"/>
  <c r="L18" i="8"/>
  <c r="E19" i="8"/>
  <c r="M12" i="8"/>
  <c r="M13" i="8" s="1"/>
  <c r="F12" i="8"/>
  <c r="F13" i="8" s="1"/>
  <c r="J12" i="8"/>
  <c r="J13" i="8" s="1"/>
  <c r="G12" i="8"/>
  <c r="G13" i="8" s="1"/>
  <c r="G7" i="8"/>
  <c r="K12" i="8"/>
  <c r="K13" i="8" s="1"/>
  <c r="K7" i="8"/>
  <c r="G25" i="8"/>
  <c r="K25" i="8"/>
  <c r="G22" i="8"/>
  <c r="M19" i="8"/>
  <c r="M22" i="8"/>
  <c r="D7" i="8"/>
  <c r="H7" i="8"/>
  <c r="L7" i="8"/>
  <c r="I27" i="8" l="1"/>
  <c r="H18" i="8"/>
  <c r="I13" i="8"/>
  <c r="D18" i="8"/>
  <c r="D27" i="8" s="1"/>
  <c r="C18" i="8"/>
  <c r="C27" i="8" s="1"/>
  <c r="E33" i="8"/>
  <c r="E31" i="8"/>
  <c r="E28" i="8"/>
  <c r="K18" i="8"/>
  <c r="J18" i="8"/>
  <c r="I33" i="8"/>
  <c r="I28" i="8"/>
  <c r="I31" i="8"/>
  <c r="H19" i="8"/>
  <c r="H27" i="8"/>
  <c r="G18" i="8"/>
  <c r="F18" i="8"/>
  <c r="L19" i="8"/>
  <c r="L27" i="8"/>
  <c r="D19" i="8"/>
  <c r="C19" i="8" l="1"/>
  <c r="L33" i="8"/>
  <c r="L28" i="8"/>
  <c r="L31" i="8"/>
  <c r="J19" i="8"/>
  <c r="J27" i="8"/>
  <c r="K27" i="8"/>
  <c r="K19" i="8"/>
  <c r="G27" i="8"/>
  <c r="G19" i="8"/>
  <c r="D28" i="8"/>
  <c r="D33" i="8"/>
  <c r="D31" i="8"/>
  <c r="H33" i="8"/>
  <c r="H28" i="8"/>
  <c r="H31" i="8"/>
  <c r="I38" i="8"/>
  <c r="I34" i="8"/>
  <c r="C31" i="8"/>
  <c r="C28" i="8"/>
  <c r="C33" i="8"/>
  <c r="F19" i="8"/>
  <c r="F27" i="8"/>
  <c r="E38" i="8"/>
  <c r="E34" i="8"/>
  <c r="E42" i="8" l="1"/>
  <c r="E44" i="8" s="1"/>
  <c r="I44" i="8"/>
  <c r="I42" i="8"/>
  <c r="C34" i="8"/>
  <c r="C38" i="8"/>
  <c r="G28" i="8"/>
  <c r="G31" i="8"/>
  <c r="G33" i="8"/>
  <c r="D38" i="8"/>
  <c r="E39" i="8" s="1"/>
  <c r="D34" i="8"/>
  <c r="F31" i="8"/>
  <c r="F28" i="8"/>
  <c r="F33" i="8"/>
  <c r="K28" i="8"/>
  <c r="K31" i="8"/>
  <c r="K33" i="8"/>
  <c r="H38" i="8"/>
  <c r="I39" i="8" s="1"/>
  <c r="H34" i="8"/>
  <c r="J31" i="8"/>
  <c r="J33" i="8"/>
  <c r="J28" i="8"/>
  <c r="L38" i="8"/>
  <c r="L34" i="8"/>
  <c r="L42" i="8" l="1"/>
  <c r="L44" i="8" s="1"/>
  <c r="H44" i="8"/>
  <c r="H42" i="8"/>
  <c r="D39" i="8"/>
  <c r="D42" i="8"/>
  <c r="D44" i="8" s="1"/>
  <c r="C42" i="8"/>
  <c r="C44" i="8" s="1"/>
  <c r="F38" i="8"/>
  <c r="F34" i="8"/>
  <c r="J38" i="8"/>
  <c r="J34" i="8"/>
  <c r="K34" i="8"/>
  <c r="K38" i="8"/>
  <c r="L39" i="8" s="1"/>
  <c r="G34" i="8"/>
  <c r="G38" i="8"/>
  <c r="F44" i="8" l="1"/>
  <c r="F42" i="8"/>
  <c r="F39" i="8"/>
  <c r="G44" i="8"/>
  <c r="G39" i="8"/>
  <c r="G42" i="8"/>
  <c r="J44" i="8"/>
  <c r="J42" i="8"/>
  <c r="J39" i="8"/>
  <c r="K39" i="8"/>
  <c r="K42" i="8"/>
  <c r="K44" i="8" s="1"/>
  <c r="H39" i="8"/>
</calcChain>
</file>

<file path=xl/sharedStrings.xml><?xml version="1.0" encoding="utf-8"?>
<sst xmlns="http://schemas.openxmlformats.org/spreadsheetml/2006/main" count="185" uniqueCount="127">
  <si>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</si>
  <si>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</si>
  <si>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</si>
  <si>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</si>
  <si>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</si>
  <si>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</si>
  <si>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</si>
  <si>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</si>
  <si>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</si>
  <si>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</si>
  <si>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</si>
  <si>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</si>
  <si>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</si>
  <si>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</si>
  <si>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</si>
  <si>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</si>
  <si>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</si>
  <si>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</si>
  <si>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</si>
  <si>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</si>
  <si>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</si>
  <si>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</si>
  <si>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</si>
  <si>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</si>
  <si>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</si>
  <si>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</si>
  <si>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</si>
  <si>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</si>
  <si>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</si>
  <si>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</si>
  <si>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</si>
  <si>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</si>
  <si>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TATA MOTORS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</si>
  <si>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</si>
  <si>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</si>
  <si>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</si>
  <si>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</si>
  <si>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</si>
  <si>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</si>
  <si>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</si>
  <si>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</si>
  <si>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</si>
  <si>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</si>
  <si>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</si>
  <si>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</si>
  <si>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</si>
  <si>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</si>
  <si>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</si>
  <si>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</si>
  <si>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</si>
  <si>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</si>
  <si>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</si>
  <si>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</si>
  <si>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</si>
  <si>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Years</t>
  </si>
  <si>
    <t>LTM</t>
  </si>
  <si>
    <t>Income Statement</t>
  </si>
  <si>
    <t>#</t>
  </si>
  <si>
    <t>Sales Growth</t>
  </si>
  <si>
    <t>-</t>
  </si>
  <si>
    <t>COGS</t>
  </si>
  <si>
    <t>COGS % sales</t>
  </si>
  <si>
    <t>Gross Profit</t>
  </si>
  <si>
    <t>Gross Margin</t>
  </si>
  <si>
    <t>S &amp; G Expenses</t>
  </si>
  <si>
    <t>S &amp; G Exp % sales</t>
  </si>
  <si>
    <t>EBITDA</t>
  </si>
  <si>
    <t>EBITDA Margins</t>
  </si>
  <si>
    <t>D &amp; A</t>
  </si>
  <si>
    <t>Interest % sales</t>
  </si>
  <si>
    <t>Dep % sales</t>
  </si>
  <si>
    <t>EBT</t>
  </si>
  <si>
    <t>EBT % sales</t>
  </si>
  <si>
    <t>Effective Tax rate</t>
  </si>
  <si>
    <t>Net Profit</t>
  </si>
  <si>
    <t>Net Margin</t>
  </si>
  <si>
    <t>No. of shares</t>
  </si>
  <si>
    <t>EPS</t>
  </si>
  <si>
    <t>Dividend per Share</t>
  </si>
  <si>
    <t>EPS growth%</t>
  </si>
  <si>
    <t>Dividend Payout Ratio</t>
  </si>
  <si>
    <t>Retained Earnings</t>
  </si>
  <si>
    <t>Balance Sheet</t>
  </si>
  <si>
    <t>Total Liability</t>
  </si>
  <si>
    <t>Fixed Asset Net Block</t>
  </si>
  <si>
    <t>Total Non- current Assets</t>
  </si>
  <si>
    <t>Total Current Assets</t>
  </si>
  <si>
    <t>Total Assets</t>
  </si>
  <si>
    <t>Check</t>
  </si>
  <si>
    <t>Cash from Operating Activity -</t>
  </si>
  <si>
    <t>Profit from operations</t>
  </si>
  <si>
    <t>Payables</t>
  </si>
  <si>
    <t>Other WC items</t>
  </si>
  <si>
    <t>Working capital changes</t>
  </si>
  <si>
    <t>Direct taxes</t>
  </si>
  <si>
    <t>Cash from Investing Activity -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</si>
  <si>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</si>
  <si>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</si>
  <si>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</si>
  <si>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</si>
  <si>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</si>
  <si>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</si>
  <si>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Redemp n Canc of Shares</t>
  </si>
  <si>
    <t>Acquisition of companies</t>
  </si>
  <si>
    <t>Inter corporate deposits</t>
  </si>
  <si>
    <t>Other investing items</t>
  </si>
  <si>
    <t>Cash from Financing Activity -</t>
  </si>
  <si>
    <t>Proceeds from shares</t>
  </si>
  <si>
    <t>Proceeds from borrowings</t>
  </si>
  <si>
    <t>Repayment of borrowings</t>
  </si>
  <si>
    <t>Corporate loans</t>
  </si>
  <si>
    <t>Interest paid fin</t>
  </si>
  <si>
    <t>Dividends paid</t>
  </si>
  <si>
    <t>Financial liabilities</t>
  </si>
  <si>
    <t>Other financing items</t>
  </si>
  <si>
    <t>Cash Flow Statement</t>
  </si>
  <si>
    <t xml:space="preserve">Cash from Operating Activity </t>
  </si>
  <si>
    <t xml:space="preserve">Cash from Investing Activity </t>
  </si>
  <si>
    <t xml:space="preserve">Cash from Financing Activity </t>
  </si>
  <si>
    <t xml:space="preserve">Operating Activity </t>
  </si>
  <si>
    <t xml:space="preserve">Investing Activity </t>
  </si>
  <si>
    <t xml:space="preserve">Financing Activity </t>
  </si>
  <si>
    <t xml:space="preserve"> </t>
  </si>
  <si>
    <t>EBITDA Growth</t>
  </si>
  <si>
    <t>EBIT Growth</t>
  </si>
  <si>
    <t>NP Growth</t>
  </si>
  <si>
    <t>Dividend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</si>
</sst>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0"/>
    <numFmt numFmtId="167" formatCode="&quot;₹&quot;\ #,##0.0"/>
    <numFmt numFmtId="168" formatCode="&quot;₹&quot;\ #,##0.00;\(#,##0.00\);\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9" fontId="3" fillId="0" borderId="0" applyFont="0" applyFill="0" applyBorder="0" applyAlignment="0" applyProtection="0"/>
  </cellStyleXfs>
  <cellXfs count="37">
    <xf numFmtId="0" fontId="0" fillId="0" borderId="0" xfId="0"/>
    <xf numFmtId="43" fontId="1" fillId="0" borderId="0" xfId="1" applyFont="1" applyBorder="1"/>
    <xf numFmtId="43" fontId="0" fillId="0" borderId="0" xfId="1" applyFont="1" applyBorder="1"/>
    <xf numFmtId="43" fontId="3" fillId="0" borderId="0" xfId="1" applyFont="1" applyBorder="1"/>
    <xf numFmtId="165" fontId="2" fillId="3" borderId="0" xfId="0" applyNumberFormat="1" applyFont="1" applyFill="1" applyAlignment="1">
      <alignment horizontal="center"/>
    </xf>
    <xf numFmtId="165" fontId="2" fillId="3" borderId="0" xfId="1" applyNumberFormat="1" applyFont="1" applyFill="1" applyBorder="1"/>
    <xf numFmtId="165" fontId="6" fillId="0" borderId="0" xfId="1" applyNumberFormat="1" applyFont="1" applyFill="1" applyBorder="1"/>
    <xf numFmtId="164" fontId="0" fillId="0" borderId="0" xfId="1" applyNumberFormat="1" applyFont="1" applyBorder="1"/>
    <xf numFmtId="0" fontId="1" fillId="0" borderId="0" xfId="0" applyFont="1"/>
    <xf numFmtId="17" fontId="0" fillId="0" borderId="0" xfId="0" applyNumberFormat="1"/>
    <xf numFmtId="17" fontId="5" fillId="4" borderId="0" xfId="0" applyNumberFormat="1" applyFont="1" applyFill="1"/>
    <xf numFmtId="166" fontId="0" fillId="0" borderId="0" xfId="0" applyNumberFormat="1"/>
    <xf numFmtId="10" fontId="0" fillId="0" borderId="0" xfId="4" applyNumberFormat="1" applyFont="1"/>
    <xf numFmtId="10" fontId="7" fillId="0" borderId="0" xfId="4" applyNumberFormat="1" applyFont="1"/>
    <xf numFmtId="4" fontId="0" fillId="0" borderId="0" xfId="0" applyNumberFormat="1"/>
    <xf numFmtId="4" fontId="5" fillId="4" borderId="0" xfId="0" applyNumberFormat="1" applyFont="1" applyFill="1"/>
    <xf numFmtId="17" fontId="5" fillId="4" borderId="0" xfId="0" applyNumberFormat="1" applyFont="1" applyFill="1" applyAlignment="1">
      <alignment horizontal="right"/>
    </xf>
    <xf numFmtId="167" fontId="1" fillId="0" borderId="0" xfId="0" applyNumberFormat="1" applyFont="1"/>
    <xf numFmtId="167" fontId="0" fillId="0" borderId="0" xfId="0" applyNumberFormat="1"/>
    <xf numFmtId="167" fontId="7" fillId="0" borderId="0" xfId="0" applyNumberFormat="1" applyFont="1"/>
    <xf numFmtId="168" fontId="0" fillId="0" borderId="0" xfId="0" applyNumberFormat="1"/>
    <xf numFmtId="10" fontId="7" fillId="0" borderId="0" xfId="4" applyNumberFormat="1" applyFont="1" applyAlignment="1">
      <alignment horizontal="center"/>
    </xf>
    <xf numFmtId="166" fontId="7" fillId="0" borderId="0" xfId="0" applyNumberFormat="1" applyFont="1" applyAlignment="1">
      <alignment horizontal="center"/>
    </xf>
    <xf numFmtId="4" fontId="0" fillId="5" borderId="0" xfId="0" applyNumberFormat="1" applyFill="1"/>
    <xf numFmtId="167" fontId="0" fillId="5" borderId="0" xfId="0" applyNumberFormat="1" applyFill="1"/>
    <xf numFmtId="168" fontId="0" fillId="5" borderId="0" xfId="0" applyNumberFormat="1" applyFill="1"/>
    <xf numFmtId="167" fontId="1" fillId="5" borderId="0" xfId="0" applyNumberFormat="1" applyFont="1" applyFill="1"/>
    <xf numFmtId="4" fontId="0" fillId="6" borderId="0" xfId="0" applyNumberFormat="1" applyFill="1"/>
    <xf numFmtId="4" fontId="5" fillId="6" borderId="0" xfId="0" applyNumberFormat="1" applyFont="1" applyFill="1"/>
    <xf numFmtId="17" fontId="5" fillId="6" borderId="0" xfId="0" applyNumberFormat="1" applyFont="1" applyFill="1"/>
    <xf numFmtId="17" fontId="5" fillId="6" borderId="0" xfId="0" applyNumberFormat="1" applyFont="1" applyFill="1" applyAlignment="1">
      <alignment horizontal="right"/>
    </xf>
    <xf numFmtId="168" fontId="1" fillId="0" borderId="0" xfId="0" applyNumberFormat="1" applyFont="1"/>
    <xf numFmtId="168" fontId="7" fillId="0" borderId="0" xfId="0" applyNumberFormat="1" applyFont="1"/>
    <xf numFmtId="3" fontId="0" fillId="0" borderId="0" xfId="0" applyNumberFormat="1"/>
    <xf numFmtId="4" fontId="2" fillId="4" borderId="0" xfId="0" applyNumberFormat="1" applyFont="1" applyFill="1" applyAlignment="1">
      <alignment horizontal="center"/>
    </xf>
    <xf numFmtId="43" fontId="4" fillId="0" borderId="0" xfId="2" applyNumberFormat="1" applyBorder="1" applyAlignment="1" applyProtection="1">
      <alignment horizontal="center"/>
    </xf>
    <xf numFmtId="43" fontId="2" fillId="2" borderId="0" xfId="3" applyNumberFormat="1" applyFont="1" applyBorder="1" applyAlignment="1">
      <alignment horizontal="center"/>
    </xf>
  </cellXfs>
  <cellStyles count="5">
    <cellStyle name="Accent6" xfId="3" builtinId="49"/>
    <cellStyle name="Comma" xfId="1" builtinId="3"/>
    <cellStyle name="Hyperlink" xfId="2" builtinId="8"/>
    <cellStyle name="Normal" xfId="0" builtinId="0"/>
    <cellStyle name="Percent" xfId="4" builtinId="5"/>
  </cellStyles>
  <dxfs count="1"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EFD86-6AA2-4C09-BE0C-461DC734015D}">
  <sheetPr>
    <tabColor theme="7" tint="-0.499984740745262"/>
  </sheetPr>
  <dimension ref="A1"/>
  <sheetViews>
    <sheetView workbookViewId="0">
      <selection activeCell="C1" sqref="C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B19E-CD16-4991-BA43-B63440D24116}">
  <dimension ref="A1:M106"/>
  <sheetViews>
    <sheetView showGridLines="0" workbookViewId="0">
      <pane ySplit="3" topLeftCell="A15" activePane="bottomLeft" state="frozen"/>
      <selection pane="bottomLeft" activeCell="C27" sqref="C27"/>
    </sheetView>
  </sheetViews>
  <sheetFormatPr defaultRowHeight="15" x14ac:dyDescent="0.25"/>
  <cols>
    <col min="1" max="1" width="2" style="14" bestFit="1" customWidth="1"/>
    <col min="2" max="2" width="28" style="18" bestFit="1" customWidth="1"/>
    <col min="3" max="13" width="12.28515625" style="20" bestFit="1" customWidth="1"/>
    <col min="14" max="16384" width="9.140625" style="18"/>
  </cols>
  <sheetData>
    <row r="1" spans="1:13" s="14" customFormat="1" x14ac:dyDescent="0.25"/>
    <row r="2" spans="1:13" s="14" customFormat="1" x14ac:dyDescent="0.25">
      <c r="B2" s="34" t="str">
        <f>"Historical Financial Statement - "&amp;'Data Sheet'!B1</f>
        <v>Historical Financial Statement - TATA MOTORS LTD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</row>
    <row r="3" spans="1:13" s="14" customFormat="1" x14ac:dyDescent="0.25">
      <c r="B3" s="15" t="s">
        <v>54</v>
      </c>
      <c r="C3" s="10">
        <f>'Data Sheet'!B16</f>
        <v>42460</v>
      </c>
      <c r="D3" s="10">
        <f>'Data Sheet'!C16</f>
        <v>42825</v>
      </c>
      <c r="E3" s="10">
        <f>'Data Sheet'!D16</f>
        <v>43190</v>
      </c>
      <c r="F3" s="10">
        <f>'Data Sheet'!E16</f>
        <v>43555</v>
      </c>
      <c r="G3" s="10">
        <f>'Data Sheet'!F16</f>
        <v>43921</v>
      </c>
      <c r="H3" s="10">
        <f>'Data Sheet'!G16</f>
        <v>44286</v>
      </c>
      <c r="I3" s="10">
        <f>'Data Sheet'!H16</f>
        <v>44651</v>
      </c>
      <c r="J3" s="10">
        <f>'Data Sheet'!I16</f>
        <v>45016</v>
      </c>
      <c r="K3" s="10">
        <f>'Data Sheet'!J16</f>
        <v>45382</v>
      </c>
      <c r="L3" s="10">
        <f>'Data Sheet'!K16</f>
        <v>45747</v>
      </c>
      <c r="M3" s="16" t="s">
        <v>55</v>
      </c>
    </row>
    <row r="4" spans="1:13" s="27" customFormat="1" x14ac:dyDescent="0.25">
      <c r="B4" s="28"/>
      <c r="C4" s="29"/>
      <c r="D4" s="29"/>
      <c r="E4" s="29"/>
      <c r="F4" s="29"/>
      <c r="G4" s="29"/>
      <c r="H4" s="29"/>
      <c r="I4" s="29"/>
      <c r="J4" s="29"/>
      <c r="K4" s="29"/>
      <c r="L4" s="29"/>
      <c r="M4" s="30"/>
    </row>
    <row r="5" spans="1:13" s="24" customFormat="1" x14ac:dyDescent="0.25">
      <c r="A5" s="23" t="s">
        <v>57</v>
      </c>
      <c r="B5" s="26" t="s">
        <v>56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</row>
    <row r="6" spans="1:13" x14ac:dyDescent="0.25">
      <c r="B6" s="18" t="s">
        <v>1</v>
      </c>
      <c r="C6" s="20">
        <f>IFERROR('Data Sheet'!B17,0)</f>
        <v>273045.59999999998</v>
      </c>
      <c r="D6" s="20">
        <f>IFERROR('Data Sheet'!C17,0)</f>
        <v>269692.51</v>
      </c>
      <c r="E6" s="20">
        <f>IFERROR('Data Sheet'!D17,0)</f>
        <v>291550.48</v>
      </c>
      <c r="F6" s="20">
        <f>IFERROR('Data Sheet'!E17,0)</f>
        <v>301938.40000000002</v>
      </c>
      <c r="G6" s="20">
        <f>IFERROR('Data Sheet'!F17,0)</f>
        <v>261067.97</v>
      </c>
      <c r="H6" s="20">
        <f>IFERROR('Data Sheet'!G17,0)</f>
        <v>249794.75</v>
      </c>
      <c r="I6" s="20">
        <f>IFERROR('Data Sheet'!H17,0)</f>
        <v>278453.62</v>
      </c>
      <c r="J6" s="20">
        <f>IFERROR('Data Sheet'!I17,0)</f>
        <v>345966.97</v>
      </c>
      <c r="K6" s="20">
        <f>IFERROR('Data Sheet'!J17,0)</f>
        <v>434016</v>
      </c>
      <c r="L6" s="20">
        <f>IFERROR('Data Sheet'!K17,0)</f>
        <v>439695</v>
      </c>
      <c r="M6" s="20">
        <f>IFERROR(SUM('Data Sheet'!G42:K42),0)</f>
        <v>560642</v>
      </c>
    </row>
    <row r="7" spans="1:13" x14ac:dyDescent="0.25">
      <c r="B7" s="19" t="s">
        <v>58</v>
      </c>
      <c r="C7" s="21" t="s">
        <v>59</v>
      </c>
      <c r="D7" s="13">
        <f>D6/C6-1</f>
        <v>-1.2280329732469508E-2</v>
      </c>
      <c r="E7" s="13">
        <f t="shared" ref="E7:M7" si="0">E6/D6-1</f>
        <v>8.104774581985974E-2</v>
      </c>
      <c r="F7" s="13">
        <f t="shared" si="0"/>
        <v>3.5629919045237157E-2</v>
      </c>
      <c r="G7" s="13">
        <f t="shared" si="0"/>
        <v>-0.135360159555724</v>
      </c>
      <c r="H7" s="13">
        <f t="shared" si="0"/>
        <v>-4.3181168490336042E-2</v>
      </c>
      <c r="I7" s="13">
        <f t="shared" si="0"/>
        <v>0.11472967306158344</v>
      </c>
      <c r="J7" s="13">
        <f t="shared" si="0"/>
        <v>0.24245815155859707</v>
      </c>
      <c r="K7" s="13">
        <f t="shared" si="0"/>
        <v>0.25450126062612277</v>
      </c>
      <c r="L7" s="13">
        <f t="shared" si="0"/>
        <v>1.3084771068347711E-2</v>
      </c>
      <c r="M7" s="13">
        <f t="shared" si="0"/>
        <v>0.27507021912916918</v>
      </c>
    </row>
    <row r="9" spans="1:13" x14ac:dyDescent="0.25">
      <c r="B9" s="18" t="s">
        <v>60</v>
      </c>
      <c r="C9" s="20">
        <f>IFERROR(SUM('Data Sheet'!B18,'Data Sheet'!B20,'Data Sheet'!B21,'Data Sheet'!B22)-1*'Data Sheet'!B19,0)</f>
        <v>205509.07</v>
      </c>
      <c r="D9" s="20">
        <f>IFERROR(SUM('Data Sheet'!C18,'Data Sheet'!C20,'Data Sheet'!C21,'Data Sheet'!C22)-1*'Data Sheet'!C19,0)</f>
        <v>205454.23999999996</v>
      </c>
      <c r="E9" s="20">
        <f>IFERROR(SUM('Data Sheet'!D18,'Data Sheet'!D20,'Data Sheet'!D21,'Data Sheet'!D22)-1*'Data Sheet'!D19,0)</f>
        <v>228429.83</v>
      </c>
      <c r="F9" s="20">
        <f>IFERROR(SUM('Data Sheet'!E18,'Data Sheet'!E20,'Data Sheet'!E21,'Data Sheet'!E22)-1*'Data Sheet'!E19,0)</f>
        <v>242845.53</v>
      </c>
      <c r="G9" s="20">
        <f>IFERROR(SUM('Data Sheet'!F18,'Data Sheet'!F20,'Data Sheet'!F21,'Data Sheet'!F22)-1*'Data Sheet'!F19,0)</f>
        <v>210376.07000000004</v>
      </c>
      <c r="H9" s="20">
        <f>IFERROR(SUM('Data Sheet'!G18,'Data Sheet'!G20,'Data Sheet'!G21,'Data Sheet'!G22)-1*'Data Sheet'!G19,0)</f>
        <v>195326.04</v>
      </c>
      <c r="I9" s="20">
        <f>IFERROR(SUM('Data Sheet'!H18,'Data Sheet'!H20,'Data Sheet'!H21,'Data Sheet'!H22)-1*'Data Sheet'!H19,0)</f>
        <v>223300.00999999998</v>
      </c>
      <c r="J9" s="20">
        <f>IFERROR(SUM('Data Sheet'!I18,'Data Sheet'!I20,'Data Sheet'!I21,'Data Sheet'!I22)-1*'Data Sheet'!I19,0)</f>
        <v>274403.64</v>
      </c>
      <c r="K9" s="20">
        <f>IFERROR(SUM('Data Sheet'!J18,'Data Sheet'!J20,'Data Sheet'!J21,'Data Sheet'!J22)-1*'Data Sheet'!J19,0)</f>
        <v>334380</v>
      </c>
      <c r="L9" s="20">
        <f>IFERROR(SUM('Data Sheet'!K18,'Data Sheet'!K20,'Data Sheet'!K21,'Data Sheet'!K22)-1*'Data Sheet'!K19,0)</f>
        <v>340809</v>
      </c>
      <c r="M9" s="20">
        <f>IFERROR(SUM('Data Sheet'!H43:K43),0)</f>
        <v>384424</v>
      </c>
    </row>
    <row r="10" spans="1:13" x14ac:dyDescent="0.25">
      <c r="B10" s="19" t="s">
        <v>61</v>
      </c>
      <c r="C10" s="13">
        <f>C9/C6</f>
        <v>0.75265475803309057</v>
      </c>
      <c r="D10" s="13">
        <f t="shared" ref="D10:M10" si="1">D9/D6</f>
        <v>0.76180921746770036</v>
      </c>
      <c r="E10" s="13">
        <f t="shared" si="1"/>
        <v>0.78350009919380004</v>
      </c>
      <c r="F10" s="13">
        <f t="shared" si="1"/>
        <v>0.80428832503583503</v>
      </c>
      <c r="G10" s="13">
        <f t="shared" si="1"/>
        <v>0.80582872728508226</v>
      </c>
      <c r="H10" s="13">
        <f t="shared" si="1"/>
        <v>0.7819461377791167</v>
      </c>
      <c r="I10" s="13">
        <f t="shared" si="1"/>
        <v>0.80192891728252624</v>
      </c>
      <c r="J10" s="13">
        <f t="shared" si="1"/>
        <v>0.79314982005363122</v>
      </c>
      <c r="K10" s="13">
        <f t="shared" si="1"/>
        <v>0.7704324264543243</v>
      </c>
      <c r="L10" s="13">
        <f t="shared" si="1"/>
        <v>0.77510319653396109</v>
      </c>
      <c r="M10" s="13">
        <f t="shared" si="1"/>
        <v>0.6856853393074368</v>
      </c>
    </row>
    <row r="12" spans="1:13" x14ac:dyDescent="0.25">
      <c r="B12" s="18" t="s">
        <v>62</v>
      </c>
      <c r="C12" s="20">
        <f>C6-C9</f>
        <v>67536.52999999997</v>
      </c>
      <c r="D12" s="20">
        <f t="shared" ref="D12:L12" si="2">D6-D9</f>
        <v>64238.270000000048</v>
      </c>
      <c r="E12" s="20">
        <f t="shared" si="2"/>
        <v>63120.649999999994</v>
      </c>
      <c r="F12" s="20">
        <f t="shared" si="2"/>
        <v>59092.870000000024</v>
      </c>
      <c r="G12" s="20">
        <f t="shared" si="2"/>
        <v>50691.899999999965</v>
      </c>
      <c r="H12" s="20">
        <f t="shared" si="2"/>
        <v>54468.709999999992</v>
      </c>
      <c r="I12" s="20">
        <f t="shared" si="2"/>
        <v>55153.610000000015</v>
      </c>
      <c r="J12" s="20">
        <f t="shared" si="2"/>
        <v>71563.329999999958</v>
      </c>
      <c r="K12" s="20">
        <f t="shared" si="2"/>
        <v>99636</v>
      </c>
      <c r="L12" s="20">
        <f t="shared" si="2"/>
        <v>98886</v>
      </c>
      <c r="M12" s="20">
        <f>M6-M9</f>
        <v>176218</v>
      </c>
    </row>
    <row r="13" spans="1:13" x14ac:dyDescent="0.25">
      <c r="B13" s="19" t="s">
        <v>63</v>
      </c>
      <c r="C13" s="13">
        <f>C12/C6</f>
        <v>0.24734524196690946</v>
      </c>
      <c r="D13" s="13">
        <f t="shared" ref="D13:M13" si="3">D12/D6</f>
        <v>0.23819078253229964</v>
      </c>
      <c r="E13" s="13">
        <f t="shared" si="3"/>
        <v>0.21649990080619999</v>
      </c>
      <c r="F13" s="13">
        <f t="shared" si="3"/>
        <v>0.19571167496416494</v>
      </c>
      <c r="G13" s="13">
        <f t="shared" si="3"/>
        <v>0.19417127271491774</v>
      </c>
      <c r="H13" s="13">
        <f t="shared" si="3"/>
        <v>0.2180538622208833</v>
      </c>
      <c r="I13" s="13">
        <f t="shared" si="3"/>
        <v>0.19807108271747378</v>
      </c>
      <c r="J13" s="13">
        <f t="shared" si="3"/>
        <v>0.20685017994636876</v>
      </c>
      <c r="K13" s="13">
        <f t="shared" si="3"/>
        <v>0.22956757354567572</v>
      </c>
      <c r="L13" s="13">
        <f t="shared" si="3"/>
        <v>0.22489680346603896</v>
      </c>
      <c r="M13" s="13">
        <f t="shared" si="3"/>
        <v>0.31431466069256314</v>
      </c>
    </row>
    <row r="15" spans="1:13" x14ac:dyDescent="0.25">
      <c r="B15" s="18" t="s">
        <v>64</v>
      </c>
      <c r="C15" s="20">
        <f>IFERROR(SUM('Data Sheet'!B23:B24),0)</f>
        <v>29141.280000000002</v>
      </c>
      <c r="D15" s="20">
        <f>IFERROR(SUM('Data Sheet'!C23:C24),0)</f>
        <v>34649.58</v>
      </c>
      <c r="E15" s="20">
        <f>IFERROR(SUM('Data Sheet'!D23:D24),0)</f>
        <v>31662.97</v>
      </c>
      <c r="F15" s="20">
        <f>IFERROR(SUM('Data Sheet'!E23:E24),0)</f>
        <v>34428.54</v>
      </c>
      <c r="G15" s="20">
        <f>IFERROR(SUM('Data Sheet'!F23:F24),0)</f>
        <v>32704.83</v>
      </c>
      <c r="H15" s="20">
        <f>IFERROR(SUM('Data Sheet'!G23:G24),0)</f>
        <v>22181.280000000002</v>
      </c>
      <c r="I15" s="20">
        <f>IFERROR(SUM('Data Sheet'!H23:H24),0)</f>
        <v>30433.52</v>
      </c>
      <c r="J15" s="20">
        <f>IFERROR(SUM('Data Sheet'!I23:I24),0)</f>
        <v>39747.53</v>
      </c>
      <c r="K15" s="20">
        <f>IFERROR(SUM('Data Sheet'!J23:J24),0)</f>
        <v>41812</v>
      </c>
      <c r="L15" s="20">
        <f>IFERROR(SUM('Data Sheet'!K23:K24),0)</f>
        <v>43670</v>
      </c>
    </row>
    <row r="16" spans="1:13" x14ac:dyDescent="0.25">
      <c r="B16" s="19" t="s">
        <v>65</v>
      </c>
      <c r="C16" s="13">
        <f>C15/C6</f>
        <v>0.10672678849247161</v>
      </c>
      <c r="D16" s="13">
        <f t="shared" ref="D16:M16" si="4">D15/D6</f>
        <v>0.12847809529452636</v>
      </c>
      <c r="E16" s="13">
        <f t="shared" si="4"/>
        <v>0.10860201636437025</v>
      </c>
      <c r="F16" s="13">
        <f t="shared" si="4"/>
        <v>0.11402504616835751</v>
      </c>
      <c r="G16" s="13">
        <f t="shared" si="4"/>
        <v>0.12527323822987554</v>
      </c>
      <c r="H16" s="13">
        <f t="shared" si="4"/>
        <v>8.8798023177028354E-2</v>
      </c>
      <c r="I16" s="13">
        <f t="shared" si="4"/>
        <v>0.10929475436519734</v>
      </c>
      <c r="J16" s="13">
        <f t="shared" si="4"/>
        <v>0.11488822184383672</v>
      </c>
      <c r="K16" s="13">
        <f t="shared" si="4"/>
        <v>9.6337462213374622E-2</v>
      </c>
      <c r="L16" s="13">
        <f t="shared" si="4"/>
        <v>9.9318846018262658E-2</v>
      </c>
      <c r="M16" s="13">
        <f t="shared" si="4"/>
        <v>0</v>
      </c>
    </row>
    <row r="18" spans="2:13" x14ac:dyDescent="0.25">
      <c r="B18" s="18" t="s">
        <v>66</v>
      </c>
      <c r="C18" s="20">
        <f>C12-C15</f>
        <v>38395.249999999971</v>
      </c>
      <c r="D18" s="20">
        <f t="shared" ref="D18:L18" si="5">D12-D15</f>
        <v>29588.690000000046</v>
      </c>
      <c r="E18" s="20">
        <f>E12-E15</f>
        <v>31457.679999999993</v>
      </c>
      <c r="F18" s="20">
        <f t="shared" si="5"/>
        <v>24664.330000000024</v>
      </c>
      <c r="G18" s="20">
        <f t="shared" si="5"/>
        <v>17987.069999999963</v>
      </c>
      <c r="H18" s="20">
        <f t="shared" si="5"/>
        <v>32287.429999999989</v>
      </c>
      <c r="I18" s="20">
        <f t="shared" si="5"/>
        <v>24720.090000000015</v>
      </c>
      <c r="J18" s="20">
        <f t="shared" si="5"/>
        <v>31815.799999999959</v>
      </c>
      <c r="K18" s="20">
        <f t="shared" si="5"/>
        <v>57824</v>
      </c>
      <c r="L18" s="20">
        <f t="shared" si="5"/>
        <v>55216</v>
      </c>
    </row>
    <row r="19" spans="2:13" x14ac:dyDescent="0.25">
      <c r="B19" s="19" t="s">
        <v>67</v>
      </c>
      <c r="C19" s="13">
        <f>C18/C6</f>
        <v>0.14061845347443788</v>
      </c>
      <c r="D19" s="13">
        <f t="shared" ref="D19:M19" si="6">D18/D6</f>
        <v>0.10971268723777329</v>
      </c>
      <c r="E19" s="13">
        <f t="shared" si="6"/>
        <v>0.10789788444182975</v>
      </c>
      <c r="F19" s="13">
        <f t="shared" si="6"/>
        <v>8.1686628795807431E-2</v>
      </c>
      <c r="G19" s="13">
        <f t="shared" si="6"/>
        <v>6.8898034485042198E-2</v>
      </c>
      <c r="H19" s="13">
        <f t="shared" si="6"/>
        <v>0.12925583904385496</v>
      </c>
      <c r="I19" s="13">
        <f t="shared" si="6"/>
        <v>8.877632835227646E-2</v>
      </c>
      <c r="J19" s="13">
        <f t="shared" si="6"/>
        <v>9.1961958102532049E-2</v>
      </c>
      <c r="K19" s="13">
        <f t="shared" si="6"/>
        <v>0.13323011133230112</v>
      </c>
      <c r="L19" s="13">
        <f t="shared" si="6"/>
        <v>0.12557795744777631</v>
      </c>
      <c r="M19" s="13">
        <f t="shared" si="6"/>
        <v>0</v>
      </c>
    </row>
    <row r="21" spans="2:13" x14ac:dyDescent="0.25">
      <c r="B21" s="18" t="s">
        <v>6</v>
      </c>
      <c r="C21" s="20">
        <f>IFERROR('Data Sheet'!B27,0)</f>
        <v>4889.08</v>
      </c>
      <c r="D21" s="20">
        <f>IFERROR('Data Sheet'!C27,0)</f>
        <v>4238.01</v>
      </c>
      <c r="E21" s="20">
        <f>IFERROR('Data Sheet'!D27,0)</f>
        <v>4681.79</v>
      </c>
      <c r="F21" s="20">
        <f>IFERROR('Data Sheet'!E27,0)</f>
        <v>5758.6</v>
      </c>
      <c r="G21" s="20">
        <f>IFERROR('Data Sheet'!F27,0)</f>
        <v>7243.33</v>
      </c>
      <c r="H21" s="20">
        <f>IFERROR('Data Sheet'!G27,0)</f>
        <v>8097.17</v>
      </c>
      <c r="I21" s="20">
        <f>IFERROR('Data Sheet'!H27,0)</f>
        <v>9311.86</v>
      </c>
      <c r="J21" s="20">
        <f>IFERROR('Data Sheet'!I27,0)</f>
        <v>10225.48</v>
      </c>
      <c r="K21" s="20">
        <f>IFERROR('Data Sheet'!J27,0)</f>
        <v>7594</v>
      </c>
      <c r="L21" s="20">
        <f>IFERROR('Data Sheet'!K27,0)</f>
        <v>5083</v>
      </c>
      <c r="M21" s="20">
        <f>IFERROR(SUM('Data Sheet'!H27:K27),0)</f>
        <v>32214.34</v>
      </c>
    </row>
    <row r="22" spans="2:13" x14ac:dyDescent="0.25">
      <c r="B22" s="19" t="s">
        <v>69</v>
      </c>
      <c r="C22" s="13">
        <f>C21/C6</f>
        <v>1.7905727101993223E-2</v>
      </c>
      <c r="D22" s="13">
        <f t="shared" ref="D22:M22" si="7">D21/D6</f>
        <v>1.5714229512714312E-2</v>
      </c>
      <c r="E22" s="13">
        <f t="shared" si="7"/>
        <v>1.605824830060304E-2</v>
      </c>
      <c r="F22" s="13">
        <f t="shared" si="7"/>
        <v>1.9072102124141878E-2</v>
      </c>
      <c r="G22" s="13">
        <f t="shared" si="7"/>
        <v>2.7744996829752802E-2</v>
      </c>
      <c r="H22" s="13">
        <f t="shared" si="7"/>
        <v>3.2415292955516477E-2</v>
      </c>
      <c r="I22" s="13">
        <f t="shared" si="7"/>
        <v>3.3441332168710897E-2</v>
      </c>
      <c r="J22" s="13">
        <f t="shared" si="7"/>
        <v>2.9556231914277829E-2</v>
      </c>
      <c r="K22" s="13">
        <f t="shared" si="7"/>
        <v>1.7497050799970507E-2</v>
      </c>
      <c r="L22" s="13">
        <f t="shared" si="7"/>
        <v>1.1560286107415368E-2</v>
      </c>
      <c r="M22" s="13">
        <f t="shared" si="7"/>
        <v>5.7459733662479799E-2</v>
      </c>
    </row>
    <row r="24" spans="2:13" x14ac:dyDescent="0.25">
      <c r="B24" s="18" t="s">
        <v>68</v>
      </c>
      <c r="C24" s="20">
        <f>IFERROR('Data Sheet'!B26,0)</f>
        <v>16710.78</v>
      </c>
      <c r="D24" s="20">
        <f>IFERROR('Data Sheet'!C26,0)</f>
        <v>17904.990000000002</v>
      </c>
      <c r="E24" s="20">
        <f>IFERROR('Data Sheet'!D26,0)</f>
        <v>21553.59</v>
      </c>
      <c r="F24" s="20">
        <f>IFERROR('Data Sheet'!E26,0)</f>
        <v>23590.63</v>
      </c>
      <c r="G24" s="20">
        <f>IFERROR('Data Sheet'!F26,0)</f>
        <v>21425.43</v>
      </c>
      <c r="H24" s="20">
        <f>IFERROR('Data Sheet'!G26,0)</f>
        <v>23546.71</v>
      </c>
      <c r="I24" s="20">
        <f>IFERROR('Data Sheet'!H26,0)</f>
        <v>24835.69</v>
      </c>
      <c r="J24" s="20">
        <f>IFERROR('Data Sheet'!I26,0)</f>
        <v>24860.36</v>
      </c>
      <c r="K24" s="20">
        <f>IFERROR('Data Sheet'!J26,0)</f>
        <v>27239</v>
      </c>
      <c r="L24" s="20">
        <f>IFERROR('Data Sheet'!K26,0)</f>
        <v>23256</v>
      </c>
      <c r="M24" s="20">
        <f>IFERROR(SUM('Data Sheet'!H45:K45),0)</f>
        <v>23273</v>
      </c>
    </row>
    <row r="25" spans="2:13" x14ac:dyDescent="0.25">
      <c r="B25" s="19" t="s">
        <v>70</v>
      </c>
      <c r="C25" s="13">
        <f>C24/C6</f>
        <v>6.1201425695927715E-2</v>
      </c>
      <c r="D25" s="13">
        <f>D24/D6</f>
        <v>6.63903865924938E-2</v>
      </c>
      <c r="E25" s="13">
        <f t="shared" ref="E25:M25" si="8">E24/E6</f>
        <v>7.3927472182518786E-2</v>
      </c>
      <c r="F25" s="13">
        <f t="shared" si="8"/>
        <v>7.8130605447998658E-2</v>
      </c>
      <c r="G25" s="13">
        <f t="shared" si="8"/>
        <v>8.206839774331566E-2</v>
      </c>
      <c r="H25" s="13">
        <f t="shared" si="8"/>
        <v>9.4264230933596482E-2</v>
      </c>
      <c r="I25" s="13">
        <f t="shared" si="8"/>
        <v>8.9191478279219347E-2</v>
      </c>
      <c r="J25" s="13">
        <f t="shared" si="8"/>
        <v>7.1857611147098821E-2</v>
      </c>
      <c r="K25" s="13">
        <f t="shared" si="8"/>
        <v>6.2760359065103591E-2</v>
      </c>
      <c r="L25" s="13">
        <f t="shared" si="8"/>
        <v>5.2891208678743216E-2</v>
      </c>
      <c r="M25" s="13">
        <f t="shared" si="8"/>
        <v>4.1511338786605359E-2</v>
      </c>
    </row>
    <row r="27" spans="2:13" x14ac:dyDescent="0.25">
      <c r="B27" s="18" t="s">
        <v>71</v>
      </c>
      <c r="C27" s="20">
        <f>IFERROR(C18-SUM((C21,C24)),0)</f>
        <v>16795.38999999997</v>
      </c>
      <c r="D27" s="20">
        <f>IFERROR(D18-SUM((D21,D24)),0)</f>
        <v>7445.690000000046</v>
      </c>
      <c r="E27" s="20">
        <f>IFERROR(E18-SUM((E21,E24)),0)</f>
        <v>5222.299999999992</v>
      </c>
      <c r="F27" s="20">
        <f>IFERROR(F18-SUM((F21,F24)),0)</f>
        <v>-4684.8999999999796</v>
      </c>
      <c r="G27" s="20">
        <f>IFERROR(G18-SUM((G21,G24)),0)</f>
        <v>-10681.690000000039</v>
      </c>
      <c r="H27" s="20">
        <f>IFERROR(H18-SUM((H21,H24)),0)</f>
        <v>643.549999999992</v>
      </c>
      <c r="I27" s="20">
        <f>IFERROR(I18-SUM((I21,I24)),0)</f>
        <v>-9427.4599999999882</v>
      </c>
      <c r="J27" s="20">
        <f>IFERROR(J18-SUM((J21,J24)),0)</f>
        <v>-3270.0400000000373</v>
      </c>
      <c r="K27" s="20">
        <f>IFERROR(K18-SUM((K21,K24)),0)</f>
        <v>22991</v>
      </c>
      <c r="L27" s="20">
        <f>IFERROR(L18-SUM((L21,L24)),0)</f>
        <v>26877</v>
      </c>
      <c r="M27" s="20">
        <f>IFERROR(M18-SUM((M21,M24)),0)</f>
        <v>-55487.34</v>
      </c>
    </row>
    <row r="28" spans="2:13" x14ac:dyDescent="0.25">
      <c r="B28" s="19" t="s">
        <v>72</v>
      </c>
      <c r="C28" s="13">
        <f>C27/C6</f>
        <v>6.1511300676516931E-2</v>
      </c>
      <c r="D28" s="13">
        <f t="shared" ref="D28:M28" si="9">D27/D6</f>
        <v>2.7608071132565179E-2</v>
      </c>
      <c r="E28" s="13">
        <f t="shared" si="9"/>
        <v>1.7912163958707913E-2</v>
      </c>
      <c r="F28" s="13">
        <f t="shared" si="9"/>
        <v>-1.5516078776333117E-2</v>
      </c>
      <c r="G28" s="13">
        <f t="shared" si="9"/>
        <v>-4.0915360088026265E-2</v>
      </c>
      <c r="H28" s="13">
        <f t="shared" si="9"/>
        <v>2.5763151547420113E-3</v>
      </c>
      <c r="I28" s="13">
        <f t="shared" si="9"/>
        <v>-3.3856482095653805E-2</v>
      </c>
      <c r="J28" s="13">
        <f t="shared" si="9"/>
        <v>-9.4518849588445895E-3</v>
      </c>
      <c r="K28" s="13">
        <f t="shared" si="9"/>
        <v>5.2972701467227018E-2</v>
      </c>
      <c r="L28" s="13">
        <f t="shared" si="9"/>
        <v>6.1126462661617711E-2</v>
      </c>
      <c r="M28" s="13">
        <f t="shared" si="9"/>
        <v>-9.8971072449085151E-2</v>
      </c>
    </row>
    <row r="30" spans="2:13" x14ac:dyDescent="0.25">
      <c r="B30" s="18" t="s">
        <v>8</v>
      </c>
      <c r="C30" s="20">
        <f>IFERROR('Data Sheet'!B29,0)</f>
        <v>3025.05</v>
      </c>
      <c r="D30" s="20">
        <f>IFERROR('Data Sheet'!C29,0)</f>
        <v>3251.23</v>
      </c>
      <c r="E30" s="20">
        <f>IFERROR('Data Sheet'!D29,0)</f>
        <v>4341.93</v>
      </c>
      <c r="F30" s="20">
        <f>IFERROR('Data Sheet'!E29,0)</f>
        <v>-2437.4499999999998</v>
      </c>
      <c r="G30" s="20">
        <f>IFERROR('Data Sheet'!F29,0)</f>
        <v>395.25</v>
      </c>
      <c r="H30" s="20">
        <f>IFERROR('Data Sheet'!G29,0)</f>
        <v>2541.86</v>
      </c>
      <c r="I30" s="20">
        <f>IFERROR('Data Sheet'!H29,0)</f>
        <v>4231.29</v>
      </c>
      <c r="J30" s="20">
        <f>IFERROR('Data Sheet'!I29,0)</f>
        <v>704.06</v>
      </c>
      <c r="K30" s="20">
        <f>IFERROR('Data Sheet'!J29,0)</f>
        <v>-4024</v>
      </c>
      <c r="L30" s="20">
        <f>IFERROR('Data Sheet'!K29,0)</f>
        <v>10502</v>
      </c>
      <c r="M30" s="20">
        <f>IFERROR(SUM('Data Sheet'!H48:K48),0)</f>
        <v>10563</v>
      </c>
    </row>
    <row r="31" spans="2:13" x14ac:dyDescent="0.25">
      <c r="B31" s="19" t="s">
        <v>73</v>
      </c>
      <c r="C31" s="13">
        <f>C30/C27</f>
        <v>0.18011192356950362</v>
      </c>
      <c r="D31" s="13">
        <f t="shared" ref="D31:M31" si="10">D30/D27</f>
        <v>0.43665932908836924</v>
      </c>
      <c r="E31" s="13">
        <f t="shared" si="10"/>
        <v>0.8314210213890445</v>
      </c>
      <c r="F31" s="13">
        <f t="shared" si="10"/>
        <v>0.52027791414971725</v>
      </c>
      <c r="G31" s="13">
        <f t="shared" si="10"/>
        <v>-3.7002571690434617E-2</v>
      </c>
      <c r="H31" s="13">
        <f t="shared" si="10"/>
        <v>3.9497474943672315</v>
      </c>
      <c r="I31" s="13">
        <f t="shared" si="10"/>
        <v>-0.4488260888935095</v>
      </c>
      <c r="J31" s="13">
        <f t="shared" si="10"/>
        <v>-0.21530623478611635</v>
      </c>
      <c r="K31" s="13">
        <f t="shared" si="10"/>
        <v>-0.17502500978643817</v>
      </c>
      <c r="L31" s="13">
        <f t="shared" si="10"/>
        <v>0.39074301447334153</v>
      </c>
      <c r="M31" s="13">
        <f t="shared" si="10"/>
        <v>-0.1903677487513368</v>
      </c>
    </row>
    <row r="33" spans="1:13" x14ac:dyDescent="0.25">
      <c r="B33" s="18" t="s">
        <v>74</v>
      </c>
      <c r="C33" s="20">
        <f>IFERROR(C27-C30,0)</f>
        <v>13770.339999999971</v>
      </c>
      <c r="D33" s="20">
        <f t="shared" ref="D33:L33" si="11">IFERROR(D27-D30,0)</f>
        <v>4194.4600000000464</v>
      </c>
      <c r="E33" s="20">
        <f t="shared" si="11"/>
        <v>880.36999999999171</v>
      </c>
      <c r="F33" s="20">
        <f t="shared" si="11"/>
        <v>-2247.4499999999798</v>
      </c>
      <c r="G33" s="20">
        <f t="shared" si="11"/>
        <v>-11076.940000000039</v>
      </c>
      <c r="H33" s="20">
        <f t="shared" si="11"/>
        <v>-1898.3100000000081</v>
      </c>
      <c r="I33" s="20">
        <f t="shared" si="11"/>
        <v>-13658.749999999989</v>
      </c>
      <c r="J33" s="20">
        <f t="shared" si="11"/>
        <v>-3974.1000000000372</v>
      </c>
      <c r="K33" s="20">
        <f t="shared" si="11"/>
        <v>27015</v>
      </c>
      <c r="L33" s="20">
        <f t="shared" si="11"/>
        <v>16375</v>
      </c>
      <c r="M33" s="20">
        <f>IFERROR(SUM('Data Sheet'!H49:K49),0)</f>
        <v>22785</v>
      </c>
    </row>
    <row r="34" spans="1:13" x14ac:dyDescent="0.25">
      <c r="B34" s="19" t="s">
        <v>75</v>
      </c>
      <c r="C34" s="13">
        <f>C33/C6</f>
        <v>5.0432381990407359E-2</v>
      </c>
      <c r="D34" s="13">
        <f t="shared" ref="D34:M34" si="12">D33/D6</f>
        <v>1.5552749314395296E-2</v>
      </c>
      <c r="E34" s="13">
        <f t="shared" si="12"/>
        <v>3.01961430487095E-3</v>
      </c>
      <c r="F34" s="13">
        <f t="shared" si="12"/>
        <v>-7.4434056747998256E-3</v>
      </c>
      <c r="G34" s="13">
        <f t="shared" si="12"/>
        <v>-4.2429333632923408E-2</v>
      </c>
      <c r="H34" s="13">
        <f t="shared" si="12"/>
        <v>-7.5994791724005731E-3</v>
      </c>
      <c r="I34" s="13">
        <f t="shared" si="12"/>
        <v>-4.9052154538339235E-2</v>
      </c>
      <c r="J34" s="13">
        <f t="shared" si="12"/>
        <v>-1.1486934720964945E-2</v>
      </c>
      <c r="K34" s="13">
        <f t="shared" si="12"/>
        <v>6.224424905994249E-2</v>
      </c>
      <c r="L34" s="13">
        <f t="shared" si="12"/>
        <v>3.724172437712505E-2</v>
      </c>
      <c r="M34" s="13">
        <f t="shared" si="12"/>
        <v>4.0640908101783314E-2</v>
      </c>
    </row>
    <row r="36" spans="1:13" x14ac:dyDescent="0.25">
      <c r="B36" s="18" t="s">
        <v>76</v>
      </c>
      <c r="C36" s="14">
        <f>IFERROR('Data Sheet'!B93,0)</f>
        <v>288.72000000000003</v>
      </c>
      <c r="D36" s="14">
        <f>IFERROR('Data Sheet'!C93,0)</f>
        <v>288.73</v>
      </c>
      <c r="E36" s="14">
        <f>IFERROR('Data Sheet'!D93,0)</f>
        <v>288.73</v>
      </c>
      <c r="F36" s="14">
        <f>IFERROR('Data Sheet'!E93,0)</f>
        <v>288.73</v>
      </c>
      <c r="G36" s="14">
        <f>IFERROR('Data Sheet'!F93,0)</f>
        <v>308.89999999999998</v>
      </c>
      <c r="H36" s="14">
        <f>IFERROR('Data Sheet'!G93,0)</f>
        <v>332.03</v>
      </c>
      <c r="I36" s="14">
        <f>IFERROR('Data Sheet'!H93,0)</f>
        <v>332.07</v>
      </c>
      <c r="J36" s="14">
        <f>IFERROR('Data Sheet'!I93,0)</f>
        <v>332.13</v>
      </c>
      <c r="K36" s="14">
        <f>IFERROR('Data Sheet'!J93,0)</f>
        <v>332.37</v>
      </c>
      <c r="L36" s="14">
        <f>IFERROR('Data Sheet'!K93,0)</f>
        <v>368.13</v>
      </c>
    </row>
    <row r="38" spans="1:13" x14ac:dyDescent="0.25">
      <c r="B38" s="18" t="s">
        <v>77</v>
      </c>
      <c r="C38" s="11">
        <f>IFERROR(C33/C36,0)</f>
        <v>47.694444444444336</v>
      </c>
      <c r="D38" s="11">
        <f t="shared" ref="D38:L38" si="13">IFERROR(D33/D36,0)</f>
        <v>14.527274616423808</v>
      </c>
      <c r="E38" s="11">
        <f t="shared" si="13"/>
        <v>3.049111626779315</v>
      </c>
      <c r="F38" s="11">
        <f t="shared" si="13"/>
        <v>-7.7839157690575265</v>
      </c>
      <c r="G38" s="11">
        <f t="shared" si="13"/>
        <v>-35.859307219164904</v>
      </c>
      <c r="H38" s="11">
        <f t="shared" si="13"/>
        <v>-5.7172845827184542</v>
      </c>
      <c r="I38" s="11">
        <f t="shared" si="13"/>
        <v>-41.132140813683833</v>
      </c>
      <c r="J38" s="11">
        <f t="shared" si="13"/>
        <v>-11.965495438533218</v>
      </c>
      <c r="K38" s="11">
        <f t="shared" si="13"/>
        <v>81.279898907843673</v>
      </c>
      <c r="L38" s="11">
        <f t="shared" si="13"/>
        <v>44.481569010947219</v>
      </c>
    </row>
    <row r="39" spans="1:13" x14ac:dyDescent="0.25">
      <c r="B39" s="19" t="s">
        <v>79</v>
      </c>
      <c r="C39" s="22" t="s">
        <v>59</v>
      </c>
      <c r="D39" s="13">
        <f>IFERROR(D38/C38-1,0)</f>
        <v>-0.69540950134463697</v>
      </c>
      <c r="E39" s="13">
        <f t="shared" ref="E39:L39" si="14">IFERROR(E38/D38-1,0)</f>
        <v>-0.79011124197155724</v>
      </c>
      <c r="F39" s="13">
        <f t="shared" si="14"/>
        <v>-3.5528470983790919</v>
      </c>
      <c r="G39" s="13">
        <f t="shared" si="14"/>
        <v>3.6068467700681115</v>
      </c>
      <c r="H39" s="13">
        <f t="shared" si="14"/>
        <v>-0.84056344011958861</v>
      </c>
      <c r="I39" s="13">
        <f t="shared" si="14"/>
        <v>6.194349033807641</v>
      </c>
      <c r="J39" s="13">
        <f t="shared" si="14"/>
        <v>-0.70909621522659627</v>
      </c>
      <c r="K39" s="13">
        <f t="shared" si="14"/>
        <v>-7.7928569548481077</v>
      </c>
      <c r="L39" s="13">
        <f t="shared" si="14"/>
        <v>-0.45273592107464278</v>
      </c>
    </row>
    <row r="41" spans="1:13" x14ac:dyDescent="0.25">
      <c r="B41" s="18" t="s">
        <v>78</v>
      </c>
      <c r="C41" s="20">
        <f>IFERROR('Data Sheet'!B31/HistoricalFS!C36,0)</f>
        <v>0.23524522028262676</v>
      </c>
      <c r="D41" s="20">
        <f>IFERROR('Data Sheet'!C31/HistoricalFS!D36,0)</f>
        <v>0</v>
      </c>
      <c r="E41" s="20">
        <f>IFERROR('Data Sheet'!D31/HistoricalFS!E36,0)</f>
        <v>0</v>
      </c>
      <c r="F41" s="20">
        <f>IFERROR('Data Sheet'!E31/HistoricalFS!F36,0)</f>
        <v>0</v>
      </c>
      <c r="G41" s="20">
        <f>IFERROR('Data Sheet'!F31/HistoricalFS!G36,0)</f>
        <v>0</v>
      </c>
      <c r="H41" s="20">
        <f>IFERROR('Data Sheet'!G31/HistoricalFS!H36,0)</f>
        <v>0</v>
      </c>
      <c r="I41" s="20">
        <f>IFERROR('Data Sheet'!H31/HistoricalFS!I36,0)</f>
        <v>0</v>
      </c>
      <c r="J41" s="20">
        <f>IFERROR('Data Sheet'!I31/HistoricalFS!J36,0)</f>
        <v>2.3063860536536898</v>
      </c>
      <c r="K41" s="20">
        <f>IFERROR('Data Sheet'!J31/HistoricalFS!K36,0)</f>
        <v>6.9230074916508713</v>
      </c>
      <c r="L41" s="20">
        <f>IFERROR('Data Sheet'!K31/HistoricalFS!L36,0)</f>
        <v>5.9978811832776469</v>
      </c>
    </row>
    <row r="42" spans="1:13" x14ac:dyDescent="0.25">
      <c r="B42" s="18" t="s">
        <v>80</v>
      </c>
      <c r="C42" s="12">
        <f>IFERROR(C41/C38,0)</f>
        <v>4.9323400874633563E-3</v>
      </c>
      <c r="D42" s="12">
        <f t="shared" ref="D42:L42" si="15">IFERROR(D41/D38,0)</f>
        <v>0</v>
      </c>
      <c r="E42" s="12">
        <f t="shared" si="15"/>
        <v>0</v>
      </c>
      <c r="F42" s="12">
        <f t="shared" si="15"/>
        <v>0</v>
      </c>
      <c r="G42" s="12">
        <f t="shared" si="15"/>
        <v>0</v>
      </c>
      <c r="H42" s="12">
        <f t="shared" si="15"/>
        <v>0</v>
      </c>
      <c r="I42" s="12">
        <f t="shared" si="15"/>
        <v>0</v>
      </c>
      <c r="J42" s="12">
        <f t="shared" si="15"/>
        <v>-0.19275307616818721</v>
      </c>
      <c r="K42" s="12">
        <f t="shared" si="15"/>
        <v>8.517490283176013E-2</v>
      </c>
      <c r="L42" s="12">
        <f t="shared" si="15"/>
        <v>0.13483969465648857</v>
      </c>
    </row>
    <row r="44" spans="1:13" x14ac:dyDescent="0.25">
      <c r="B44" s="18" t="s">
        <v>81</v>
      </c>
      <c r="C44" s="12">
        <f>IFERROR(IF(C38&gt;C41,1-C42,0),0)</f>
        <v>0.99506765991253665</v>
      </c>
      <c r="D44" s="12">
        <f>IFERROR(IF(D38&gt;D41,1-D42),0)</f>
        <v>1</v>
      </c>
      <c r="E44" s="12">
        <f t="shared" ref="E44:L44" si="16">IFERROR(IF(E38&gt;E41,1-E42),0)</f>
        <v>1</v>
      </c>
      <c r="F44" s="12" t="b">
        <f t="shared" si="16"/>
        <v>0</v>
      </c>
      <c r="G44" s="12" t="b">
        <f t="shared" si="16"/>
        <v>0</v>
      </c>
      <c r="H44" s="12" t="b">
        <f t="shared" si="16"/>
        <v>0</v>
      </c>
      <c r="I44" s="12" t="b">
        <f t="shared" si="16"/>
        <v>0</v>
      </c>
      <c r="J44" s="12" t="b">
        <f t="shared" si="16"/>
        <v>0</v>
      </c>
      <c r="K44" s="12">
        <f t="shared" si="16"/>
        <v>0.9148250971682399</v>
      </c>
      <c r="L44" s="12">
        <f t="shared" si="16"/>
        <v>0.8651603053435114</v>
      </c>
    </row>
    <row r="46" spans="1:13" s="24" customFormat="1" x14ac:dyDescent="0.25">
      <c r="A46" s="23" t="s">
        <v>57</v>
      </c>
      <c r="B46" s="24" t="s">
        <v>82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</row>
    <row r="47" spans="1:13" x14ac:dyDescent="0.25">
      <c r="B47" s="18" t="s">
        <v>10</v>
      </c>
      <c r="C47" s="20">
        <f>IFERROR('Data Sheet'!B57,0)</f>
        <v>679.18</v>
      </c>
      <c r="D47" s="20">
        <f>IFERROR('Data Sheet'!C57,0)</f>
        <v>679.22</v>
      </c>
      <c r="E47" s="20">
        <f>IFERROR('Data Sheet'!D57,0)</f>
        <v>679.22</v>
      </c>
      <c r="F47" s="20">
        <f>IFERROR('Data Sheet'!E57,0)</f>
        <v>679.22</v>
      </c>
      <c r="G47" s="20">
        <f>IFERROR('Data Sheet'!F57,0)</f>
        <v>719.54</v>
      </c>
      <c r="H47" s="20">
        <f>IFERROR('Data Sheet'!G57,0)</f>
        <v>765.81</v>
      </c>
      <c r="I47" s="20">
        <f>IFERROR('Data Sheet'!H57,0)</f>
        <v>765.88</v>
      </c>
      <c r="J47" s="20">
        <f>IFERROR('Data Sheet'!I57,0)</f>
        <v>766.02</v>
      </c>
      <c r="K47" s="20">
        <f>IFERROR('Data Sheet'!J57,0)</f>
        <v>767</v>
      </c>
      <c r="L47" s="20">
        <f>IFERROR('Data Sheet'!K57,0)</f>
        <v>736</v>
      </c>
    </row>
    <row r="48" spans="1:13" x14ac:dyDescent="0.25">
      <c r="B48" s="18" t="s">
        <v>11</v>
      </c>
      <c r="C48" s="20">
        <f>IFERROR('Data Sheet'!B58,0)</f>
        <v>78273.23</v>
      </c>
      <c r="D48" s="20">
        <f>IFERROR('Data Sheet'!C58,0)</f>
        <v>57382.67</v>
      </c>
      <c r="E48" s="20">
        <f>IFERROR('Data Sheet'!D58,0)</f>
        <v>94748.69</v>
      </c>
      <c r="F48" s="20">
        <f>IFERROR('Data Sheet'!E58,0)</f>
        <v>59500.34</v>
      </c>
      <c r="G48" s="20">
        <f>IFERROR('Data Sheet'!F58,0)</f>
        <v>62358.99</v>
      </c>
      <c r="H48" s="20">
        <f>IFERROR('Data Sheet'!G58,0)</f>
        <v>54480.91</v>
      </c>
      <c r="I48" s="20">
        <f>IFERROR('Data Sheet'!H58,0)</f>
        <v>43795.360000000001</v>
      </c>
      <c r="J48" s="20">
        <f>IFERROR('Data Sheet'!I58,0)</f>
        <v>44555.77</v>
      </c>
      <c r="K48" s="20">
        <f>IFERROR('Data Sheet'!J58,0)</f>
        <v>84151</v>
      </c>
      <c r="L48" s="20">
        <f>IFERROR('Data Sheet'!K58,0)</f>
        <v>115408</v>
      </c>
    </row>
    <row r="49" spans="2:12" x14ac:dyDescent="0.25">
      <c r="B49" s="18" t="s">
        <v>35</v>
      </c>
      <c r="C49" s="20">
        <f>IFERROR('Data Sheet'!B59,0)</f>
        <v>69359.960000000006</v>
      </c>
      <c r="D49" s="20">
        <f>IFERROR('Data Sheet'!C59,0)</f>
        <v>78603.98</v>
      </c>
      <c r="E49" s="20">
        <f>IFERROR('Data Sheet'!D59,0)</f>
        <v>88950.47</v>
      </c>
      <c r="F49" s="20">
        <f>IFERROR('Data Sheet'!E59,0)</f>
        <v>106175.34</v>
      </c>
      <c r="G49" s="20">
        <f>IFERROR('Data Sheet'!F59,0)</f>
        <v>124787.64</v>
      </c>
      <c r="H49" s="20">
        <f>IFERROR('Data Sheet'!G59,0)</f>
        <v>142130.57</v>
      </c>
      <c r="I49" s="20">
        <f>IFERROR('Data Sheet'!H59,0)</f>
        <v>146449.03</v>
      </c>
      <c r="J49" s="20">
        <f>IFERROR('Data Sheet'!I59,0)</f>
        <v>134113.44</v>
      </c>
      <c r="K49" s="20">
        <f>IFERROR('Data Sheet'!J59,0)</f>
        <v>107264</v>
      </c>
      <c r="L49" s="20">
        <f>IFERROR('Data Sheet'!K59,0)</f>
        <v>71540</v>
      </c>
    </row>
    <row r="50" spans="2:12" x14ac:dyDescent="0.25">
      <c r="B50" s="18" t="s">
        <v>36</v>
      </c>
      <c r="C50" s="20">
        <f>IFERROR('Data Sheet'!B60,0)</f>
        <v>114871.75</v>
      </c>
      <c r="D50" s="20">
        <f>IFERROR('Data Sheet'!C60,0)</f>
        <v>135914.49</v>
      </c>
      <c r="E50" s="20">
        <f>IFERROR('Data Sheet'!D60,0)</f>
        <v>142813.43</v>
      </c>
      <c r="F50" s="20">
        <f>IFERROR('Data Sheet'!E60,0)</f>
        <v>139348.59</v>
      </c>
      <c r="G50" s="20">
        <f>IFERROR('Data Sheet'!F60,0)</f>
        <v>132313.22</v>
      </c>
      <c r="H50" s="20">
        <f>IFERROR('Data Sheet'!G60,0)</f>
        <v>144192.62</v>
      </c>
      <c r="I50" s="20">
        <f>IFERROR('Data Sheet'!H60,0)</f>
        <v>138051.22</v>
      </c>
      <c r="J50" s="20">
        <f>IFERROR('Data Sheet'!I60,0)</f>
        <v>155239.20000000001</v>
      </c>
      <c r="K50" s="20">
        <f>IFERROR('Data Sheet'!J60,0)</f>
        <v>177339</v>
      </c>
      <c r="L50" s="20">
        <f>IFERROR('Data Sheet'!K60,0)</f>
        <v>189289</v>
      </c>
    </row>
    <row r="51" spans="2:12" x14ac:dyDescent="0.25">
      <c r="B51" s="17" t="s">
        <v>83</v>
      </c>
      <c r="C51" s="31">
        <f>IFERROR('Data Sheet'!B61,0)</f>
        <v>263184.12</v>
      </c>
      <c r="D51" s="31">
        <f>IFERROR('Data Sheet'!C61,0)</f>
        <v>272580.36</v>
      </c>
      <c r="E51" s="31">
        <f>IFERROR('Data Sheet'!D61,0)</f>
        <v>327191.81</v>
      </c>
      <c r="F51" s="31">
        <f>IFERROR('Data Sheet'!E61,0)</f>
        <v>305703.49</v>
      </c>
      <c r="G51" s="31">
        <f>IFERROR('Data Sheet'!F61,0)</f>
        <v>320179.39</v>
      </c>
      <c r="H51" s="31">
        <f>IFERROR('Data Sheet'!G61,0)</f>
        <v>341569.91</v>
      </c>
      <c r="I51" s="31">
        <f>IFERROR('Data Sheet'!H61,0)</f>
        <v>329061.49</v>
      </c>
      <c r="J51" s="31">
        <f>IFERROR('Data Sheet'!I61,0)</f>
        <v>334674.43</v>
      </c>
      <c r="K51" s="31">
        <f>IFERROR('Data Sheet'!J61,0)</f>
        <v>369521</v>
      </c>
      <c r="L51" s="31">
        <f>IFERROR('Data Sheet'!K61,0)</f>
        <v>376973</v>
      </c>
    </row>
    <row r="53" spans="2:12" x14ac:dyDescent="0.25">
      <c r="B53" s="18" t="s">
        <v>84</v>
      </c>
      <c r="C53" s="20">
        <f>IFERROR('Data Sheet'!B62,0)</f>
        <v>107231.76</v>
      </c>
      <c r="D53" s="20">
        <f>IFERROR('Data Sheet'!C62,0)</f>
        <v>95944.08</v>
      </c>
      <c r="E53" s="20">
        <f>IFERROR('Data Sheet'!D62,0)</f>
        <v>121413.86</v>
      </c>
      <c r="F53" s="20">
        <f>IFERROR('Data Sheet'!E62,0)</f>
        <v>111234.47</v>
      </c>
      <c r="G53" s="20">
        <f>IFERROR('Data Sheet'!F62,0)</f>
        <v>127107.14</v>
      </c>
      <c r="H53" s="20">
        <f>IFERROR('Data Sheet'!G62,0)</f>
        <v>138707.60999999999</v>
      </c>
      <c r="I53" s="20">
        <f>IFERROR('Data Sheet'!H62,0)</f>
        <v>138855.45000000001</v>
      </c>
      <c r="J53" s="20">
        <f>IFERROR('Data Sheet'!I62,0)</f>
        <v>132079.76</v>
      </c>
      <c r="K53" s="20">
        <f>IFERROR('Data Sheet'!J62,0)</f>
        <v>121285</v>
      </c>
      <c r="L53" s="20">
        <f>IFERROR('Data Sheet'!K62,0)</f>
        <v>115697</v>
      </c>
    </row>
    <row r="54" spans="2:12" x14ac:dyDescent="0.25">
      <c r="B54" s="18" t="s">
        <v>14</v>
      </c>
      <c r="C54" s="20">
        <f>IFERROR('Data Sheet'!B63,0)</f>
        <v>25918.94</v>
      </c>
      <c r="D54" s="20">
        <f>IFERROR('Data Sheet'!C63,0)</f>
        <v>33698.839999999997</v>
      </c>
      <c r="E54" s="20">
        <f>IFERROR('Data Sheet'!D63,0)</f>
        <v>40033.5</v>
      </c>
      <c r="F54" s="20">
        <f>IFERROR('Data Sheet'!E63,0)</f>
        <v>31883.84</v>
      </c>
      <c r="G54" s="20">
        <f>IFERROR('Data Sheet'!F63,0)</f>
        <v>35622.29</v>
      </c>
      <c r="H54" s="20">
        <f>IFERROR('Data Sheet'!G63,0)</f>
        <v>20963.93</v>
      </c>
      <c r="I54" s="20">
        <f>IFERROR('Data Sheet'!H63,0)</f>
        <v>10251.09</v>
      </c>
      <c r="J54" s="20">
        <f>IFERROR('Data Sheet'!I63,0)</f>
        <v>14274.5</v>
      </c>
      <c r="K54" s="20">
        <f>IFERROR('Data Sheet'!J63,0)</f>
        <v>35698</v>
      </c>
      <c r="L54" s="20">
        <f>IFERROR('Data Sheet'!K63,0)</f>
        <v>65806</v>
      </c>
    </row>
    <row r="55" spans="2:12" x14ac:dyDescent="0.25">
      <c r="B55" s="18" t="s">
        <v>15</v>
      </c>
      <c r="C55" s="20">
        <f>IFERROR('Data Sheet'!B64,0)</f>
        <v>23767.02</v>
      </c>
      <c r="D55" s="20">
        <f>IFERROR('Data Sheet'!C64,0)</f>
        <v>20337.919999999998</v>
      </c>
      <c r="E55" s="20">
        <f>IFERROR('Data Sheet'!D64,0)</f>
        <v>20812.75</v>
      </c>
      <c r="F55" s="20">
        <f>IFERROR('Data Sheet'!E64,0)</f>
        <v>15770.72</v>
      </c>
      <c r="G55" s="20">
        <f>IFERROR('Data Sheet'!F64,0)</f>
        <v>16308.48</v>
      </c>
      <c r="H55" s="20">
        <f>IFERROR('Data Sheet'!G64,0)</f>
        <v>24620.28</v>
      </c>
      <c r="I55" s="20">
        <f>IFERROR('Data Sheet'!H64,0)</f>
        <v>29379.53</v>
      </c>
      <c r="J55" s="20">
        <f>IFERROR('Data Sheet'!I64,0)</f>
        <v>26379.16</v>
      </c>
      <c r="K55" s="20">
        <f>IFERROR('Data Sheet'!J64,0)</f>
        <v>22971</v>
      </c>
      <c r="L55" s="20">
        <f>IFERROR('Data Sheet'!K64,0)</f>
        <v>35656</v>
      </c>
    </row>
    <row r="56" spans="2:12" x14ac:dyDescent="0.25">
      <c r="B56" s="18" t="s">
        <v>37</v>
      </c>
      <c r="C56" s="20">
        <f>IFERROR('Data Sheet'!B65-SUM('Data Sheet'!B67:B69),0)</f>
        <v>29579.359999999986</v>
      </c>
      <c r="D56" s="20">
        <f>IFERROR('Data Sheet'!C65-SUM('Data Sheet'!C67:C69),0)</f>
        <v>37360.780000000013</v>
      </c>
      <c r="E56" s="20">
        <f>IFERROR('Data Sheet'!D65-SUM('Data Sheet'!D67:D69),0)</f>
        <v>48286.860000000015</v>
      </c>
      <c r="F56" s="20">
        <f>IFERROR('Data Sheet'!E65-SUM('Data Sheet'!E67:E69),0)</f>
        <v>56155.739999999991</v>
      </c>
      <c r="G56" s="20">
        <f>IFERROR('Data Sheet'!F65-SUM('Data Sheet'!F67:F69),0)</f>
        <v>58784.94</v>
      </c>
      <c r="H56" s="20">
        <f>IFERROR('Data Sheet'!G65-SUM('Data Sheet'!G67:G69),0)</f>
        <v>61717.959999999992</v>
      </c>
      <c r="I56" s="20">
        <f>IFERROR('Data Sheet'!H65-SUM('Data Sheet'!H67:H69),0)</f>
        <v>62223.770000000019</v>
      </c>
      <c r="J56" s="20">
        <f>IFERROR('Data Sheet'!I65-SUM('Data Sheet'!I67:I69),0)</f>
        <v>68432.090000000011</v>
      </c>
      <c r="K56" s="20">
        <f>IFERROR('Data Sheet'!J65-SUM('Data Sheet'!J67:J69),0)</f>
        <v>79020</v>
      </c>
      <c r="L56" s="20">
        <f>IFERROR('Data Sheet'!K65-SUM('Data Sheet'!K67:K69),0)</f>
        <v>58463</v>
      </c>
    </row>
    <row r="57" spans="2:12" x14ac:dyDescent="0.25">
      <c r="B57" s="17" t="s">
        <v>85</v>
      </c>
      <c r="C57" s="31">
        <f>IFERROR(SUM(C53:C56),0)</f>
        <v>186497.07999999996</v>
      </c>
      <c r="D57" s="31">
        <f t="shared" ref="D57:L57" si="17">IFERROR(SUM(D53:D56),0)</f>
        <v>187341.62</v>
      </c>
      <c r="E57" s="31">
        <f t="shared" si="17"/>
        <v>230546.97</v>
      </c>
      <c r="F57" s="31">
        <f t="shared" si="17"/>
        <v>215044.77</v>
      </c>
      <c r="G57" s="31">
        <f t="shared" si="17"/>
        <v>237822.85</v>
      </c>
      <c r="H57" s="31">
        <f t="shared" si="17"/>
        <v>246009.77999999997</v>
      </c>
      <c r="I57" s="31">
        <f t="shared" si="17"/>
        <v>240709.84000000003</v>
      </c>
      <c r="J57" s="31">
        <f t="shared" si="17"/>
        <v>241165.51</v>
      </c>
      <c r="K57" s="31">
        <f t="shared" si="17"/>
        <v>258974</v>
      </c>
      <c r="L57" s="31">
        <f t="shared" si="17"/>
        <v>275622</v>
      </c>
    </row>
    <row r="58" spans="2:12" x14ac:dyDescent="0.25">
      <c r="B58" s="17"/>
    </row>
    <row r="59" spans="2:12" x14ac:dyDescent="0.25">
      <c r="B59" s="18" t="s">
        <v>42</v>
      </c>
      <c r="C59" s="20">
        <f>IFERROR('Data Sheet'!B67,0)</f>
        <v>13570.91</v>
      </c>
      <c r="D59" s="20">
        <f>IFERROR('Data Sheet'!C67,0)</f>
        <v>14075.55</v>
      </c>
      <c r="E59" s="20">
        <f>IFERROR('Data Sheet'!D67,0)</f>
        <v>19893.3</v>
      </c>
      <c r="F59" s="20">
        <f>IFERROR('Data Sheet'!E67,0)</f>
        <v>18996.169999999998</v>
      </c>
      <c r="G59" s="20">
        <f>IFERROR('Data Sheet'!F67,0)</f>
        <v>11172.69</v>
      </c>
      <c r="H59" s="20">
        <f>IFERROR('Data Sheet'!G67,0)</f>
        <v>12679.08</v>
      </c>
      <c r="I59" s="20">
        <f>IFERROR('Data Sheet'!H67,0)</f>
        <v>12442.12</v>
      </c>
      <c r="J59" s="20">
        <f>IFERROR('Data Sheet'!I67,0)</f>
        <v>15737.97</v>
      </c>
      <c r="K59" s="20">
        <f>IFERROR('Data Sheet'!J67,0)</f>
        <v>16952</v>
      </c>
      <c r="L59" s="20">
        <f>IFERROR('Data Sheet'!K67,0)</f>
        <v>13248</v>
      </c>
    </row>
    <row r="60" spans="2:12" x14ac:dyDescent="0.25">
      <c r="B60" s="18" t="s">
        <v>29</v>
      </c>
      <c r="C60" s="20">
        <f>IFERROR('Data Sheet'!B68,0)</f>
        <v>32655.73</v>
      </c>
      <c r="D60" s="20">
        <f>IFERROR('Data Sheet'!C68,0)</f>
        <v>35085.31</v>
      </c>
      <c r="E60" s="20">
        <f>IFERROR('Data Sheet'!D68,0)</f>
        <v>42137.63</v>
      </c>
      <c r="F60" s="20">
        <f>IFERROR('Data Sheet'!E68,0)</f>
        <v>39013.730000000003</v>
      </c>
      <c r="G60" s="20">
        <f>IFERROR('Data Sheet'!F68,0)</f>
        <v>37456.879999999997</v>
      </c>
      <c r="H60" s="20">
        <f>IFERROR('Data Sheet'!G68,0)</f>
        <v>36088.589999999997</v>
      </c>
      <c r="I60" s="20">
        <f>IFERROR('Data Sheet'!H68,0)</f>
        <v>35240.339999999997</v>
      </c>
      <c r="J60" s="20">
        <f>IFERROR('Data Sheet'!I68,0)</f>
        <v>40755.39</v>
      </c>
      <c r="K60" s="20">
        <f>IFERROR('Data Sheet'!J68,0)</f>
        <v>47788</v>
      </c>
      <c r="L60" s="20">
        <f>IFERROR('Data Sheet'!K68,0)</f>
        <v>47269</v>
      </c>
    </row>
    <row r="61" spans="2:12" x14ac:dyDescent="0.25">
      <c r="B61" s="18" t="s">
        <v>51</v>
      </c>
      <c r="C61" s="20">
        <f>IFERROR('Data Sheet'!B69,0)</f>
        <v>30460.400000000001</v>
      </c>
      <c r="D61" s="20">
        <f>IFERROR('Data Sheet'!C69,0)</f>
        <v>36077.879999999997</v>
      </c>
      <c r="E61" s="20">
        <f>IFERROR('Data Sheet'!D69,0)</f>
        <v>34613.910000000003</v>
      </c>
      <c r="F61" s="20">
        <f>IFERROR('Data Sheet'!E69,0)</f>
        <v>32648.82</v>
      </c>
      <c r="G61" s="20">
        <f>IFERROR('Data Sheet'!F69,0)</f>
        <v>33726.97</v>
      </c>
      <c r="H61" s="20">
        <f>IFERROR('Data Sheet'!G69,0)</f>
        <v>46792.46</v>
      </c>
      <c r="I61" s="20">
        <f>IFERROR('Data Sheet'!H69,0)</f>
        <v>40669.19</v>
      </c>
      <c r="J61" s="20">
        <f>IFERROR('Data Sheet'!I69,0)</f>
        <v>37015.56</v>
      </c>
      <c r="K61" s="20">
        <f>IFERROR('Data Sheet'!J69,0)</f>
        <v>45807</v>
      </c>
      <c r="L61" s="20">
        <f>IFERROR('Data Sheet'!K69,0)</f>
        <v>40834</v>
      </c>
    </row>
    <row r="62" spans="2:12" x14ac:dyDescent="0.25">
      <c r="B62" s="17" t="s">
        <v>86</v>
      </c>
      <c r="C62" s="31">
        <f>IFERROR(SUM(C59:C61),0)</f>
        <v>76687.040000000008</v>
      </c>
      <c r="D62" s="31">
        <f t="shared" ref="D62:L62" si="18">IFERROR(SUM(D59:D61),0)</f>
        <v>85238.739999999991</v>
      </c>
      <c r="E62" s="31">
        <f t="shared" si="18"/>
        <v>96644.84</v>
      </c>
      <c r="F62" s="31">
        <f t="shared" si="18"/>
        <v>90658.72</v>
      </c>
      <c r="G62" s="31">
        <f t="shared" si="18"/>
        <v>82356.540000000008</v>
      </c>
      <c r="H62" s="31">
        <f t="shared" si="18"/>
        <v>95560.13</v>
      </c>
      <c r="I62" s="31">
        <f t="shared" si="18"/>
        <v>88351.65</v>
      </c>
      <c r="J62" s="31">
        <f t="shared" si="18"/>
        <v>93508.92</v>
      </c>
      <c r="K62" s="31">
        <f t="shared" si="18"/>
        <v>110547</v>
      </c>
      <c r="L62" s="31">
        <f t="shared" si="18"/>
        <v>101351</v>
      </c>
    </row>
    <row r="64" spans="2:12" x14ac:dyDescent="0.25">
      <c r="B64" s="17" t="s">
        <v>87</v>
      </c>
      <c r="C64" s="31">
        <f>IFERROR(C62+C57,0)</f>
        <v>263184.12</v>
      </c>
      <c r="D64" s="31">
        <f t="shared" ref="D64:L64" si="19">IFERROR(D62+D57,0)</f>
        <v>272580.36</v>
      </c>
      <c r="E64" s="31">
        <f t="shared" si="19"/>
        <v>327191.81</v>
      </c>
      <c r="F64" s="31">
        <f t="shared" si="19"/>
        <v>305703.49</v>
      </c>
      <c r="G64" s="31">
        <f t="shared" si="19"/>
        <v>320179.39</v>
      </c>
      <c r="H64" s="31">
        <f t="shared" si="19"/>
        <v>341569.91</v>
      </c>
      <c r="I64" s="31">
        <f t="shared" si="19"/>
        <v>329061.49</v>
      </c>
      <c r="J64" s="31">
        <f t="shared" si="19"/>
        <v>334674.43</v>
      </c>
      <c r="K64" s="31">
        <f t="shared" si="19"/>
        <v>369521</v>
      </c>
      <c r="L64" s="31">
        <f t="shared" si="19"/>
        <v>376973</v>
      </c>
    </row>
    <row r="66" spans="1:13" x14ac:dyDescent="0.25">
      <c r="B66" s="19" t="s">
        <v>88</v>
      </c>
      <c r="C66" s="32" t="b">
        <f>C64=C51</f>
        <v>1</v>
      </c>
      <c r="D66" s="32" t="b">
        <f t="shared" ref="D66:L66" si="20">D64=D51</f>
        <v>1</v>
      </c>
      <c r="E66" s="32" t="b">
        <f t="shared" si="20"/>
        <v>1</v>
      </c>
      <c r="F66" s="32" t="b">
        <f t="shared" si="20"/>
        <v>1</v>
      </c>
      <c r="G66" s="32" t="b">
        <f t="shared" si="20"/>
        <v>1</v>
      </c>
      <c r="H66" s="32" t="b">
        <f t="shared" si="20"/>
        <v>1</v>
      </c>
      <c r="I66" s="32" t="b">
        <f t="shared" si="20"/>
        <v>1</v>
      </c>
      <c r="J66" s="32" t="b">
        <f t="shared" si="20"/>
        <v>1</v>
      </c>
      <c r="K66" s="32" t="b">
        <f t="shared" si="20"/>
        <v>1</v>
      </c>
      <c r="L66" s="32" t="b">
        <f t="shared" si="20"/>
        <v>1</v>
      </c>
    </row>
    <row r="68" spans="1:13" s="24" customFormat="1" x14ac:dyDescent="0.25">
      <c r="A68" s="23" t="s">
        <v>57</v>
      </c>
      <c r="B68" s="24" t="s">
        <v>115</v>
      </c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</row>
    <row r="69" spans="1:13" x14ac:dyDescent="0.25">
      <c r="B69" s="8" t="s">
        <v>119</v>
      </c>
    </row>
    <row r="70" spans="1:13" x14ac:dyDescent="0.25">
      <c r="B70" t="s">
        <v>90</v>
      </c>
      <c r="C70" s="20">
        <f>IFERROR('Cashflow Data'!E4,0)</f>
        <v>6824</v>
      </c>
      <c r="D70" s="20">
        <f>IFERROR('Cashflow Data'!F4,0)</f>
        <v>17581</v>
      </c>
      <c r="E70" s="20">
        <f>IFERROR('Cashflow Data'!G4,0)</f>
        <v>20187</v>
      </c>
      <c r="F70" s="20">
        <f>IFERROR('Cashflow Data'!H4,0)</f>
        <v>27840</v>
      </c>
      <c r="G70" s="20">
        <f>IFERROR('Cashflow Data'!I4,0)</f>
        <v>18078</v>
      </c>
      <c r="H70" s="20">
        <f>IFERROR('Cashflow Data'!J4,0)</f>
        <v>28540</v>
      </c>
      <c r="I70" s="20">
        <f>IFERROR('Cashflow Data'!K4,0)</f>
        <v>65900</v>
      </c>
      <c r="J70" s="20">
        <f>IFERROR('Cashflow Data'!L4,0)</f>
        <v>30908</v>
      </c>
      <c r="K70" s="20">
        <f>IFERROR('Cashflow Data'!M4,0)</f>
        <v>22237</v>
      </c>
      <c r="L70" s="20">
        <f>IFERROR('Cashflow Data'!N4,0)</f>
        <v>23929</v>
      </c>
    </row>
    <row r="71" spans="1:13" x14ac:dyDescent="0.25">
      <c r="B71" t="s">
        <v>42</v>
      </c>
      <c r="C71" s="20">
        <f>IFERROR('Cashflow Data'!E5,0)</f>
        <v>0</v>
      </c>
      <c r="D71" s="20">
        <f>IFERROR('Cashflow Data'!F5,0)</f>
        <v>0</v>
      </c>
      <c r="E71" s="20">
        <f>IFERROR('Cashflow Data'!G5,0)</f>
        <v>0</v>
      </c>
      <c r="F71" s="20">
        <f>IFERROR('Cashflow Data'!H5,0)</f>
        <v>0</v>
      </c>
      <c r="G71" s="20">
        <f>IFERROR('Cashflow Data'!I5,0)</f>
        <v>0</v>
      </c>
      <c r="H71" s="20">
        <f>IFERROR('Cashflow Data'!J5,0)</f>
        <v>0</v>
      </c>
      <c r="I71" s="20">
        <f>IFERROR('Cashflow Data'!K5,0)</f>
        <v>0</v>
      </c>
      <c r="J71" s="20">
        <f>IFERROR('Cashflow Data'!L5,0)</f>
        <v>0</v>
      </c>
      <c r="K71" s="20">
        <f>IFERROR('Cashflow Data'!M5,0)</f>
        <v>0</v>
      </c>
      <c r="L71" s="20">
        <f>IFERROR('Cashflow Data'!N5,0)</f>
        <v>0</v>
      </c>
    </row>
    <row r="72" spans="1:13" x14ac:dyDescent="0.25">
      <c r="B72" t="s">
        <v>29</v>
      </c>
      <c r="C72" s="20">
        <f>IFERROR('Cashflow Data'!E6,0)</f>
        <v>5618</v>
      </c>
      <c r="D72" s="20">
        <f>IFERROR('Cashflow Data'!F6,0)</f>
        <v>-8243</v>
      </c>
      <c r="E72" s="20">
        <f>IFERROR('Cashflow Data'!G6,0)</f>
        <v>-1595</v>
      </c>
      <c r="F72" s="20">
        <f>IFERROR('Cashflow Data'!H6,0)</f>
        <v>-1069</v>
      </c>
      <c r="G72" s="20">
        <f>IFERROR('Cashflow Data'!I6,0)</f>
        <v>1562</v>
      </c>
      <c r="H72" s="20">
        <f>IFERROR('Cashflow Data'!J6,0)</f>
        <v>46</v>
      </c>
      <c r="I72" s="20">
        <f>IFERROR('Cashflow Data'!K6,0)</f>
        <v>-16917</v>
      </c>
      <c r="J72" s="20">
        <f>IFERROR('Cashflow Data'!L6,0)</f>
        <v>-4031</v>
      </c>
      <c r="K72" s="20">
        <f>IFERROR('Cashflow Data'!M6,0)</f>
        <v>5566</v>
      </c>
      <c r="L72" s="20">
        <f>IFERROR('Cashflow Data'!N6,0)</f>
        <v>4776</v>
      </c>
    </row>
    <row r="73" spans="1:13" x14ac:dyDescent="0.25">
      <c r="B73" t="s">
        <v>91</v>
      </c>
      <c r="C73" s="20">
        <f>IFERROR('Cashflow Data'!E7,0)</f>
        <v>0</v>
      </c>
      <c r="D73" s="20">
        <f>IFERROR('Cashflow Data'!F7,0)</f>
        <v>0</v>
      </c>
      <c r="E73" s="20">
        <f>IFERROR('Cashflow Data'!G7,0)</f>
        <v>0</v>
      </c>
      <c r="F73" s="20">
        <f>IFERROR('Cashflow Data'!H7,0)</f>
        <v>0</v>
      </c>
      <c r="G73" s="20">
        <f>IFERROR('Cashflow Data'!I7,0)</f>
        <v>0</v>
      </c>
      <c r="H73" s="20">
        <f>IFERROR('Cashflow Data'!J7,0)</f>
        <v>0</v>
      </c>
      <c r="I73" s="20">
        <f>IFERROR('Cashflow Data'!K7,0)</f>
        <v>0</v>
      </c>
      <c r="J73" s="20">
        <f>IFERROR('Cashflow Data'!L7,0)</f>
        <v>0</v>
      </c>
      <c r="K73" s="20">
        <f>IFERROR('Cashflow Data'!M7,0)</f>
        <v>0</v>
      </c>
      <c r="L73" s="20">
        <f>IFERROR('Cashflow Data'!N7,0)</f>
        <v>0</v>
      </c>
    </row>
    <row r="74" spans="1:13" x14ac:dyDescent="0.25">
      <c r="B74" t="s">
        <v>92</v>
      </c>
      <c r="C74" s="20">
        <f>IFERROR('Cashflow Data'!E8,0)</f>
        <v>548</v>
      </c>
      <c r="D74" s="20">
        <f>IFERROR('Cashflow Data'!F8,0)</f>
        <v>3329</v>
      </c>
      <c r="E74" s="20">
        <f>IFERROR('Cashflow Data'!G8,0)</f>
        <v>-7680</v>
      </c>
      <c r="F74" s="20">
        <f>IFERROR('Cashflow Data'!H8,0)</f>
        <v>3659</v>
      </c>
      <c r="G74" s="20">
        <f>IFERROR('Cashflow Data'!I8,0)</f>
        <v>2634</v>
      </c>
      <c r="H74" s="20">
        <f>IFERROR('Cashflow Data'!J8,0)</f>
        <v>16446</v>
      </c>
      <c r="I74" s="20">
        <f>IFERROR('Cashflow Data'!K8,0)</f>
        <v>7299</v>
      </c>
      <c r="J74" s="20">
        <f>IFERROR('Cashflow Data'!L8,0)</f>
        <v>325</v>
      </c>
      <c r="K74" s="20">
        <f>IFERROR('Cashflow Data'!M8,0)</f>
        <v>-2182</v>
      </c>
      <c r="L74" s="20">
        <f>IFERROR('Cashflow Data'!N8,0)</f>
        <v>-2569</v>
      </c>
    </row>
    <row r="75" spans="1:13" x14ac:dyDescent="0.25">
      <c r="B75" t="s">
        <v>93</v>
      </c>
      <c r="C75" s="20">
        <f>IFERROR('Cashflow Data'!E9,0)</f>
        <v>6166</v>
      </c>
      <c r="D75" s="20">
        <f>IFERROR('Cashflow Data'!F9,0)</f>
        <v>-4914</v>
      </c>
      <c r="E75" s="20">
        <f>IFERROR('Cashflow Data'!G9,0)</f>
        <v>-9276</v>
      </c>
      <c r="F75" s="20">
        <f>IFERROR('Cashflow Data'!H9,0)</f>
        <v>2591</v>
      </c>
      <c r="G75" s="20">
        <f>IFERROR('Cashflow Data'!I9,0)</f>
        <v>4196</v>
      </c>
      <c r="H75" s="20">
        <f>IFERROR('Cashflow Data'!J9,0)</f>
        <v>16491</v>
      </c>
      <c r="I75" s="20">
        <f>IFERROR('Cashflow Data'!K9,0)</f>
        <v>-9618</v>
      </c>
      <c r="J75" s="20">
        <f>IFERROR('Cashflow Data'!L9,0)</f>
        <v>-3706</v>
      </c>
      <c r="K75" s="20">
        <f>IFERROR('Cashflow Data'!M9,0)</f>
        <v>3384</v>
      </c>
      <c r="L75" s="20">
        <f>IFERROR('Cashflow Data'!N9,0)</f>
        <v>2207</v>
      </c>
    </row>
    <row r="76" spans="1:13" x14ac:dyDescent="0.25">
      <c r="B76" t="s">
        <v>94</v>
      </c>
      <c r="C76" s="20">
        <f>IFERROR('Cashflow Data'!E10,0)</f>
        <v>-1534</v>
      </c>
      <c r="D76" s="20">
        <f>IFERROR('Cashflow Data'!F10,0)</f>
        <v>-1843</v>
      </c>
      <c r="E76" s="20">
        <f>IFERROR('Cashflow Data'!G10,0)</f>
        <v>-2888</v>
      </c>
      <c r="F76" s="20">
        <f>IFERROR('Cashflow Data'!H10,0)</f>
        <v>-5094</v>
      </c>
      <c r="G76" s="20">
        <f>IFERROR('Cashflow Data'!I10,0)</f>
        <v>-2106</v>
      </c>
      <c r="H76" s="20">
        <f>IFERROR('Cashflow Data'!J10,0)</f>
        <v>-704</v>
      </c>
      <c r="I76" s="20">
        <f>IFERROR('Cashflow Data'!K10,0)</f>
        <v>-11902</v>
      </c>
      <c r="J76" s="20">
        <f>IFERROR('Cashflow Data'!L10,0)</f>
        <v>-5519</v>
      </c>
      <c r="K76" s="20">
        <f>IFERROR('Cashflow Data'!M10,0)</f>
        <v>-5320</v>
      </c>
      <c r="L76" s="20">
        <f>IFERROR('Cashflow Data'!N10,0)</f>
        <v>-2624</v>
      </c>
    </row>
    <row r="77" spans="1:13" x14ac:dyDescent="0.25">
      <c r="B77" s="17" t="s">
        <v>116</v>
      </c>
      <c r="C77" s="31">
        <f>IFERROR(SUM(C70:C76),0)</f>
        <v>17622</v>
      </c>
      <c r="D77" s="31">
        <f t="shared" ref="D77:L77" si="21">IFERROR(SUM(D70:D76),0)</f>
        <v>5910</v>
      </c>
      <c r="E77" s="31">
        <f t="shared" si="21"/>
        <v>-1252</v>
      </c>
      <c r="F77" s="31">
        <f t="shared" si="21"/>
        <v>27927</v>
      </c>
      <c r="G77" s="31">
        <f t="shared" si="21"/>
        <v>24364</v>
      </c>
      <c r="H77" s="31">
        <f t="shared" si="21"/>
        <v>60819</v>
      </c>
      <c r="I77" s="31">
        <f t="shared" si="21"/>
        <v>34762</v>
      </c>
      <c r="J77" s="31">
        <f t="shared" si="21"/>
        <v>17977</v>
      </c>
      <c r="K77" s="31">
        <f t="shared" si="21"/>
        <v>23685</v>
      </c>
      <c r="L77" s="31">
        <f t="shared" si="21"/>
        <v>25719</v>
      </c>
    </row>
    <row r="79" spans="1:13" x14ac:dyDescent="0.25">
      <c r="B79" s="8" t="s">
        <v>120</v>
      </c>
    </row>
    <row r="80" spans="1:13" x14ac:dyDescent="0.25">
      <c r="B80" s="18" t="s">
        <v>96</v>
      </c>
      <c r="C80" s="20">
        <f>IFERROR('Cashflow Data'!E12,0)</f>
        <v>-10163</v>
      </c>
      <c r="D80" s="20">
        <f>IFERROR('Cashflow Data'!F12,0)</f>
        <v>-7716</v>
      </c>
      <c r="E80" s="20">
        <f>IFERROR('Cashflow Data'!G12,0)</f>
        <v>-7478</v>
      </c>
      <c r="F80" s="20">
        <f>IFERROR('Cashflow Data'!H12,0)</f>
        <v>-9091</v>
      </c>
      <c r="G80" s="20">
        <f>IFERROR('Cashflow Data'!I12,0)</f>
        <v>-10398</v>
      </c>
      <c r="H80" s="20">
        <f>IFERROR('Cashflow Data'!J12,0)</f>
        <v>-6979</v>
      </c>
      <c r="I80" s="20">
        <f>IFERROR('Cashflow Data'!K12,0)</f>
        <v>-10522</v>
      </c>
      <c r="J80" s="20">
        <f>IFERROR('Cashflow Data'!L12,0)</f>
        <v>-14142</v>
      </c>
      <c r="K80" s="20">
        <f>IFERROR('Cashflow Data'!M12,0)</f>
        <v>-18207</v>
      </c>
      <c r="L80" s="20">
        <f>IFERROR('Cashflow Data'!N12,0)</f>
        <v>-15671</v>
      </c>
    </row>
    <row r="81" spans="2:12" x14ac:dyDescent="0.25">
      <c r="B81" s="18" t="s">
        <v>97</v>
      </c>
      <c r="C81" s="20">
        <f>IFERROR('Cashflow Data'!E13,0)</f>
        <v>231</v>
      </c>
      <c r="D81" s="20">
        <f>IFERROR('Cashflow Data'!F13,0)</f>
        <v>289</v>
      </c>
      <c r="E81" s="20">
        <f>IFERROR('Cashflow Data'!G13,0)</f>
        <v>179</v>
      </c>
      <c r="F81" s="20">
        <f>IFERROR('Cashflow Data'!H13,0)</f>
        <v>467</v>
      </c>
      <c r="G81" s="20">
        <f>IFERROR('Cashflow Data'!I13,0)</f>
        <v>386</v>
      </c>
      <c r="H81" s="20">
        <f>IFERROR('Cashflow Data'!J13,0)</f>
        <v>445</v>
      </c>
      <c r="I81" s="20">
        <f>IFERROR('Cashflow Data'!K13,0)</f>
        <v>569</v>
      </c>
      <c r="J81" s="20">
        <f>IFERROR('Cashflow Data'!L13,0)</f>
        <v>328</v>
      </c>
      <c r="K81" s="20">
        <f>IFERROR('Cashflow Data'!M13,0)</f>
        <v>475</v>
      </c>
      <c r="L81" s="20">
        <f>IFERROR('Cashflow Data'!N13,0)</f>
        <v>1264</v>
      </c>
    </row>
    <row r="82" spans="2:12" x14ac:dyDescent="0.25">
      <c r="B82" s="18" t="s">
        <v>98</v>
      </c>
      <c r="C82" s="20">
        <f>IFERROR('Cashflow Data'!E14,0)</f>
        <v>-3796</v>
      </c>
      <c r="D82" s="20">
        <f>IFERROR('Cashflow Data'!F14,0)</f>
        <v>-861</v>
      </c>
      <c r="E82" s="20">
        <f>IFERROR('Cashflow Data'!G14,0)</f>
        <v>-8641</v>
      </c>
      <c r="F82" s="20">
        <f>IFERROR('Cashflow Data'!H14,0)</f>
        <v>-490</v>
      </c>
      <c r="G82" s="20">
        <f>IFERROR('Cashflow Data'!I14,0)</f>
        <v>-828</v>
      </c>
      <c r="H82" s="20">
        <f>IFERROR('Cashflow Data'!J14,0)</f>
        <v>-3631</v>
      </c>
      <c r="I82" s="20">
        <f>IFERROR('Cashflow Data'!K14,0)</f>
        <v>-1153</v>
      </c>
      <c r="J82" s="20">
        <f>IFERROR('Cashflow Data'!L14,0)</f>
        <v>-326</v>
      </c>
      <c r="K82" s="20">
        <f>IFERROR('Cashflow Data'!M14,0)</f>
        <v>-4</v>
      </c>
      <c r="L82" s="20">
        <f>IFERROR('Cashflow Data'!N14,0)</f>
        <v>-393</v>
      </c>
    </row>
    <row r="83" spans="2:12" x14ac:dyDescent="0.25">
      <c r="B83" s="18" t="s">
        <v>99</v>
      </c>
      <c r="C83" s="20">
        <f>IFERROR('Cashflow Data'!E15,0)</f>
        <v>4275</v>
      </c>
      <c r="D83" s="20">
        <f>IFERROR('Cashflow Data'!F15,0)</f>
        <v>91</v>
      </c>
      <c r="E83" s="20">
        <f>IFERROR('Cashflow Data'!G15,0)</f>
        <v>3899</v>
      </c>
      <c r="F83" s="20">
        <f>IFERROR('Cashflow Data'!H15,0)</f>
        <v>13556</v>
      </c>
      <c r="G83" s="20">
        <f>IFERROR('Cashflow Data'!I15,0)</f>
        <v>121</v>
      </c>
      <c r="H83" s="20">
        <f>IFERROR('Cashflow Data'!J15,0)</f>
        <v>0</v>
      </c>
      <c r="I83" s="20">
        <f>IFERROR('Cashflow Data'!K15,0)</f>
        <v>63</v>
      </c>
      <c r="J83" s="20">
        <f>IFERROR('Cashflow Data'!L15,0)</f>
        <v>5191</v>
      </c>
      <c r="K83" s="20">
        <f>IFERROR('Cashflow Data'!M15,0)</f>
        <v>3171</v>
      </c>
      <c r="L83" s="20">
        <f>IFERROR('Cashflow Data'!N15,0)</f>
        <v>554</v>
      </c>
    </row>
    <row r="84" spans="2:12" x14ac:dyDescent="0.25">
      <c r="B84" s="18" t="s">
        <v>100</v>
      </c>
      <c r="C84" s="20">
        <f>IFERROR('Cashflow Data'!E16,0)</f>
        <v>133</v>
      </c>
      <c r="D84" s="20">
        <f>IFERROR('Cashflow Data'!F16,0)</f>
        <v>140</v>
      </c>
      <c r="E84" s="20">
        <f>IFERROR('Cashflow Data'!G16,0)</f>
        <v>254</v>
      </c>
      <c r="F84" s="20">
        <f>IFERROR('Cashflow Data'!H16,0)</f>
        <v>175</v>
      </c>
      <c r="G84" s="20">
        <f>IFERROR('Cashflow Data'!I16,0)</f>
        <v>203</v>
      </c>
      <c r="H84" s="20">
        <f>IFERROR('Cashflow Data'!J16,0)</f>
        <v>266</v>
      </c>
      <c r="I84" s="20">
        <f>IFERROR('Cashflow Data'!K16,0)</f>
        <v>137</v>
      </c>
      <c r="J84" s="20">
        <f>IFERROR('Cashflow Data'!L16,0)</f>
        <v>248</v>
      </c>
      <c r="K84" s="20">
        <f>IFERROR('Cashflow Data'!M16,0)</f>
        <v>333</v>
      </c>
      <c r="L84" s="20">
        <f>IFERROR('Cashflow Data'!N16,0)</f>
        <v>242</v>
      </c>
    </row>
    <row r="85" spans="2:12" x14ac:dyDescent="0.25">
      <c r="B85" s="18" t="s">
        <v>101</v>
      </c>
      <c r="C85" s="20">
        <f>IFERROR('Cashflow Data'!E17,0)</f>
        <v>108</v>
      </c>
      <c r="D85" s="20">
        <f>IFERROR('Cashflow Data'!F17,0)</f>
        <v>85</v>
      </c>
      <c r="E85" s="20">
        <f>IFERROR('Cashflow Data'!G17,0)</f>
        <v>111</v>
      </c>
      <c r="F85" s="20">
        <f>IFERROR('Cashflow Data'!H17,0)</f>
        <v>148</v>
      </c>
      <c r="G85" s="20">
        <f>IFERROR('Cashflow Data'!I17,0)</f>
        <v>103</v>
      </c>
      <c r="H85" s="20">
        <f>IFERROR('Cashflow Data'!J17,0)</f>
        <v>135</v>
      </c>
      <c r="I85" s="20">
        <f>IFERROR('Cashflow Data'!K17,0)</f>
        <v>162</v>
      </c>
      <c r="J85" s="20">
        <f>IFERROR('Cashflow Data'!L17,0)</f>
        <v>317</v>
      </c>
      <c r="K85" s="20">
        <f>IFERROR('Cashflow Data'!M17,0)</f>
        <v>336</v>
      </c>
      <c r="L85" s="20">
        <f>IFERROR('Cashflow Data'!N17,0)</f>
        <v>294</v>
      </c>
    </row>
    <row r="86" spans="2:12" x14ac:dyDescent="0.25">
      <c r="B86" s="18" t="s">
        <v>102</v>
      </c>
      <c r="C86" s="20">
        <f>IFERROR('Cashflow Data'!E18,0)</f>
        <v>0</v>
      </c>
      <c r="D86" s="20">
        <f>IFERROR('Cashflow Data'!F18,0)</f>
        <v>0</v>
      </c>
      <c r="E86" s="20">
        <f>IFERROR('Cashflow Data'!G18,0)</f>
        <v>34</v>
      </c>
      <c r="F86" s="20">
        <f>IFERROR('Cashflow Data'!H18,0)</f>
        <v>156</v>
      </c>
      <c r="G86" s="20">
        <f>IFERROR('Cashflow Data'!I18,0)</f>
        <v>378</v>
      </c>
      <c r="H86" s="20">
        <f>IFERROR('Cashflow Data'!J18,0)</f>
        <v>90</v>
      </c>
      <c r="I86" s="20">
        <f>IFERROR('Cashflow Data'!K18,0)</f>
        <v>1208</v>
      </c>
      <c r="J86" s="20">
        <f>IFERROR('Cashflow Data'!L18,0)</f>
        <v>166</v>
      </c>
      <c r="K86" s="20">
        <f>IFERROR('Cashflow Data'!M18,0)</f>
        <v>123</v>
      </c>
      <c r="L86" s="20">
        <f>IFERROR('Cashflow Data'!N18,0)</f>
        <v>28</v>
      </c>
    </row>
    <row r="87" spans="2:12" x14ac:dyDescent="0.25">
      <c r="B87" s="18" t="s">
        <v>103</v>
      </c>
      <c r="C87" s="20">
        <f>IFERROR('Cashflow Data'!E19,0)</f>
        <v>-78</v>
      </c>
      <c r="D87" s="20">
        <f>IFERROR('Cashflow Data'!F19,0)</f>
        <v>-1081</v>
      </c>
      <c r="E87" s="20">
        <f>IFERROR('Cashflow Data'!G19,0)</f>
        <v>-255</v>
      </c>
      <c r="F87" s="20">
        <f>IFERROR('Cashflow Data'!H19,0)</f>
        <v>-34569</v>
      </c>
      <c r="G87" s="20">
        <f>IFERROR('Cashflow Data'!I19,0)</f>
        <v>-4433</v>
      </c>
      <c r="H87" s="20">
        <f>IFERROR('Cashflow Data'!J19,0)</f>
        <v>0</v>
      </c>
      <c r="I87" s="20">
        <f>IFERROR('Cashflow Data'!K19,0)</f>
        <v>-53</v>
      </c>
      <c r="J87" s="20">
        <f>IFERROR('Cashflow Data'!L19,0)</f>
        <v>-10569</v>
      </c>
      <c r="K87" s="20">
        <f>IFERROR('Cashflow Data'!M19,0)</f>
        <v>0</v>
      </c>
      <c r="L87" s="20">
        <f>IFERROR('Cashflow Data'!N19,0)</f>
        <v>-6</v>
      </c>
    </row>
    <row r="88" spans="2:12" x14ac:dyDescent="0.25">
      <c r="B88" s="18" t="s">
        <v>104</v>
      </c>
      <c r="C88" s="20">
        <f>IFERROR('Cashflow Data'!E20,0)</f>
        <v>0</v>
      </c>
      <c r="D88" s="20">
        <f>IFERROR('Cashflow Data'!F20,0)</f>
        <v>0</v>
      </c>
      <c r="E88" s="20">
        <f>IFERROR('Cashflow Data'!G20,0)</f>
        <v>0</v>
      </c>
      <c r="F88" s="20">
        <f>IFERROR('Cashflow Data'!H20,0)</f>
        <v>0</v>
      </c>
      <c r="G88" s="20">
        <f>IFERROR('Cashflow Data'!I20,0)</f>
        <v>0</v>
      </c>
      <c r="H88" s="20">
        <f>IFERROR('Cashflow Data'!J20,0)</f>
        <v>0</v>
      </c>
      <c r="I88" s="20">
        <f>IFERROR('Cashflow Data'!K20,0)</f>
        <v>0</v>
      </c>
      <c r="J88" s="20">
        <f>IFERROR('Cashflow Data'!L20,0)</f>
        <v>0</v>
      </c>
      <c r="K88" s="20">
        <f>IFERROR('Cashflow Data'!M20,0)</f>
        <v>0</v>
      </c>
      <c r="L88" s="20">
        <f>IFERROR('Cashflow Data'!N20,0)</f>
        <v>0</v>
      </c>
    </row>
    <row r="89" spans="2:12" x14ac:dyDescent="0.25">
      <c r="B89" s="18" t="s">
        <v>105</v>
      </c>
      <c r="C89" s="20">
        <f>IFERROR('Cashflow Data'!E21,0)</f>
        <v>496</v>
      </c>
      <c r="D89" s="20">
        <f>IFERROR('Cashflow Data'!F21,0)</f>
        <v>-437</v>
      </c>
      <c r="E89" s="20">
        <f>IFERROR('Cashflow Data'!G21,0)</f>
        <v>166</v>
      </c>
      <c r="F89" s="20">
        <f>IFERROR('Cashflow Data'!H21,0)</f>
        <v>471</v>
      </c>
      <c r="G89" s="20">
        <f>IFERROR('Cashflow Data'!I21,0)</f>
        <v>456</v>
      </c>
      <c r="H89" s="20">
        <f>IFERROR('Cashflow Data'!J21,0)</f>
        <v>236</v>
      </c>
      <c r="I89" s="20">
        <f>IFERROR('Cashflow Data'!K21,0)</f>
        <v>-1315</v>
      </c>
      <c r="J89" s="20">
        <f>IFERROR('Cashflow Data'!L21,0)</f>
        <v>609</v>
      </c>
      <c r="K89" s="20">
        <f>IFERROR('Cashflow Data'!M21,0)</f>
        <v>-481</v>
      </c>
      <c r="L89" s="20">
        <f>IFERROR('Cashflow Data'!N21,0)</f>
        <v>-485</v>
      </c>
    </row>
    <row r="90" spans="2:12" x14ac:dyDescent="0.25">
      <c r="B90" s="8" t="s">
        <v>117</v>
      </c>
      <c r="C90" s="20">
        <f>IFERROR('Cashflow Data'!E22,0)</f>
        <v>-4729</v>
      </c>
      <c r="D90" s="20">
        <f>IFERROR('Cashflow Data'!F22,0)</f>
        <v>-2579</v>
      </c>
      <c r="E90" s="20">
        <f>IFERROR('Cashflow Data'!G22,0)</f>
        <v>6640</v>
      </c>
      <c r="F90" s="20">
        <f>IFERROR('Cashflow Data'!H22,0)</f>
        <v>-673</v>
      </c>
      <c r="G90" s="20">
        <f>IFERROR('Cashflow Data'!I22,0)</f>
        <v>-1695</v>
      </c>
      <c r="H90" s="20">
        <f>IFERROR('Cashflow Data'!J22,0)</f>
        <v>-37090</v>
      </c>
      <c r="I90" s="20">
        <f>IFERROR('Cashflow Data'!K22,0)</f>
        <v>-23401</v>
      </c>
      <c r="J90" s="20">
        <f>IFERROR('Cashflow Data'!L22,0)</f>
        <v>-6981</v>
      </c>
      <c r="K90" s="20">
        <f>IFERROR('Cashflow Data'!M22,0)</f>
        <v>-11097</v>
      </c>
      <c r="L90" s="20">
        <f>IFERROR('Cashflow Data'!N22,0)</f>
        <v>-7002</v>
      </c>
    </row>
    <row r="92" spans="2:12" x14ac:dyDescent="0.25">
      <c r="B92" s="17" t="s">
        <v>121</v>
      </c>
    </row>
    <row r="93" spans="2:12" x14ac:dyDescent="0.25">
      <c r="B93" s="18" t="s">
        <v>107</v>
      </c>
      <c r="C93" s="20">
        <f>IFERROR('Cashflow Data'!E23,0)</f>
        <v>0</v>
      </c>
      <c r="D93" s="20">
        <f>IFERROR('Cashflow Data'!F23,0)</f>
        <v>652</v>
      </c>
      <c r="E93" s="20">
        <f>IFERROR('Cashflow Data'!G23,0)</f>
        <v>9087</v>
      </c>
      <c r="F93" s="20">
        <f>IFERROR('Cashflow Data'!H23,0)</f>
        <v>0</v>
      </c>
      <c r="G93" s="20">
        <f>IFERROR('Cashflow Data'!I23,0)</f>
        <v>188</v>
      </c>
      <c r="H93" s="20">
        <f>IFERROR('Cashflow Data'!J23,0)</f>
        <v>3239</v>
      </c>
      <c r="I93" s="20">
        <f>IFERROR('Cashflow Data'!K23,0)</f>
        <v>326</v>
      </c>
      <c r="J93" s="20">
        <f>IFERROR('Cashflow Data'!L23,0)</f>
        <v>1</v>
      </c>
      <c r="K93" s="20">
        <f>IFERROR('Cashflow Data'!M23,0)</f>
        <v>0</v>
      </c>
      <c r="L93" s="20">
        <f>IFERROR('Cashflow Data'!N23,0)</f>
        <v>0</v>
      </c>
    </row>
    <row r="94" spans="2:12" x14ac:dyDescent="0.25">
      <c r="B94" s="18" t="s">
        <v>108</v>
      </c>
      <c r="C94" s="20">
        <f>IFERROR('Cashflow Data'!E24,0)</f>
        <v>0</v>
      </c>
      <c r="D94" s="20">
        <f>IFERROR('Cashflow Data'!F24,0)</f>
        <v>0</v>
      </c>
      <c r="E94" s="20">
        <f>IFERROR('Cashflow Data'!G24,0)</f>
        <v>0</v>
      </c>
      <c r="F94" s="20">
        <f>IFERROR('Cashflow Data'!H24,0)</f>
        <v>33344</v>
      </c>
      <c r="G94" s="20">
        <f>IFERROR('Cashflow Data'!I24,0)</f>
        <v>16574</v>
      </c>
      <c r="H94" s="20">
        <f>IFERROR('Cashflow Data'!J24,0)</f>
        <v>9801</v>
      </c>
      <c r="I94" s="20">
        <f>IFERROR('Cashflow Data'!K24,0)</f>
        <v>12439</v>
      </c>
      <c r="J94" s="20">
        <f>IFERROR('Cashflow Data'!L24,0)</f>
        <v>16769</v>
      </c>
      <c r="K94" s="20">
        <f>IFERROR('Cashflow Data'!M24,0)</f>
        <v>14120</v>
      </c>
      <c r="L94" s="20">
        <f>IFERROR('Cashflow Data'!N24,0)</f>
        <v>23893</v>
      </c>
    </row>
    <row r="95" spans="2:12" x14ac:dyDescent="0.25">
      <c r="B95" s="18" t="s">
        <v>109</v>
      </c>
      <c r="C95" s="20">
        <f>IFERROR('Cashflow Data'!E25,0)</f>
        <v>0</v>
      </c>
      <c r="D95" s="20">
        <f>IFERROR('Cashflow Data'!F25,0)</f>
        <v>0</v>
      </c>
      <c r="E95" s="20">
        <f>IFERROR('Cashflow Data'!G25,0)</f>
        <v>0</v>
      </c>
      <c r="F95" s="20">
        <f>IFERROR('Cashflow Data'!H25,0)</f>
        <v>-25077</v>
      </c>
      <c r="G95" s="20">
        <f>IFERROR('Cashflow Data'!I25,0)</f>
        <v>-7937</v>
      </c>
      <c r="H95" s="20">
        <f>IFERROR('Cashflow Data'!J25,0)</f>
        <v>-39177</v>
      </c>
      <c r="I95" s="20">
        <f>IFERROR('Cashflow Data'!K25,0)</f>
        <v>-26360</v>
      </c>
      <c r="J95" s="20">
        <f>IFERROR('Cashflow Data'!L25,0)</f>
        <v>-10226</v>
      </c>
      <c r="K95" s="20">
        <f>IFERROR('Cashflow Data'!M25,0)</f>
        <v>-11908</v>
      </c>
      <c r="L95" s="20">
        <f>IFERROR('Cashflow Data'!N25,0)</f>
        <v>-17597</v>
      </c>
    </row>
    <row r="96" spans="2:12" x14ac:dyDescent="0.25">
      <c r="B96" s="18" t="s">
        <v>110</v>
      </c>
      <c r="C96" s="20">
        <f>IFERROR('Cashflow Data'!E26,0)</f>
        <v>0</v>
      </c>
      <c r="D96" s="20">
        <f>IFERROR('Cashflow Data'!F26,0)</f>
        <v>0</v>
      </c>
      <c r="E96" s="20">
        <f>IFERROR('Cashflow Data'!G26,0)</f>
        <v>0</v>
      </c>
      <c r="F96" s="20">
        <f>IFERROR('Cashflow Data'!H26,0)</f>
        <v>0</v>
      </c>
      <c r="G96" s="20">
        <f>IFERROR('Cashflow Data'!I26,0)</f>
        <v>0</v>
      </c>
      <c r="H96" s="20">
        <f>IFERROR('Cashflow Data'!J26,0)</f>
        <v>0</v>
      </c>
      <c r="I96" s="20">
        <f>IFERROR('Cashflow Data'!K26,0)</f>
        <v>0</v>
      </c>
      <c r="J96" s="20">
        <f>IFERROR('Cashflow Data'!L26,0)</f>
        <v>0</v>
      </c>
      <c r="K96" s="20">
        <f>IFERROR('Cashflow Data'!M26,0)</f>
        <v>0</v>
      </c>
      <c r="L96" s="20">
        <f>IFERROR('Cashflow Data'!N26,0)</f>
        <v>-30</v>
      </c>
    </row>
    <row r="97" spans="2:12" x14ac:dyDescent="0.25">
      <c r="B97" s="18" t="s">
        <v>111</v>
      </c>
      <c r="C97" s="20">
        <f>IFERROR('Cashflow Data'!E27,0)</f>
        <v>-5483</v>
      </c>
      <c r="D97" s="20">
        <f>IFERROR('Cashflow Data'!F27,0)</f>
        <v>-4733</v>
      </c>
      <c r="E97" s="20">
        <f>IFERROR('Cashflow Data'!G27,0)</f>
        <v>-5146</v>
      </c>
      <c r="F97" s="20">
        <f>IFERROR('Cashflow Data'!H27,0)</f>
        <v>-6901</v>
      </c>
      <c r="G97" s="20">
        <f>IFERROR('Cashflow Data'!I27,0)</f>
        <v>-7419</v>
      </c>
      <c r="H97" s="20">
        <f>IFERROR('Cashflow Data'!J27,0)</f>
        <v>-6804</v>
      </c>
      <c r="I97" s="20">
        <f>IFERROR('Cashflow Data'!K27,0)</f>
        <v>-4687</v>
      </c>
      <c r="J97" s="20">
        <f>IFERROR('Cashflow Data'!L27,0)</f>
        <v>-6120</v>
      </c>
      <c r="K97" s="20">
        <f>IFERROR('Cashflow Data'!M27,0)</f>
        <v>-8145</v>
      </c>
      <c r="L97" s="20">
        <f>IFERROR('Cashflow Data'!N27,0)</f>
        <v>-8119</v>
      </c>
    </row>
    <row r="98" spans="2:12" x14ac:dyDescent="0.25">
      <c r="B98" s="18" t="s">
        <v>112</v>
      </c>
      <c r="C98" s="20">
        <f>IFERROR('Cashflow Data'!E28,0)</f>
        <v>-788</v>
      </c>
      <c r="D98" s="20">
        <f>IFERROR('Cashflow Data'!F28,0)</f>
        <v>-791</v>
      </c>
      <c r="E98" s="20">
        <f>IFERROR('Cashflow Data'!G28,0)</f>
        <v>-982</v>
      </c>
      <c r="F98" s="20">
        <f>IFERROR('Cashflow Data'!H28,0)</f>
        <v>-1186</v>
      </c>
      <c r="G98" s="20">
        <f>IFERROR('Cashflow Data'!I28,0)</f>
        <v>-1507</v>
      </c>
      <c r="H98" s="20">
        <f>IFERROR('Cashflow Data'!J28,0)</f>
        <v>-1151</v>
      </c>
      <c r="I98" s="20">
        <f>IFERROR('Cashflow Data'!K28,0)</f>
        <v>-3020</v>
      </c>
      <c r="J98" s="20">
        <f>IFERROR('Cashflow Data'!L28,0)</f>
        <v>-6293</v>
      </c>
      <c r="K98" s="20">
        <f>IFERROR('Cashflow Data'!M28,0)</f>
        <v>-4429</v>
      </c>
      <c r="L98" s="20">
        <f>IFERROR('Cashflow Data'!N28,0)</f>
        <v>-4490</v>
      </c>
    </row>
    <row r="99" spans="2:12" x14ac:dyDescent="0.25">
      <c r="B99" s="18" t="s">
        <v>113</v>
      </c>
      <c r="C99" s="20">
        <f>IFERROR('Cashflow Data'!E29,0)</f>
        <v>-200</v>
      </c>
      <c r="D99" s="20">
        <f>IFERROR('Cashflow Data'!F29,0)</f>
        <v>-208</v>
      </c>
      <c r="E99" s="20">
        <f>IFERROR('Cashflow Data'!G29,0)</f>
        <v>-211</v>
      </c>
      <c r="F99" s="20">
        <f>IFERROR('Cashflow Data'!H29,0)</f>
        <v>-276</v>
      </c>
      <c r="G99" s="20">
        <f>IFERROR('Cashflow Data'!I29,0)</f>
        <v>-1029</v>
      </c>
      <c r="H99" s="20">
        <f>IFERROR('Cashflow Data'!J29,0)</f>
        <v>-1284</v>
      </c>
      <c r="I99" s="20">
        <f>IFERROR('Cashflow Data'!K29,0)</f>
        <v>-1310</v>
      </c>
      <c r="J99" s="20">
        <f>IFERROR('Cashflow Data'!L29,0)</f>
        <v>-1114</v>
      </c>
      <c r="K99" s="20">
        <f>IFERROR('Cashflow Data'!M29,0)</f>
        <v>-1140</v>
      </c>
      <c r="L99" s="20">
        <f>IFERROR('Cashflow Data'!N29,0)</f>
        <v>-1943</v>
      </c>
    </row>
    <row r="100" spans="2:12" x14ac:dyDescent="0.25">
      <c r="B100" s="18" t="s">
        <v>114</v>
      </c>
      <c r="C100" s="20">
        <f>IFERROR('Cashflow Data'!E30,0)</f>
        <v>1743</v>
      </c>
      <c r="D100" s="20">
        <f>IFERROR('Cashflow Data'!F30,0)</f>
        <v>2501</v>
      </c>
      <c r="E100" s="20">
        <f>IFERROR('Cashflow Data'!G30,0)</f>
        <v>3892</v>
      </c>
      <c r="F100" s="20">
        <f>IFERROR('Cashflow Data'!H30,0)</f>
        <v>-576</v>
      </c>
      <c r="G100" s="20">
        <f>IFERROR('Cashflow Data'!I30,0)</f>
        <v>-564</v>
      </c>
      <c r="H100" s="20">
        <f>IFERROR('Cashflow Data'!J30,0)</f>
        <v>-1714</v>
      </c>
      <c r="I100" s="20">
        <f>IFERROR('Cashflow Data'!K30,0)</f>
        <v>-789</v>
      </c>
      <c r="J100" s="20">
        <f>IFERROR('Cashflow Data'!L30,0)</f>
        <v>2</v>
      </c>
      <c r="K100" s="20">
        <f>IFERROR('Cashflow Data'!M30,0)</f>
        <v>404</v>
      </c>
      <c r="L100" s="20">
        <f>IFERROR('Cashflow Data'!N30,0)</f>
        <v>1283</v>
      </c>
    </row>
    <row r="101" spans="2:12" x14ac:dyDescent="0.25">
      <c r="B101" s="17" t="s">
        <v>118</v>
      </c>
      <c r="C101" s="20">
        <f>IFERROR('Cashflow Data'!E31,0)</f>
        <v>-2068</v>
      </c>
      <c r="D101" s="20">
        <f>IFERROR('Cashflow Data'!F31,0)</f>
        <v>-1245</v>
      </c>
      <c r="E101" s="20">
        <f>IFERROR('Cashflow Data'!G31,0)</f>
        <v>2933</v>
      </c>
      <c r="F101" s="20">
        <f>IFERROR('Cashflow Data'!H31,0)</f>
        <v>-4513</v>
      </c>
      <c r="G101" s="20">
        <f>IFERROR('Cashflow Data'!I31,0)</f>
        <v>4462</v>
      </c>
      <c r="H101" s="20">
        <f>IFERROR('Cashflow Data'!J31,0)</f>
        <v>-2200</v>
      </c>
      <c r="I101" s="20">
        <f>IFERROR('Cashflow Data'!K31,0)</f>
        <v>10075</v>
      </c>
      <c r="J101" s="20">
        <f>IFERROR('Cashflow Data'!L31,0)</f>
        <v>-3477</v>
      </c>
      <c r="K101" s="20">
        <f>IFERROR('Cashflow Data'!M31,0)</f>
        <v>-5049</v>
      </c>
      <c r="L101" s="20">
        <f>IFERROR('Cashflow Data'!N31,0)</f>
        <v>2337</v>
      </c>
    </row>
    <row r="103" spans="2:12" x14ac:dyDescent="0.25">
      <c r="B103" s="17" t="s">
        <v>20</v>
      </c>
      <c r="C103" s="31">
        <f>IFERROR(C101+C90+C77,0)</f>
        <v>10825</v>
      </c>
      <c r="D103" s="31">
        <f t="shared" ref="D103:L103" si="22">IFERROR(D101+D90+D77,0)</f>
        <v>2086</v>
      </c>
      <c r="E103" s="31">
        <f t="shared" si="22"/>
        <v>8321</v>
      </c>
      <c r="F103" s="31">
        <f t="shared" si="22"/>
        <v>22741</v>
      </c>
      <c r="G103" s="31">
        <f t="shared" si="22"/>
        <v>27131</v>
      </c>
      <c r="H103" s="31">
        <f t="shared" si="22"/>
        <v>21529</v>
      </c>
      <c r="I103" s="31">
        <f t="shared" si="22"/>
        <v>21436</v>
      </c>
      <c r="J103" s="31">
        <f t="shared" si="22"/>
        <v>7519</v>
      </c>
      <c r="K103" s="31">
        <f t="shared" si="22"/>
        <v>7539</v>
      </c>
      <c r="L103" s="31">
        <f t="shared" si="22"/>
        <v>21054</v>
      </c>
    </row>
    <row r="106" spans="2:12" x14ac:dyDescent="0.25">
      <c r="D106" s="20" t="s">
        <v>122</v>
      </c>
    </row>
  </sheetData>
  <mergeCells count="1">
    <mergeCell ref="B2:M2"/>
  </mergeCells>
  <pageMargins left="0.7" right="0.7" top="0.75" bottom="0.75" header="0.3" footer="0.3"/>
  <pageSetup orientation="portrait" r:id="rId1"/>
  <ignoredErrors>
    <ignoredError sqref="M6 M33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FE3A-C26A-4CB9-8BDC-6929F1EB828B}">
  <dimension ref="B3:L11"/>
  <sheetViews>
    <sheetView showGridLines="0" tabSelected="1" workbookViewId="0">
      <selection activeCell="C11" sqref="C11"/>
    </sheetView>
  </sheetViews>
  <sheetFormatPr defaultRowHeight="15" x14ac:dyDescent="0.25"/>
  <cols>
    <col min="1" max="1" width="1.85546875" customWidth="1"/>
    <col min="2" max="2" width="16.140625" bestFit="1" customWidth="1"/>
  </cols>
  <sheetData>
    <row r="3" spans="2:12" x14ac:dyDescent="0.25">
      <c r="B3" s="34" t="str">
        <f>"Ratio Analysis - "&amp;'Data Sheet'!B1</f>
        <v>Ratio Analysis - TATA MOTORS LTD</v>
      </c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2:12" x14ac:dyDescent="0.25">
      <c r="B4" s="15" t="s">
        <v>54</v>
      </c>
      <c r="C4" s="10">
        <v>42460</v>
      </c>
      <c r="D4" s="10">
        <v>42825</v>
      </c>
      <c r="E4" s="10">
        <v>43190</v>
      </c>
      <c r="F4" s="10">
        <v>43555</v>
      </c>
      <c r="G4" s="10">
        <v>43921</v>
      </c>
      <c r="H4" s="10">
        <v>44286</v>
      </c>
      <c r="I4" s="10">
        <v>44651</v>
      </c>
      <c r="J4" s="10">
        <v>45016</v>
      </c>
      <c r="K4" s="10">
        <v>45382</v>
      </c>
      <c r="L4" s="10">
        <v>45747</v>
      </c>
    </row>
    <row r="7" spans="2:12" x14ac:dyDescent="0.25">
      <c r="B7" t="s">
        <v>58</v>
      </c>
      <c r="C7">
        <f>IFERROR(HistoricalFS!D7,0)</f>
        <v>-1.2280329732469508E-2</v>
      </c>
      <c r="D7">
        <f>IFERROR(HistoricalFS!E7,0)</f>
        <v>8.104774581985974E-2</v>
      </c>
      <c r="E7">
        <f>IFERROR(HistoricalFS!F7,0)</f>
        <v>3.5629919045237157E-2</v>
      </c>
      <c r="F7">
        <f>IFERROR(HistoricalFS!G7,0)</f>
        <v>-0.135360159555724</v>
      </c>
      <c r="G7">
        <f>IFERROR(HistoricalFS!H7,0)</f>
        <v>-4.3181168490336042E-2</v>
      </c>
      <c r="H7">
        <f>IFERROR(HistoricalFS!I7,0)</f>
        <v>0.11472967306158344</v>
      </c>
      <c r="I7">
        <f>IFERROR(HistoricalFS!J7,0)</f>
        <v>0.24245815155859707</v>
      </c>
      <c r="J7">
        <f>IFERROR(HistoricalFS!K7,0)</f>
        <v>0.25450126062612277</v>
      </c>
      <c r="K7">
        <f>IFERROR(HistoricalFS!L7,0)</f>
        <v>1.3084771068347711E-2</v>
      </c>
      <c r="L7">
        <f>IFERROR(HistoricalFS!M7,0)</f>
        <v>0.27507021912916918</v>
      </c>
    </row>
    <row r="8" spans="2:12" x14ac:dyDescent="0.25">
      <c r="B8" t="s">
        <v>123</v>
      </c>
      <c r="C8">
        <f>IFERROR(HistoricalFS!D18/HistoricalFS!C18-1,0)</f>
        <v>-0.22936587208052905</v>
      </c>
      <c r="D8">
        <f>IFERROR(HistoricalFS!E18/HistoricalFS!D18-1,0)</f>
        <v>6.3165689322506102E-2</v>
      </c>
      <c r="E8">
        <f>IFERROR(HistoricalFS!F18/HistoricalFS!E18-1,0)</f>
        <v>-0.21595203460649259</v>
      </c>
      <c r="F8">
        <f>IFERROR(HistoricalFS!G18/HistoricalFS!F18-1,0)</f>
        <v>-0.27072537547138131</v>
      </c>
      <c r="G8">
        <f>IFERROR(HistoricalFS!H18/HistoricalFS!G18-1,0)</f>
        <v>0.79503554497758966</v>
      </c>
      <c r="H8">
        <f>IFERROR(HistoricalFS!I18/HistoricalFS!H18-1,0)</f>
        <v>-0.234374182150762</v>
      </c>
      <c r="I8">
        <f>IFERROR(HistoricalFS!J18/HistoricalFS!I18-1,0)</f>
        <v>0.28704223973294352</v>
      </c>
      <c r="J8">
        <f>IFERROR(HistoricalFS!K18/HistoricalFS!J18-1,0)</f>
        <v>0.81746176428064277</v>
      </c>
      <c r="K8">
        <f>IFERROR(HistoricalFS!L18/HistoricalFS!K18-1,0)</f>
        <v>-4.510237963475372E-2</v>
      </c>
      <c r="L8">
        <f>IFERROR(HistoricalFS!M18/HistoricalFS!L18-1,0)</f>
        <v>-1</v>
      </c>
    </row>
    <row r="9" spans="2:12" x14ac:dyDescent="0.25">
      <c r="B9" t="s">
        <v>124</v>
      </c>
      <c r="C9">
        <f>IFERROR((HistoricalFS!D18-HistoricalFS!D24)/(HistoricalFS!C18-HistoricalFS!C24)-1,0)</f>
        <v>-0.46119503958362551</v>
      </c>
      <c r="D9">
        <f>IFERROR((HistoricalFS!E18-HistoricalFS!E24)/(HistoricalFS!D18-HistoricalFS!D24)-1,0)</f>
        <v>-0.15231561919597769</v>
      </c>
      <c r="E9">
        <f>IFERROR((HistoricalFS!F18-HistoricalFS!F24)/(HistoricalFS!E18-HistoricalFS!E24)-1,0)</f>
        <v>-0.89159024201112635</v>
      </c>
      <c r="F9">
        <f>IFERROR((HistoricalFS!G18-HistoricalFS!G24)/(HistoricalFS!F18-HistoricalFS!F24)-1,0)</f>
        <v>-4.2023470243084331</v>
      </c>
      <c r="G9">
        <f>IFERROR((HistoricalFS!H18-HistoricalFS!H24)/(HistoricalFS!G18-HistoricalFS!G24)-1,0)</f>
        <v>-3.5421189171581497</v>
      </c>
      <c r="H9">
        <f>IFERROR((HistoricalFS!I18-HistoricalFS!I24)/(HistoricalFS!H18-HistoricalFS!H24)-1,0)</f>
        <v>-1.0132254551112476</v>
      </c>
      <c r="I9">
        <f>IFERROR((HistoricalFS!J18-HistoricalFS!J24)/(HistoricalFS!I18-HistoricalFS!I24)-1,0)</f>
        <v>-61.168166089973369</v>
      </c>
      <c r="J9">
        <f>IFERROR((HistoricalFS!K18-HistoricalFS!K24)/(HistoricalFS!J18-HistoricalFS!J24)-1,0)</f>
        <v>3.3972775266554214</v>
      </c>
      <c r="K9">
        <f>IFERROR((HistoricalFS!L18-HistoricalFS!L24)/(HistoricalFS!K18-HistoricalFS!K24)-1,0)</f>
        <v>4.4956678110184667E-2</v>
      </c>
      <c r="L9">
        <f>IFERROR((HistoricalFS!M18-HistoricalFS!M24)/(HistoricalFS!L18-HistoricalFS!L24)-1,0)</f>
        <v>-1.7281914893617021</v>
      </c>
    </row>
    <row r="10" spans="2:12" x14ac:dyDescent="0.25">
      <c r="B10" t="s">
        <v>125</v>
      </c>
      <c r="C10">
        <f>IFERROR(HistoricalFS!D33/HistoricalFS!C33-1,0)</f>
        <v>-0.69539895165986787</v>
      </c>
      <c r="D10">
        <f>IFERROR(HistoricalFS!E33/HistoricalFS!D33-1,0)</f>
        <v>-0.79011124197155724</v>
      </c>
      <c r="E10">
        <f>IFERROR(HistoricalFS!F33/HistoricalFS!E33-1,0)</f>
        <v>-3.5528470983790919</v>
      </c>
      <c r="F10">
        <f>IFERROR(HistoricalFS!G33/HistoricalFS!F33-1,0)</f>
        <v>3.9286702707513577</v>
      </c>
      <c r="G10">
        <f>IFERROR(HistoricalFS!H33/HistoricalFS!G33-1,0)</f>
        <v>-0.82862505348950144</v>
      </c>
      <c r="H10">
        <f>IFERROR(HistoricalFS!I33/HistoricalFS!H33-1,0)</f>
        <v>6.1952157445306248</v>
      </c>
      <c r="I10">
        <f>IFERROR(HistoricalFS!J33/HistoricalFS!I33-1,0)</f>
        <v>-0.7090436533357708</v>
      </c>
      <c r="J10">
        <f>IFERROR(HistoricalFS!K33/HistoricalFS!J33-1,0)</f>
        <v>-7.7977655318184613</v>
      </c>
      <c r="K10">
        <f>IFERROR(HistoricalFS!L33/HistoricalFS!K33-1,0)</f>
        <v>-0.39385526559318895</v>
      </c>
      <c r="L10">
        <f>IFERROR(HistoricalFS!M33/HistoricalFS!L33-1,0)</f>
        <v>0.39145038167938928</v>
      </c>
    </row>
    <row r="11" spans="2:12" x14ac:dyDescent="0.25">
      <c r="B11" t="s">
        <v>126</v>
      </c>
    </row>
  </sheetData>
  <mergeCells count="1">
    <mergeCell ref="B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26C6A-E040-4878-A311-8C1C42B11DF9}">
  <sheetPr>
    <tabColor theme="7" tint="-0.499984740745262"/>
  </sheetPr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68" zoomScaleNormal="120" zoomScalePageLayoutView="120" workbookViewId="0">
      <pane xSplit="1" ySplit="1" topLeftCell="B41" activePane="bottomRight" state="frozen"/>
      <selection activeCell="C4" sqref="C4"/>
      <selection pane="topRight" activeCell="C4" sqref="C4"/>
      <selection pane="bottomLeft" activeCell="C4" sqref="C4"/>
      <selection pane="bottomRight" activeCell="A57" sqref="A57:A69"/>
    </sheetView>
  </sheetViews>
  <sheetFormatPr defaultColWidth="8.85546875" defaultRowHeight="15" x14ac:dyDescent="0.25"/>
  <cols>
    <col min="1" max="1" width="27.7109375" style="2" bestFit="1" customWidth="1"/>
    <col min="2" max="11" width="13.42578125" style="2" bestFit="1" customWidth="1"/>
    <col min="12" max="16384" width="8.85546875" style="2"/>
  </cols>
  <sheetData>
    <row r="1" spans="1:11" s="1" customFormat="1" x14ac:dyDescent="0.25">
      <c r="A1" s="1" t="s">
        <v>0</v>
      </c>
      <c r="B1" s="1" t="s">
        <v>32</v>
      </c>
      <c r="E1" s="35" t="str">
        <f>IF(B2&lt;&gt;B3, "A NEW VERSION OF THE WORKSHEET IS AVAILABLE", "")</f>
        <v/>
      </c>
      <c r="F1" s="35"/>
      <c r="G1" s="35"/>
      <c r="H1" s="35"/>
      <c r="I1" s="35"/>
      <c r="J1" s="35"/>
      <c r="K1" s="35"/>
    </row>
    <row r="2" spans="1:11" x14ac:dyDescent="0.25">
      <c r="A2" s="1" t="s">
        <v>30</v>
      </c>
      <c r="B2" s="2">
        <v>2.1</v>
      </c>
      <c r="E2" s="36" t="s">
        <v>21</v>
      </c>
      <c r="F2" s="36"/>
      <c r="G2" s="36"/>
      <c r="H2" s="36"/>
      <c r="I2" s="36"/>
      <c r="J2" s="36"/>
      <c r="K2" s="36"/>
    </row>
    <row r="3" spans="1:11" x14ac:dyDescent="0.25">
      <c r="A3" s="1" t="s">
        <v>31</v>
      </c>
      <c r="B3" s="2">
        <v>2.1</v>
      </c>
    </row>
    <row r="4" spans="1:11" x14ac:dyDescent="0.25">
      <c r="A4" s="1"/>
    </row>
    <row r="5" spans="1:11" x14ac:dyDescent="0.25">
      <c r="A5" s="1" t="s">
        <v>33</v>
      </c>
    </row>
    <row r="6" spans="1:11" x14ac:dyDescent="0.25">
      <c r="A6" s="2" t="s">
        <v>27</v>
      </c>
      <c r="B6" s="2">
        <f>IF(B9&gt;0, B9/B8, 0)</f>
        <v>368.14623066104076</v>
      </c>
    </row>
    <row r="7" spans="1:11" x14ac:dyDescent="0.25">
      <c r="A7" s="2" t="s">
        <v>16</v>
      </c>
      <c r="B7">
        <v>2</v>
      </c>
    </row>
    <row r="8" spans="1:11" x14ac:dyDescent="0.25">
      <c r="A8" s="2" t="s">
        <v>28</v>
      </c>
      <c r="B8">
        <v>711</v>
      </c>
    </row>
    <row r="9" spans="1:11" x14ac:dyDescent="0.25">
      <c r="A9" s="2" t="s">
        <v>43</v>
      </c>
      <c r="B9">
        <v>261751.97</v>
      </c>
    </row>
    <row r="15" spans="1:11" x14ac:dyDescent="0.25">
      <c r="A15" s="1" t="s">
        <v>22</v>
      </c>
    </row>
    <row r="16" spans="1:11" s="6" customFormat="1" x14ac:dyDescent="0.25">
      <c r="A16" s="5" t="s">
        <v>23</v>
      </c>
      <c r="B16" s="4">
        <v>42460</v>
      </c>
      <c r="C16" s="4">
        <v>42825</v>
      </c>
      <c r="D16" s="4">
        <v>43190</v>
      </c>
      <c r="E16" s="4">
        <v>43555</v>
      </c>
      <c r="F16" s="4">
        <v>43921</v>
      </c>
      <c r="G16" s="4">
        <v>44286</v>
      </c>
      <c r="H16" s="4">
        <v>44651</v>
      </c>
      <c r="I16" s="4">
        <v>45016</v>
      </c>
      <c r="J16" s="4">
        <v>45382</v>
      </c>
      <c r="K16" s="4">
        <v>45747</v>
      </c>
    </row>
    <row r="17" spans="1:11" s="3" customFormat="1" x14ac:dyDescent="0.25">
      <c r="A17" s="3" t="s">
        <v>1</v>
      </c>
      <c r="B17">
        <v>273045.59999999998</v>
      </c>
      <c r="C17">
        <v>269692.51</v>
      </c>
      <c r="D17">
        <v>291550.48</v>
      </c>
      <c r="E17">
        <v>301938.40000000002</v>
      </c>
      <c r="F17">
        <v>261067.97</v>
      </c>
      <c r="G17">
        <v>249794.75</v>
      </c>
      <c r="H17">
        <v>278453.62</v>
      </c>
      <c r="I17">
        <v>345966.97</v>
      </c>
      <c r="J17">
        <v>434016</v>
      </c>
      <c r="K17">
        <v>439695</v>
      </c>
    </row>
    <row r="18" spans="1:11" s="3" customFormat="1" x14ac:dyDescent="0.25">
      <c r="A18" s="2" t="s">
        <v>44</v>
      </c>
      <c r="B18">
        <v>166134.01</v>
      </c>
      <c r="C18">
        <v>173294.07999999999</v>
      </c>
      <c r="D18">
        <v>187896.58</v>
      </c>
      <c r="E18">
        <v>194267.91</v>
      </c>
      <c r="F18">
        <v>164899.82</v>
      </c>
      <c r="G18">
        <v>153607.35999999999</v>
      </c>
      <c r="H18">
        <v>179295.33</v>
      </c>
      <c r="I18">
        <v>231251.26</v>
      </c>
      <c r="J18">
        <v>274321</v>
      </c>
      <c r="K18">
        <v>268950</v>
      </c>
    </row>
    <row r="19" spans="1:11" s="3" customFormat="1" x14ac:dyDescent="0.25">
      <c r="A19" s="2" t="s">
        <v>45</v>
      </c>
      <c r="B19">
        <v>2750.99</v>
      </c>
      <c r="C19">
        <v>7399.92</v>
      </c>
      <c r="D19">
        <v>2046.58</v>
      </c>
      <c r="E19">
        <v>-2053.2800000000002</v>
      </c>
      <c r="F19">
        <v>-2231.19</v>
      </c>
      <c r="G19">
        <v>-4684.16</v>
      </c>
      <c r="H19">
        <v>-1590.49</v>
      </c>
      <c r="I19">
        <v>4781.62</v>
      </c>
      <c r="J19">
        <v>1566</v>
      </c>
      <c r="K19">
        <v>-2836</v>
      </c>
    </row>
    <row r="20" spans="1:11" s="3" customFormat="1" x14ac:dyDescent="0.25">
      <c r="A20" s="2" t="s">
        <v>46</v>
      </c>
      <c r="B20">
        <v>1143.6300000000001</v>
      </c>
      <c r="C20">
        <v>1159.82</v>
      </c>
      <c r="D20">
        <v>1308.08</v>
      </c>
      <c r="E20">
        <v>1585.93</v>
      </c>
      <c r="F20">
        <v>1264.95</v>
      </c>
      <c r="G20">
        <v>1112.8699999999999</v>
      </c>
      <c r="H20">
        <v>2178.29</v>
      </c>
      <c r="I20">
        <v>2513.33</v>
      </c>
      <c r="J20">
        <v>2189</v>
      </c>
      <c r="K20">
        <v>2443</v>
      </c>
    </row>
    <row r="21" spans="1:11" s="3" customFormat="1" x14ac:dyDescent="0.25">
      <c r="A21" s="2" t="s">
        <v>47</v>
      </c>
      <c r="B21">
        <v>12101.53</v>
      </c>
      <c r="C21">
        <v>10067.370000000001</v>
      </c>
      <c r="D21">
        <v>10971.66</v>
      </c>
      <c r="E21">
        <v>11694.54</v>
      </c>
      <c r="F21">
        <v>11541.51</v>
      </c>
      <c r="G21">
        <v>8273.17</v>
      </c>
      <c r="H21">
        <v>9427.3799999999992</v>
      </c>
      <c r="I21">
        <v>11765.97</v>
      </c>
      <c r="J21">
        <v>17446</v>
      </c>
      <c r="K21">
        <v>18813</v>
      </c>
    </row>
    <row r="22" spans="1:11" s="3" customFormat="1" x14ac:dyDescent="0.25">
      <c r="A22" s="2" t="s">
        <v>48</v>
      </c>
      <c r="B22">
        <v>28880.89</v>
      </c>
      <c r="C22">
        <v>28332.89</v>
      </c>
      <c r="D22">
        <v>30300.09</v>
      </c>
      <c r="E22">
        <v>33243.870000000003</v>
      </c>
      <c r="F22">
        <v>30438.6</v>
      </c>
      <c r="G22">
        <v>27648.48</v>
      </c>
      <c r="H22">
        <v>30808.52</v>
      </c>
      <c r="I22">
        <v>33654.699999999997</v>
      </c>
      <c r="J22">
        <v>41990</v>
      </c>
      <c r="K22">
        <v>47767</v>
      </c>
    </row>
    <row r="23" spans="1:11" s="3" customFormat="1" x14ac:dyDescent="0.25">
      <c r="A23" s="2" t="s">
        <v>49</v>
      </c>
      <c r="B23">
        <v>21991.9</v>
      </c>
      <c r="C23">
        <v>30039.38</v>
      </c>
      <c r="D23">
        <v>31004.58</v>
      </c>
      <c r="E23">
        <v>32719.8</v>
      </c>
      <c r="F23">
        <v>29248.32</v>
      </c>
      <c r="G23">
        <v>23015.79</v>
      </c>
      <c r="H23">
        <v>29205.4</v>
      </c>
      <c r="I23">
        <v>34839.19</v>
      </c>
      <c r="J23">
        <v>42765</v>
      </c>
      <c r="K23">
        <v>47099</v>
      </c>
    </row>
    <row r="24" spans="1:11" s="3" customFormat="1" x14ac:dyDescent="0.25">
      <c r="A24" s="2" t="s">
        <v>50</v>
      </c>
      <c r="B24">
        <v>7149.38</v>
      </c>
      <c r="C24">
        <v>4610.2</v>
      </c>
      <c r="D24">
        <v>658.39</v>
      </c>
      <c r="E24">
        <v>1708.74</v>
      </c>
      <c r="F24">
        <v>3456.51</v>
      </c>
      <c r="G24">
        <v>-834.51</v>
      </c>
      <c r="H24">
        <v>1228.1199999999999</v>
      </c>
      <c r="I24">
        <v>4908.34</v>
      </c>
      <c r="J24">
        <v>-953</v>
      </c>
      <c r="K24">
        <v>-3429</v>
      </c>
    </row>
    <row r="25" spans="1:11" s="3" customFormat="1" x14ac:dyDescent="0.25">
      <c r="A25" s="3" t="s">
        <v>4</v>
      </c>
      <c r="B25">
        <v>-2669.62</v>
      </c>
      <c r="C25">
        <v>1869.1</v>
      </c>
      <c r="D25">
        <v>5932.73</v>
      </c>
      <c r="E25">
        <v>-26686.25</v>
      </c>
      <c r="F25">
        <v>101.71</v>
      </c>
      <c r="G25">
        <v>-11117.83</v>
      </c>
      <c r="H25">
        <v>2424.0500000000002</v>
      </c>
      <c r="I25">
        <v>6663.97</v>
      </c>
      <c r="J25">
        <v>4792</v>
      </c>
      <c r="K25">
        <v>11774</v>
      </c>
    </row>
    <row r="26" spans="1:11" s="3" customFormat="1" x14ac:dyDescent="0.25">
      <c r="A26" s="3" t="s">
        <v>5</v>
      </c>
      <c r="B26">
        <v>16710.78</v>
      </c>
      <c r="C26">
        <v>17904.990000000002</v>
      </c>
      <c r="D26">
        <v>21553.59</v>
      </c>
      <c r="E26">
        <v>23590.63</v>
      </c>
      <c r="F26">
        <v>21425.43</v>
      </c>
      <c r="G26">
        <v>23546.71</v>
      </c>
      <c r="H26">
        <v>24835.69</v>
      </c>
      <c r="I26">
        <v>24860.36</v>
      </c>
      <c r="J26">
        <v>27239</v>
      </c>
      <c r="K26">
        <v>23256</v>
      </c>
    </row>
    <row r="27" spans="1:11" s="3" customFormat="1" x14ac:dyDescent="0.25">
      <c r="A27" s="3" t="s">
        <v>6</v>
      </c>
      <c r="B27">
        <v>4889.08</v>
      </c>
      <c r="C27">
        <v>4238.01</v>
      </c>
      <c r="D27">
        <v>4681.79</v>
      </c>
      <c r="E27">
        <v>5758.6</v>
      </c>
      <c r="F27">
        <v>7243.33</v>
      </c>
      <c r="G27">
        <v>8097.17</v>
      </c>
      <c r="H27">
        <v>9311.86</v>
      </c>
      <c r="I27">
        <v>10225.48</v>
      </c>
      <c r="J27">
        <v>7594</v>
      </c>
      <c r="K27">
        <v>5083</v>
      </c>
    </row>
    <row r="28" spans="1:11" s="3" customFormat="1" x14ac:dyDescent="0.25">
      <c r="A28" s="3" t="s">
        <v>7</v>
      </c>
      <c r="B28">
        <v>14125.77</v>
      </c>
      <c r="C28">
        <v>9314.7900000000009</v>
      </c>
      <c r="D28">
        <v>11155.03</v>
      </c>
      <c r="E28">
        <v>-31371.15</v>
      </c>
      <c r="F28">
        <v>-10579.98</v>
      </c>
      <c r="G28">
        <v>-10474.280000000001</v>
      </c>
      <c r="H28">
        <v>-7003.41</v>
      </c>
      <c r="I28">
        <v>3393.93</v>
      </c>
      <c r="J28">
        <v>27783</v>
      </c>
      <c r="K28">
        <v>38651</v>
      </c>
    </row>
    <row r="29" spans="1:11" s="3" customFormat="1" x14ac:dyDescent="0.25">
      <c r="A29" s="3" t="s">
        <v>8</v>
      </c>
      <c r="B29">
        <v>3025.05</v>
      </c>
      <c r="C29">
        <v>3251.23</v>
      </c>
      <c r="D29">
        <v>4341.93</v>
      </c>
      <c r="E29">
        <v>-2437.4499999999998</v>
      </c>
      <c r="F29">
        <v>395.25</v>
      </c>
      <c r="G29">
        <v>2541.86</v>
      </c>
      <c r="H29">
        <v>4231.29</v>
      </c>
      <c r="I29">
        <v>704.06</v>
      </c>
      <c r="J29">
        <v>-4024</v>
      </c>
      <c r="K29">
        <v>10502</v>
      </c>
    </row>
    <row r="30" spans="1:11" s="3" customFormat="1" x14ac:dyDescent="0.25">
      <c r="A30" s="3" t="s">
        <v>9</v>
      </c>
      <c r="B30">
        <v>11579.31</v>
      </c>
      <c r="C30">
        <v>7454.36</v>
      </c>
      <c r="D30">
        <v>8988.91</v>
      </c>
      <c r="E30">
        <v>-28826.23</v>
      </c>
      <c r="F30">
        <v>-12070.85</v>
      </c>
      <c r="G30">
        <v>-13451.39</v>
      </c>
      <c r="H30">
        <v>-11441.47</v>
      </c>
      <c r="I30">
        <v>2414.29</v>
      </c>
      <c r="J30">
        <v>31399</v>
      </c>
      <c r="K30">
        <v>27830</v>
      </c>
    </row>
    <row r="31" spans="1:11" s="3" customFormat="1" x14ac:dyDescent="0.25">
      <c r="A31" s="3" t="s">
        <v>34</v>
      </c>
      <c r="B31">
        <v>67.92</v>
      </c>
      <c r="I31">
        <v>766.02</v>
      </c>
      <c r="J31">
        <v>2301</v>
      </c>
      <c r="K31">
        <v>2208</v>
      </c>
    </row>
    <row r="32" spans="1:11" s="3" customFormat="1" x14ac:dyDescent="0.25"/>
    <row r="33" spans="1:11" x14ac:dyDescent="0.25">
      <c r="A33" s="3"/>
    </row>
    <row r="34" spans="1:11" x14ac:dyDescent="0.25">
      <c r="A34" s="3"/>
    </row>
    <row r="35" spans="1:11" x14ac:dyDescent="0.25">
      <c r="A35" s="3"/>
    </row>
    <row r="36" spans="1:11" x14ac:dyDescent="0.25">
      <c r="A36" s="3"/>
    </row>
    <row r="37" spans="1:11" x14ac:dyDescent="0.25">
      <c r="A37" s="3"/>
    </row>
    <row r="38" spans="1:11" x14ac:dyDescent="0.25">
      <c r="A38" s="3"/>
    </row>
    <row r="39" spans="1:11" x14ac:dyDescent="0.25">
      <c r="A39" s="3"/>
    </row>
    <row r="40" spans="1:11" x14ac:dyDescent="0.25">
      <c r="A40" s="1" t="s">
        <v>24</v>
      </c>
    </row>
    <row r="41" spans="1:11" s="6" customFormat="1" x14ac:dyDescent="0.25">
      <c r="A41" s="5" t="s">
        <v>23</v>
      </c>
      <c r="B41" s="4">
        <v>44926</v>
      </c>
      <c r="C41" s="4">
        <v>45016</v>
      </c>
      <c r="D41" s="4">
        <v>45107</v>
      </c>
      <c r="E41" s="4">
        <v>45199</v>
      </c>
      <c r="F41" s="4">
        <v>45291</v>
      </c>
      <c r="G41" s="4">
        <v>45382</v>
      </c>
      <c r="H41" s="4">
        <v>45473</v>
      </c>
      <c r="I41" s="4">
        <v>45565</v>
      </c>
      <c r="J41" s="4">
        <v>45657</v>
      </c>
      <c r="K41" s="4">
        <v>45747</v>
      </c>
    </row>
    <row r="42" spans="1:11" s="3" customFormat="1" x14ac:dyDescent="0.25">
      <c r="A42" s="3" t="s">
        <v>1</v>
      </c>
      <c r="B42">
        <v>88488.59</v>
      </c>
      <c r="C42">
        <v>105932.35</v>
      </c>
      <c r="D42">
        <v>102236</v>
      </c>
      <c r="E42">
        <v>105129</v>
      </c>
      <c r="F42">
        <v>110577</v>
      </c>
      <c r="G42">
        <v>119033</v>
      </c>
      <c r="H42">
        <v>108048</v>
      </c>
      <c r="I42">
        <v>101450</v>
      </c>
      <c r="J42">
        <v>112608</v>
      </c>
      <c r="K42">
        <v>119503</v>
      </c>
    </row>
    <row r="43" spans="1:11" s="3" customFormat="1" x14ac:dyDescent="0.25">
      <c r="A43" s="3" t="s">
        <v>2</v>
      </c>
      <c r="B43">
        <v>77668.350000000006</v>
      </c>
      <c r="C43">
        <v>92817.95</v>
      </c>
      <c r="D43">
        <v>89019</v>
      </c>
      <c r="E43">
        <v>91362</v>
      </c>
      <c r="F43">
        <v>95159</v>
      </c>
      <c r="G43">
        <v>102348</v>
      </c>
      <c r="H43">
        <v>92263</v>
      </c>
      <c r="I43">
        <v>89291</v>
      </c>
      <c r="J43">
        <v>100185</v>
      </c>
      <c r="K43">
        <v>102685</v>
      </c>
    </row>
    <row r="44" spans="1:11" s="3" customFormat="1" x14ac:dyDescent="0.25">
      <c r="A44" s="3" t="s">
        <v>4</v>
      </c>
      <c r="B44">
        <v>1129.98</v>
      </c>
      <c r="C44">
        <v>1452.86</v>
      </c>
      <c r="D44">
        <v>895</v>
      </c>
      <c r="E44">
        <v>1557</v>
      </c>
      <c r="F44">
        <v>1604</v>
      </c>
      <c r="G44">
        <v>1412</v>
      </c>
      <c r="H44">
        <v>1747</v>
      </c>
      <c r="I44">
        <v>1647</v>
      </c>
      <c r="J44">
        <v>1700</v>
      </c>
      <c r="K44">
        <v>1057</v>
      </c>
    </row>
    <row r="45" spans="1:11" s="3" customFormat="1" x14ac:dyDescent="0.25">
      <c r="A45" s="3" t="s">
        <v>5</v>
      </c>
      <c r="B45">
        <v>6071.78</v>
      </c>
      <c r="C45">
        <v>7050.2</v>
      </c>
      <c r="D45">
        <v>6633</v>
      </c>
      <c r="E45">
        <v>6637</v>
      </c>
      <c r="F45">
        <v>6850</v>
      </c>
      <c r="G45">
        <v>7143</v>
      </c>
      <c r="H45">
        <v>6574</v>
      </c>
      <c r="I45">
        <v>6005</v>
      </c>
      <c r="J45">
        <v>5399</v>
      </c>
      <c r="K45">
        <v>5295</v>
      </c>
    </row>
    <row r="46" spans="1:11" s="3" customFormat="1" x14ac:dyDescent="0.25">
      <c r="A46" s="3" t="s">
        <v>6</v>
      </c>
      <c r="B46">
        <v>2675.83</v>
      </c>
      <c r="C46">
        <v>2641.67</v>
      </c>
      <c r="D46">
        <v>2615</v>
      </c>
      <c r="E46">
        <v>2652</v>
      </c>
      <c r="F46">
        <v>2485</v>
      </c>
      <c r="G46">
        <v>1645</v>
      </c>
      <c r="H46">
        <v>2088</v>
      </c>
      <c r="I46">
        <v>2034</v>
      </c>
      <c r="J46">
        <v>1119</v>
      </c>
      <c r="K46">
        <v>1076</v>
      </c>
    </row>
    <row r="47" spans="1:11" s="3" customFormat="1" x14ac:dyDescent="0.25">
      <c r="A47" s="3" t="s">
        <v>7</v>
      </c>
      <c r="B47">
        <v>3202.61</v>
      </c>
      <c r="C47">
        <v>4875.3900000000003</v>
      </c>
      <c r="D47">
        <v>4864</v>
      </c>
      <c r="E47">
        <v>6035</v>
      </c>
      <c r="F47">
        <v>7687</v>
      </c>
      <c r="G47">
        <v>9309</v>
      </c>
      <c r="H47">
        <v>8870</v>
      </c>
      <c r="I47">
        <v>5767</v>
      </c>
      <c r="J47">
        <v>7605</v>
      </c>
      <c r="K47">
        <v>11504</v>
      </c>
    </row>
    <row r="48" spans="1:11" s="3" customFormat="1" x14ac:dyDescent="0.25">
      <c r="A48" s="3" t="s">
        <v>8</v>
      </c>
      <c r="B48">
        <v>262.83</v>
      </c>
      <c r="C48">
        <v>-620.65</v>
      </c>
      <c r="D48">
        <v>1563</v>
      </c>
      <c r="E48">
        <v>2203</v>
      </c>
      <c r="F48">
        <v>542</v>
      </c>
      <c r="G48">
        <v>-8219</v>
      </c>
      <c r="H48">
        <v>3178</v>
      </c>
      <c r="I48">
        <v>2317</v>
      </c>
      <c r="J48">
        <v>2120</v>
      </c>
      <c r="K48">
        <v>2948</v>
      </c>
    </row>
    <row r="49" spans="1:11" s="3" customFormat="1" x14ac:dyDescent="0.25">
      <c r="A49" s="3" t="s">
        <v>9</v>
      </c>
      <c r="B49">
        <v>2957.71</v>
      </c>
      <c r="C49">
        <v>5407.79</v>
      </c>
      <c r="D49">
        <v>3203</v>
      </c>
      <c r="E49">
        <v>3764</v>
      </c>
      <c r="F49">
        <v>7025</v>
      </c>
      <c r="G49">
        <v>17407</v>
      </c>
      <c r="H49">
        <v>5566</v>
      </c>
      <c r="I49">
        <v>3343</v>
      </c>
      <c r="J49">
        <v>5406</v>
      </c>
      <c r="K49">
        <v>8470</v>
      </c>
    </row>
    <row r="50" spans="1:11" x14ac:dyDescent="0.25">
      <c r="A50" s="3" t="s">
        <v>3</v>
      </c>
      <c r="B50">
        <v>10820.24</v>
      </c>
      <c r="C50">
        <v>13114.4</v>
      </c>
      <c r="D50">
        <v>13217</v>
      </c>
      <c r="E50">
        <v>13767</v>
      </c>
      <c r="F50">
        <v>15418</v>
      </c>
      <c r="G50">
        <v>16685</v>
      </c>
      <c r="H50">
        <v>15785</v>
      </c>
      <c r="I50">
        <v>12159</v>
      </c>
      <c r="J50">
        <v>12423</v>
      </c>
      <c r="K50">
        <v>16818</v>
      </c>
    </row>
    <row r="51" spans="1:11" x14ac:dyDescent="0.25">
      <c r="A51" s="3"/>
    </row>
    <row r="52" spans="1:11" x14ac:dyDescent="0.25">
      <c r="A52" s="3"/>
    </row>
    <row r="53" spans="1:11" x14ac:dyDescent="0.25">
      <c r="A53" s="3"/>
    </row>
    <row r="54" spans="1:11" x14ac:dyDescent="0.25">
      <c r="A54" s="3"/>
    </row>
    <row r="55" spans="1:11" x14ac:dyDescent="0.25">
      <c r="A55" s="1" t="s">
        <v>25</v>
      </c>
    </row>
    <row r="56" spans="1:11" s="6" customFormat="1" x14ac:dyDescent="0.25">
      <c r="A56" s="5" t="s">
        <v>23</v>
      </c>
      <c r="B56" s="4">
        <v>42460</v>
      </c>
      <c r="C56" s="4">
        <v>42825</v>
      </c>
      <c r="D56" s="4">
        <v>43190</v>
      </c>
      <c r="E56" s="4">
        <v>43555</v>
      </c>
      <c r="F56" s="4">
        <v>43921</v>
      </c>
      <c r="G56" s="4">
        <v>44286</v>
      </c>
      <c r="H56" s="4">
        <v>44651</v>
      </c>
      <c r="I56" s="4">
        <v>45016</v>
      </c>
      <c r="J56" s="4">
        <v>45382</v>
      </c>
      <c r="K56" s="4">
        <v>45747</v>
      </c>
    </row>
    <row r="57" spans="1:11" x14ac:dyDescent="0.25">
      <c r="A57" s="3" t="s">
        <v>10</v>
      </c>
      <c r="B57">
        <v>679.18</v>
      </c>
      <c r="C57">
        <v>679.22</v>
      </c>
      <c r="D57">
        <v>679.22</v>
      </c>
      <c r="E57">
        <v>679.22</v>
      </c>
      <c r="F57">
        <v>719.54</v>
      </c>
      <c r="G57">
        <v>765.81</v>
      </c>
      <c r="H57">
        <v>765.88</v>
      </c>
      <c r="I57">
        <v>766.02</v>
      </c>
      <c r="J57">
        <v>767</v>
      </c>
      <c r="K57">
        <v>736</v>
      </c>
    </row>
    <row r="58" spans="1:11" x14ac:dyDescent="0.25">
      <c r="A58" s="3" t="s">
        <v>11</v>
      </c>
      <c r="B58">
        <v>78273.23</v>
      </c>
      <c r="C58">
        <v>57382.67</v>
      </c>
      <c r="D58">
        <v>94748.69</v>
      </c>
      <c r="E58">
        <v>59500.34</v>
      </c>
      <c r="F58">
        <v>62358.99</v>
      </c>
      <c r="G58">
        <v>54480.91</v>
      </c>
      <c r="H58">
        <v>43795.360000000001</v>
      </c>
      <c r="I58">
        <v>44555.77</v>
      </c>
      <c r="J58">
        <v>84151</v>
      </c>
      <c r="K58">
        <v>115408</v>
      </c>
    </row>
    <row r="59" spans="1:11" x14ac:dyDescent="0.25">
      <c r="A59" s="3" t="s">
        <v>35</v>
      </c>
      <c r="B59">
        <v>69359.960000000006</v>
      </c>
      <c r="C59">
        <v>78603.98</v>
      </c>
      <c r="D59">
        <v>88950.47</v>
      </c>
      <c r="E59">
        <v>106175.34</v>
      </c>
      <c r="F59">
        <v>124787.64</v>
      </c>
      <c r="G59">
        <v>142130.57</v>
      </c>
      <c r="H59">
        <v>146449.03</v>
      </c>
      <c r="I59">
        <v>134113.44</v>
      </c>
      <c r="J59">
        <v>107264</v>
      </c>
      <c r="K59">
        <v>71540</v>
      </c>
    </row>
    <row r="60" spans="1:11" x14ac:dyDescent="0.25">
      <c r="A60" s="3" t="s">
        <v>36</v>
      </c>
      <c r="B60">
        <v>114871.75</v>
      </c>
      <c r="C60">
        <v>135914.49</v>
      </c>
      <c r="D60">
        <v>142813.43</v>
      </c>
      <c r="E60">
        <v>139348.59</v>
      </c>
      <c r="F60">
        <v>132313.22</v>
      </c>
      <c r="G60">
        <v>144192.62</v>
      </c>
      <c r="H60">
        <v>138051.22</v>
      </c>
      <c r="I60">
        <v>155239.20000000001</v>
      </c>
      <c r="J60">
        <v>177339</v>
      </c>
      <c r="K60">
        <v>189289</v>
      </c>
    </row>
    <row r="61" spans="1:11" s="1" customFormat="1" x14ac:dyDescent="0.25">
      <c r="A61" s="1" t="s">
        <v>12</v>
      </c>
      <c r="B61">
        <v>263184.12</v>
      </c>
      <c r="C61">
        <v>272580.36</v>
      </c>
      <c r="D61">
        <v>327191.81</v>
      </c>
      <c r="E61">
        <v>305703.49</v>
      </c>
      <c r="F61">
        <v>320179.39</v>
      </c>
      <c r="G61">
        <v>341569.91</v>
      </c>
      <c r="H61">
        <v>329061.49</v>
      </c>
      <c r="I61">
        <v>334674.43</v>
      </c>
      <c r="J61">
        <v>369521</v>
      </c>
      <c r="K61">
        <v>376973</v>
      </c>
    </row>
    <row r="62" spans="1:11" x14ac:dyDescent="0.25">
      <c r="A62" s="3" t="s">
        <v>13</v>
      </c>
      <c r="B62">
        <v>107231.76</v>
      </c>
      <c r="C62">
        <v>95944.08</v>
      </c>
      <c r="D62">
        <v>121413.86</v>
      </c>
      <c r="E62">
        <v>111234.47</v>
      </c>
      <c r="F62">
        <v>127107.14</v>
      </c>
      <c r="G62">
        <v>138707.60999999999</v>
      </c>
      <c r="H62">
        <v>138855.45000000001</v>
      </c>
      <c r="I62">
        <v>132079.76</v>
      </c>
      <c r="J62">
        <v>121285</v>
      </c>
      <c r="K62">
        <v>115697</v>
      </c>
    </row>
    <row r="63" spans="1:11" x14ac:dyDescent="0.25">
      <c r="A63" s="3" t="s">
        <v>14</v>
      </c>
      <c r="B63">
        <v>25918.94</v>
      </c>
      <c r="C63">
        <v>33698.839999999997</v>
      </c>
      <c r="D63">
        <v>40033.5</v>
      </c>
      <c r="E63">
        <v>31883.84</v>
      </c>
      <c r="F63">
        <v>35622.29</v>
      </c>
      <c r="G63">
        <v>20963.93</v>
      </c>
      <c r="H63">
        <v>10251.09</v>
      </c>
      <c r="I63">
        <v>14274.5</v>
      </c>
      <c r="J63">
        <v>35698</v>
      </c>
      <c r="K63">
        <v>65806</v>
      </c>
    </row>
    <row r="64" spans="1:11" x14ac:dyDescent="0.25">
      <c r="A64" s="3" t="s">
        <v>15</v>
      </c>
      <c r="B64">
        <v>23767.02</v>
      </c>
      <c r="C64">
        <v>20337.919999999998</v>
      </c>
      <c r="D64">
        <v>20812.75</v>
      </c>
      <c r="E64">
        <v>15770.72</v>
      </c>
      <c r="F64">
        <v>16308.48</v>
      </c>
      <c r="G64">
        <v>24620.28</v>
      </c>
      <c r="H64">
        <v>29379.53</v>
      </c>
      <c r="I64">
        <v>26379.16</v>
      </c>
      <c r="J64">
        <v>22971</v>
      </c>
      <c r="K64">
        <v>35656</v>
      </c>
    </row>
    <row r="65" spans="1:11" x14ac:dyDescent="0.25">
      <c r="A65" s="3" t="s">
        <v>37</v>
      </c>
      <c r="B65">
        <v>106266.4</v>
      </c>
      <c r="C65">
        <v>122599.52</v>
      </c>
      <c r="D65">
        <v>144931.70000000001</v>
      </c>
      <c r="E65">
        <v>146814.46</v>
      </c>
      <c r="F65">
        <v>141141.48000000001</v>
      </c>
      <c r="G65">
        <v>157278.09</v>
      </c>
      <c r="H65">
        <v>150575.42000000001</v>
      </c>
      <c r="I65">
        <v>161941.01</v>
      </c>
      <c r="J65">
        <v>189567</v>
      </c>
      <c r="K65">
        <v>159814</v>
      </c>
    </row>
    <row r="66" spans="1:11" s="1" customFormat="1" x14ac:dyDescent="0.25">
      <c r="A66" s="1" t="s">
        <v>12</v>
      </c>
      <c r="B66">
        <v>263184.12</v>
      </c>
      <c r="C66">
        <v>272580.36</v>
      </c>
      <c r="D66">
        <v>327191.81</v>
      </c>
      <c r="E66">
        <v>305703.49</v>
      </c>
      <c r="F66">
        <v>320179.39</v>
      </c>
      <c r="G66">
        <v>341569.91</v>
      </c>
      <c r="H66">
        <v>329061.49</v>
      </c>
      <c r="I66">
        <v>334674.43</v>
      </c>
      <c r="J66">
        <v>369521</v>
      </c>
      <c r="K66">
        <v>376973</v>
      </c>
    </row>
    <row r="67" spans="1:11" s="3" customFormat="1" x14ac:dyDescent="0.25">
      <c r="A67" s="3" t="s">
        <v>42</v>
      </c>
      <c r="B67">
        <v>13570.91</v>
      </c>
      <c r="C67">
        <v>14075.55</v>
      </c>
      <c r="D67">
        <v>19893.3</v>
      </c>
      <c r="E67">
        <v>18996.169999999998</v>
      </c>
      <c r="F67">
        <v>11172.69</v>
      </c>
      <c r="G67">
        <v>12679.08</v>
      </c>
      <c r="H67">
        <v>12442.12</v>
      </c>
      <c r="I67">
        <v>15737.97</v>
      </c>
      <c r="J67">
        <v>16952</v>
      </c>
      <c r="K67">
        <v>13248</v>
      </c>
    </row>
    <row r="68" spans="1:11" x14ac:dyDescent="0.25">
      <c r="A68" s="3" t="s">
        <v>29</v>
      </c>
      <c r="B68">
        <v>32655.73</v>
      </c>
      <c r="C68">
        <v>35085.31</v>
      </c>
      <c r="D68">
        <v>42137.63</v>
      </c>
      <c r="E68">
        <v>39013.730000000003</v>
      </c>
      <c r="F68">
        <v>37456.879999999997</v>
      </c>
      <c r="G68">
        <v>36088.589999999997</v>
      </c>
      <c r="H68">
        <v>35240.339999999997</v>
      </c>
      <c r="I68">
        <v>40755.39</v>
      </c>
      <c r="J68">
        <v>47788</v>
      </c>
      <c r="K68">
        <v>47269</v>
      </c>
    </row>
    <row r="69" spans="1:11" x14ac:dyDescent="0.25">
      <c r="A69" s="2" t="s">
        <v>51</v>
      </c>
      <c r="B69">
        <v>30460.400000000001</v>
      </c>
      <c r="C69">
        <v>36077.879999999997</v>
      </c>
      <c r="D69">
        <v>34613.910000000003</v>
      </c>
      <c r="E69">
        <v>32648.82</v>
      </c>
      <c r="F69">
        <v>33726.97</v>
      </c>
      <c r="G69">
        <v>46792.46</v>
      </c>
      <c r="H69">
        <v>40669.19</v>
      </c>
      <c r="I69">
        <v>37015.56</v>
      </c>
      <c r="J69">
        <v>45807</v>
      </c>
      <c r="K69">
        <v>40834</v>
      </c>
    </row>
    <row r="70" spans="1:11" x14ac:dyDescent="0.25">
      <c r="A70" s="2" t="s">
        <v>38</v>
      </c>
      <c r="B70">
        <v>3395930306</v>
      </c>
      <c r="C70">
        <v>3396100719</v>
      </c>
      <c r="D70">
        <v>3396100719</v>
      </c>
      <c r="E70">
        <v>3396100719</v>
      </c>
      <c r="F70">
        <v>3597726185</v>
      </c>
      <c r="G70">
        <v>3829060661</v>
      </c>
      <c r="H70">
        <v>3829414903</v>
      </c>
      <c r="I70">
        <v>3830097221</v>
      </c>
      <c r="J70">
        <v>3832491897</v>
      </c>
      <c r="K70">
        <v>3681348742</v>
      </c>
    </row>
    <row r="71" spans="1:11" x14ac:dyDescent="0.25">
      <c r="A71" s="2" t="s">
        <v>39</v>
      </c>
    </row>
    <row r="72" spans="1:11" x14ac:dyDescent="0.25">
      <c r="A72" s="2" t="s">
        <v>52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2</v>
      </c>
      <c r="I72">
        <v>2</v>
      </c>
      <c r="J72">
        <v>2</v>
      </c>
      <c r="K72">
        <v>2</v>
      </c>
    </row>
    <row r="74" spans="1:11" x14ac:dyDescent="0.25">
      <c r="A74" s="3"/>
    </row>
    <row r="75" spans="1:11" x14ac:dyDescent="0.25">
      <c r="A75" s="3"/>
    </row>
    <row r="76" spans="1:11" x14ac:dyDescent="0.25">
      <c r="A76" s="3"/>
    </row>
    <row r="77" spans="1:11" x14ac:dyDescent="0.25">
      <c r="A77" s="3"/>
    </row>
    <row r="78" spans="1:11" x14ac:dyDescent="0.25">
      <c r="A78" s="3"/>
    </row>
    <row r="79" spans="1:11" x14ac:dyDescent="0.25">
      <c r="A79" s="3"/>
    </row>
    <row r="80" spans="1:11" x14ac:dyDescent="0.25">
      <c r="A80" s="1" t="s">
        <v>26</v>
      </c>
    </row>
    <row r="81" spans="1:11" s="6" customFormat="1" x14ac:dyDescent="0.25">
      <c r="A81" s="5" t="s">
        <v>23</v>
      </c>
      <c r="B81" s="4">
        <v>42460</v>
      </c>
      <c r="C81" s="4">
        <v>42825</v>
      </c>
      <c r="D81" s="4">
        <v>43190</v>
      </c>
      <c r="E81" s="4">
        <v>43555</v>
      </c>
      <c r="F81" s="4">
        <v>43921</v>
      </c>
      <c r="G81" s="4">
        <v>44286</v>
      </c>
      <c r="H81" s="4">
        <v>44651</v>
      </c>
      <c r="I81" s="4">
        <v>45016</v>
      </c>
      <c r="J81" s="4">
        <v>45382</v>
      </c>
      <c r="K81" s="4">
        <v>45747</v>
      </c>
    </row>
    <row r="82" spans="1:11" s="1" customFormat="1" x14ac:dyDescent="0.25">
      <c r="A82" s="3" t="s">
        <v>17</v>
      </c>
      <c r="B82">
        <v>37899.54</v>
      </c>
      <c r="C82">
        <v>30199.25</v>
      </c>
      <c r="D82">
        <v>23857.42</v>
      </c>
      <c r="E82">
        <v>18890.75</v>
      </c>
      <c r="F82">
        <v>26632.94</v>
      </c>
      <c r="G82">
        <v>29000.51</v>
      </c>
      <c r="H82">
        <v>14282.83</v>
      </c>
      <c r="I82">
        <v>35388.01</v>
      </c>
      <c r="J82">
        <v>67915</v>
      </c>
      <c r="K82">
        <v>63102</v>
      </c>
    </row>
    <row r="83" spans="1:11" s="3" customFormat="1" x14ac:dyDescent="0.25">
      <c r="A83" s="3" t="s">
        <v>18</v>
      </c>
      <c r="B83">
        <v>-36693.9</v>
      </c>
      <c r="C83">
        <v>-39571.4</v>
      </c>
      <c r="D83">
        <v>-25139.14</v>
      </c>
      <c r="E83">
        <v>-20878.07</v>
      </c>
      <c r="F83">
        <v>-33114.550000000003</v>
      </c>
      <c r="G83">
        <v>-25672.5</v>
      </c>
      <c r="H83">
        <v>-4443.66</v>
      </c>
      <c r="I83">
        <v>-15417.17</v>
      </c>
      <c r="J83">
        <v>-22781</v>
      </c>
      <c r="K83">
        <v>-49982</v>
      </c>
    </row>
    <row r="84" spans="1:11" s="3" customFormat="1" x14ac:dyDescent="0.25">
      <c r="A84" s="3" t="s">
        <v>19</v>
      </c>
      <c r="B84">
        <v>-3795.12</v>
      </c>
      <c r="C84">
        <v>6205.3</v>
      </c>
      <c r="D84">
        <v>2011.71</v>
      </c>
      <c r="E84">
        <v>8830.3700000000008</v>
      </c>
      <c r="F84">
        <v>3389.61</v>
      </c>
      <c r="G84">
        <v>9904.2000000000007</v>
      </c>
      <c r="H84">
        <v>-3380.17</v>
      </c>
      <c r="I84">
        <v>-26242.9</v>
      </c>
      <c r="J84">
        <v>-37006</v>
      </c>
      <c r="K84">
        <v>-18786</v>
      </c>
    </row>
    <row r="85" spans="1:11" s="1" customFormat="1" x14ac:dyDescent="0.25">
      <c r="A85" s="3" t="s">
        <v>20</v>
      </c>
      <c r="B85">
        <v>-2589.48</v>
      </c>
      <c r="C85">
        <v>-3166.85</v>
      </c>
      <c r="D85">
        <v>729.99</v>
      </c>
      <c r="E85">
        <v>6843.05</v>
      </c>
      <c r="F85">
        <v>-3092</v>
      </c>
      <c r="G85">
        <v>13232.21</v>
      </c>
      <c r="H85">
        <v>6459</v>
      </c>
      <c r="I85">
        <v>-6272.06</v>
      </c>
      <c r="J85">
        <v>8128</v>
      </c>
      <c r="K85">
        <v>-5666</v>
      </c>
    </row>
    <row r="86" spans="1:11" x14ac:dyDescent="0.25">
      <c r="A86" s="3"/>
    </row>
    <row r="87" spans="1:11" x14ac:dyDescent="0.25">
      <c r="A87" s="3"/>
    </row>
    <row r="88" spans="1:11" x14ac:dyDescent="0.25">
      <c r="A88" s="3"/>
    </row>
    <row r="89" spans="1:11" x14ac:dyDescent="0.25">
      <c r="A89" s="3"/>
    </row>
    <row r="90" spans="1:11" s="1" customFormat="1" x14ac:dyDescent="0.25">
      <c r="A90" s="1" t="s">
        <v>41</v>
      </c>
      <c r="B90">
        <v>386.6</v>
      </c>
      <c r="C90">
        <v>465.85</v>
      </c>
      <c r="D90">
        <v>326.85000000000002</v>
      </c>
      <c r="E90">
        <v>174.25</v>
      </c>
      <c r="F90">
        <v>71.05</v>
      </c>
      <c r="G90">
        <v>301.8</v>
      </c>
      <c r="H90">
        <v>433.75</v>
      </c>
      <c r="I90">
        <v>420.8</v>
      </c>
      <c r="J90">
        <v>992.8</v>
      </c>
      <c r="K90">
        <v>674.45</v>
      </c>
    </row>
    <row r="92" spans="1:11" s="1" customFormat="1" x14ac:dyDescent="0.25">
      <c r="A92" s="1" t="s">
        <v>40</v>
      </c>
    </row>
    <row r="93" spans="1:11" x14ac:dyDescent="0.25">
      <c r="A93" s="2" t="s">
        <v>53</v>
      </c>
      <c r="B93" s="7">
        <v>288.72000000000003</v>
      </c>
      <c r="C93" s="7">
        <v>288.73</v>
      </c>
      <c r="D93" s="7">
        <v>288.73</v>
      </c>
      <c r="E93" s="7">
        <v>288.73</v>
      </c>
      <c r="F93" s="7">
        <v>308.89999999999998</v>
      </c>
      <c r="G93" s="7">
        <v>332.03</v>
      </c>
      <c r="H93" s="7">
        <v>332.07</v>
      </c>
      <c r="I93" s="7">
        <v>332.13</v>
      </c>
      <c r="J93" s="7">
        <v>332.37</v>
      </c>
      <c r="K93" s="7">
        <v>368.13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1C3C-2F83-43DE-A9FE-9B4377AEA78F}">
  <dimension ref="B2:N31"/>
  <sheetViews>
    <sheetView workbookViewId="0">
      <selection activeCell="L4" sqref="L4"/>
    </sheetView>
  </sheetViews>
  <sheetFormatPr defaultRowHeight="15" x14ac:dyDescent="0.25"/>
  <cols>
    <col min="2" max="2" width="28" bestFit="1" customWidth="1"/>
    <col min="3" max="5" width="7.28515625" bestFit="1" customWidth="1"/>
    <col min="6" max="6" width="7.140625" bestFit="1" customWidth="1"/>
    <col min="7" max="14" width="7.28515625" bestFit="1" customWidth="1"/>
  </cols>
  <sheetData>
    <row r="2" spans="2:14" x14ac:dyDescent="0.25">
      <c r="C2" s="9">
        <v>41699</v>
      </c>
      <c r="D2" s="9">
        <v>42064</v>
      </c>
      <c r="E2" s="9">
        <v>42430</v>
      </c>
      <c r="F2" s="9">
        <v>42795</v>
      </c>
      <c r="G2" s="9">
        <v>43160</v>
      </c>
      <c r="H2" s="9">
        <v>43525</v>
      </c>
      <c r="I2" s="9">
        <v>43891</v>
      </c>
      <c r="J2" s="9">
        <v>44256</v>
      </c>
      <c r="K2" s="9">
        <v>44621</v>
      </c>
      <c r="L2" s="9">
        <v>44986</v>
      </c>
      <c r="M2" s="9">
        <v>45352</v>
      </c>
      <c r="N2" s="9">
        <v>45717</v>
      </c>
    </row>
    <row r="3" spans="2:14" x14ac:dyDescent="0.25">
      <c r="B3" t="s">
        <v>89</v>
      </c>
      <c r="C3" s="33">
        <v>13146</v>
      </c>
      <c r="D3" s="33">
        <v>11880</v>
      </c>
      <c r="E3" s="33">
        <v>11455</v>
      </c>
      <c r="F3" s="33">
        <v>10824</v>
      </c>
      <c r="G3" s="33">
        <v>8023</v>
      </c>
      <c r="H3" s="33">
        <v>25336</v>
      </c>
      <c r="I3" s="33">
        <v>20169</v>
      </c>
      <c r="J3" s="33">
        <v>44327</v>
      </c>
      <c r="K3" s="33">
        <v>44381</v>
      </c>
      <c r="L3" s="33">
        <v>21683</v>
      </c>
      <c r="M3" s="33">
        <v>20301</v>
      </c>
      <c r="N3" s="33">
        <v>23512</v>
      </c>
    </row>
    <row r="4" spans="2:14" x14ac:dyDescent="0.25">
      <c r="B4" t="s">
        <v>90</v>
      </c>
      <c r="C4" s="33">
        <v>17507</v>
      </c>
      <c r="D4" s="33">
        <v>13955</v>
      </c>
      <c r="E4" s="33">
        <v>6824</v>
      </c>
      <c r="F4" s="33">
        <v>17581</v>
      </c>
      <c r="G4" s="33">
        <v>20187</v>
      </c>
      <c r="H4" s="33">
        <v>27840</v>
      </c>
      <c r="I4" s="33">
        <v>18078</v>
      </c>
      <c r="J4" s="33">
        <v>28540</v>
      </c>
      <c r="K4" s="33">
        <v>65900</v>
      </c>
      <c r="L4" s="33">
        <v>30908</v>
      </c>
      <c r="M4" s="33">
        <v>22237</v>
      </c>
      <c r="N4" s="33">
        <v>23929</v>
      </c>
    </row>
    <row r="5" spans="2:14" x14ac:dyDescent="0.25">
      <c r="B5" t="s">
        <v>42</v>
      </c>
      <c r="C5" s="33">
        <v>-1483</v>
      </c>
      <c r="D5" s="33">
        <v>1442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2:14" x14ac:dyDescent="0.25">
      <c r="B6" t="s">
        <v>29</v>
      </c>
      <c r="C6">
        <v>389</v>
      </c>
      <c r="D6">
        <v>-485</v>
      </c>
      <c r="E6" s="33">
        <v>5618</v>
      </c>
      <c r="F6" s="33">
        <v>-8243</v>
      </c>
      <c r="G6" s="33">
        <v>-1595</v>
      </c>
      <c r="H6" s="33">
        <v>-1069</v>
      </c>
      <c r="I6" s="33">
        <v>1562</v>
      </c>
      <c r="J6">
        <v>46</v>
      </c>
      <c r="K6" s="33">
        <v>-16917</v>
      </c>
      <c r="L6" s="33">
        <v>-4031</v>
      </c>
      <c r="M6" s="33">
        <v>5566</v>
      </c>
      <c r="N6" s="33">
        <v>4776</v>
      </c>
    </row>
    <row r="7" spans="2:14" x14ac:dyDescent="0.25">
      <c r="B7" t="s">
        <v>91</v>
      </c>
      <c r="C7">
        <v>-255</v>
      </c>
      <c r="D7">
        <v>-605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2:14" x14ac:dyDescent="0.25">
      <c r="B8" t="s">
        <v>92</v>
      </c>
      <c r="C8">
        <v>0</v>
      </c>
      <c r="D8">
        <v>0</v>
      </c>
      <c r="E8">
        <v>548</v>
      </c>
      <c r="F8" s="33">
        <v>3329</v>
      </c>
      <c r="G8" s="33">
        <v>-7680</v>
      </c>
      <c r="H8" s="33">
        <v>3659</v>
      </c>
      <c r="I8" s="33">
        <v>2634</v>
      </c>
      <c r="J8" s="33">
        <v>16446</v>
      </c>
      <c r="K8" s="33">
        <v>7299</v>
      </c>
      <c r="L8">
        <v>325</v>
      </c>
      <c r="M8" s="33">
        <v>-2182</v>
      </c>
      <c r="N8" s="33">
        <v>-2569</v>
      </c>
    </row>
    <row r="9" spans="2:14" x14ac:dyDescent="0.25">
      <c r="B9" t="s">
        <v>93</v>
      </c>
      <c r="C9" s="33">
        <v>-1349</v>
      </c>
      <c r="D9">
        <v>351</v>
      </c>
      <c r="E9" s="33">
        <v>6166</v>
      </c>
      <c r="F9" s="33">
        <v>-4914</v>
      </c>
      <c r="G9" s="33">
        <v>-9276</v>
      </c>
      <c r="H9" s="33">
        <v>2591</v>
      </c>
      <c r="I9" s="33">
        <v>4196</v>
      </c>
      <c r="J9" s="33">
        <v>16491</v>
      </c>
      <c r="K9" s="33">
        <v>-9618</v>
      </c>
      <c r="L9" s="33">
        <v>-3706</v>
      </c>
      <c r="M9" s="33">
        <v>3384</v>
      </c>
      <c r="N9" s="33">
        <v>2207</v>
      </c>
    </row>
    <row r="10" spans="2:14" x14ac:dyDescent="0.25">
      <c r="B10" t="s">
        <v>94</v>
      </c>
      <c r="C10" s="33">
        <v>-3013</v>
      </c>
      <c r="D10" s="33">
        <v>-2427</v>
      </c>
      <c r="E10" s="33">
        <v>-1534</v>
      </c>
      <c r="F10" s="33">
        <v>-1843</v>
      </c>
      <c r="G10" s="33">
        <v>-2888</v>
      </c>
      <c r="H10" s="33">
        <v>-5094</v>
      </c>
      <c r="I10" s="33">
        <v>-2106</v>
      </c>
      <c r="J10">
        <v>-704</v>
      </c>
      <c r="K10" s="33">
        <v>-11902</v>
      </c>
      <c r="L10" s="33">
        <v>-5519</v>
      </c>
      <c r="M10" s="33">
        <v>-5320</v>
      </c>
      <c r="N10" s="33">
        <v>-2624</v>
      </c>
    </row>
    <row r="11" spans="2:14" x14ac:dyDescent="0.25">
      <c r="B11" t="s">
        <v>95</v>
      </c>
      <c r="C11" s="33">
        <v>-15378</v>
      </c>
      <c r="D11" s="33">
        <v>-9021</v>
      </c>
      <c r="E11" s="33">
        <v>-8794</v>
      </c>
      <c r="F11" s="33">
        <v>-9490</v>
      </c>
      <c r="G11" s="33">
        <v>-11730</v>
      </c>
      <c r="H11" s="33">
        <v>-29176</v>
      </c>
      <c r="I11" s="33">
        <v>-14012</v>
      </c>
      <c r="J11" s="33">
        <v>-9437</v>
      </c>
      <c r="K11" s="33">
        <v>-10905</v>
      </c>
      <c r="L11" s="33">
        <v>-18179</v>
      </c>
      <c r="M11" s="33">
        <v>-14253</v>
      </c>
      <c r="N11" s="33">
        <v>-14173</v>
      </c>
    </row>
    <row r="12" spans="2:14" x14ac:dyDescent="0.25">
      <c r="B12" t="s">
        <v>96</v>
      </c>
      <c r="C12" s="33">
        <v>-16420</v>
      </c>
      <c r="D12" s="33">
        <v>-13492</v>
      </c>
      <c r="E12" s="33">
        <v>-10163</v>
      </c>
      <c r="F12" s="33">
        <v>-7716</v>
      </c>
      <c r="G12" s="33">
        <v>-7478</v>
      </c>
      <c r="H12" s="33">
        <v>-9091</v>
      </c>
      <c r="I12" s="33">
        <v>-10398</v>
      </c>
      <c r="J12" s="33">
        <v>-6979</v>
      </c>
      <c r="K12" s="33">
        <v>-10522</v>
      </c>
      <c r="L12" s="33">
        <v>-14142</v>
      </c>
      <c r="M12" s="33">
        <v>-18207</v>
      </c>
      <c r="N12" s="33">
        <v>-15671</v>
      </c>
    </row>
    <row r="13" spans="2:14" x14ac:dyDescent="0.25">
      <c r="B13" t="s">
        <v>97</v>
      </c>
      <c r="C13">
        <v>295</v>
      </c>
      <c r="D13" s="33">
        <v>1444</v>
      </c>
      <c r="E13">
        <v>231</v>
      </c>
      <c r="F13">
        <v>289</v>
      </c>
      <c r="G13">
        <v>179</v>
      </c>
      <c r="H13">
        <v>467</v>
      </c>
      <c r="I13">
        <v>386</v>
      </c>
      <c r="J13">
        <v>445</v>
      </c>
      <c r="K13">
        <v>569</v>
      </c>
      <c r="L13">
        <v>328</v>
      </c>
      <c r="M13">
        <v>475</v>
      </c>
      <c r="N13" s="33">
        <v>1264</v>
      </c>
    </row>
    <row r="14" spans="2:14" x14ac:dyDescent="0.25">
      <c r="B14" t="s">
        <v>98</v>
      </c>
      <c r="C14">
        <v>-612</v>
      </c>
      <c r="D14" s="33">
        <v>1531</v>
      </c>
      <c r="E14" s="33">
        <v>-3796</v>
      </c>
      <c r="F14">
        <v>-861</v>
      </c>
      <c r="G14" s="33">
        <v>-8641</v>
      </c>
      <c r="H14">
        <v>-490</v>
      </c>
      <c r="I14">
        <v>-828</v>
      </c>
      <c r="J14" s="33">
        <v>-3631</v>
      </c>
      <c r="K14" s="33">
        <v>-1153</v>
      </c>
      <c r="L14">
        <v>-326</v>
      </c>
      <c r="M14">
        <v>-4</v>
      </c>
      <c r="N14">
        <v>-393</v>
      </c>
    </row>
    <row r="15" spans="2:14" x14ac:dyDescent="0.25">
      <c r="B15" t="s">
        <v>99</v>
      </c>
      <c r="C15">
        <v>0</v>
      </c>
      <c r="D15">
        <v>262</v>
      </c>
      <c r="E15" s="33">
        <v>4275</v>
      </c>
      <c r="F15">
        <v>91</v>
      </c>
      <c r="G15" s="33">
        <v>3899</v>
      </c>
      <c r="H15" s="33">
        <v>13556</v>
      </c>
      <c r="I15">
        <v>121</v>
      </c>
      <c r="J15">
        <v>0</v>
      </c>
      <c r="K15">
        <v>63</v>
      </c>
      <c r="L15" s="33">
        <v>5191</v>
      </c>
      <c r="M15" s="33">
        <v>3171</v>
      </c>
      <c r="N15">
        <v>554</v>
      </c>
    </row>
    <row r="16" spans="2:14" x14ac:dyDescent="0.25">
      <c r="B16" t="s">
        <v>100</v>
      </c>
      <c r="C16">
        <v>265</v>
      </c>
      <c r="D16">
        <v>211</v>
      </c>
      <c r="E16">
        <v>133</v>
      </c>
      <c r="F16">
        <v>140</v>
      </c>
      <c r="G16">
        <v>254</v>
      </c>
      <c r="H16">
        <v>175</v>
      </c>
      <c r="I16">
        <v>203</v>
      </c>
      <c r="J16">
        <v>266</v>
      </c>
      <c r="K16">
        <v>137</v>
      </c>
      <c r="L16">
        <v>248</v>
      </c>
      <c r="M16">
        <v>333</v>
      </c>
      <c r="N16">
        <v>242</v>
      </c>
    </row>
    <row r="17" spans="2:14" x14ac:dyDescent="0.25">
      <c r="B17" t="s">
        <v>101</v>
      </c>
      <c r="C17">
        <v>87</v>
      </c>
      <c r="D17">
        <v>127</v>
      </c>
      <c r="E17">
        <v>108</v>
      </c>
      <c r="F17">
        <v>85</v>
      </c>
      <c r="G17">
        <v>111</v>
      </c>
      <c r="H17">
        <v>148</v>
      </c>
      <c r="I17">
        <v>103</v>
      </c>
      <c r="J17">
        <v>135</v>
      </c>
      <c r="K17">
        <v>162</v>
      </c>
      <c r="L17">
        <v>317</v>
      </c>
      <c r="M17">
        <v>336</v>
      </c>
      <c r="N17">
        <v>294</v>
      </c>
    </row>
    <row r="18" spans="2:14" x14ac:dyDescent="0.25">
      <c r="B18" t="s">
        <v>102</v>
      </c>
      <c r="C18">
        <v>59</v>
      </c>
      <c r="D18" s="33">
        <v>1301</v>
      </c>
      <c r="E18">
        <v>0</v>
      </c>
      <c r="F18">
        <v>0</v>
      </c>
      <c r="G18">
        <v>34</v>
      </c>
      <c r="H18">
        <v>156</v>
      </c>
      <c r="I18">
        <v>378</v>
      </c>
      <c r="J18">
        <v>90</v>
      </c>
      <c r="K18" s="33">
        <v>1208</v>
      </c>
      <c r="L18">
        <v>166</v>
      </c>
      <c r="M18">
        <v>123</v>
      </c>
      <c r="N18">
        <v>28</v>
      </c>
    </row>
    <row r="19" spans="2:14" x14ac:dyDescent="0.25">
      <c r="B19" t="s">
        <v>103</v>
      </c>
      <c r="C19">
        <v>0</v>
      </c>
      <c r="D19">
        <v>-108</v>
      </c>
      <c r="E19">
        <v>-78</v>
      </c>
      <c r="F19" s="33">
        <v>-1081</v>
      </c>
      <c r="G19">
        <v>-255</v>
      </c>
      <c r="H19" s="33">
        <v>-34569</v>
      </c>
      <c r="I19" s="33">
        <v>-4433</v>
      </c>
      <c r="J19">
        <v>0</v>
      </c>
      <c r="K19">
        <v>-53</v>
      </c>
      <c r="L19" s="33">
        <v>-10569</v>
      </c>
      <c r="M19">
        <v>0</v>
      </c>
      <c r="N19">
        <v>-6</v>
      </c>
    </row>
    <row r="20" spans="2:14" x14ac:dyDescent="0.25">
      <c r="B20" t="s">
        <v>104</v>
      </c>
      <c r="C20">
        <v>-96</v>
      </c>
      <c r="D20">
        <v>277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2:14" x14ac:dyDescent="0.25">
      <c r="B21" t="s">
        <v>105</v>
      </c>
      <c r="C21" s="33">
        <v>1044</v>
      </c>
      <c r="D21">
        <v>-573</v>
      </c>
      <c r="E21">
        <v>496</v>
      </c>
      <c r="F21">
        <v>-437</v>
      </c>
      <c r="G21">
        <v>166</v>
      </c>
      <c r="H21">
        <v>471</v>
      </c>
      <c r="I21">
        <v>456</v>
      </c>
      <c r="J21">
        <v>236</v>
      </c>
      <c r="K21" s="33">
        <v>-1315</v>
      </c>
      <c r="L21">
        <v>609</v>
      </c>
      <c r="M21">
        <v>-481</v>
      </c>
      <c r="N21">
        <v>-485</v>
      </c>
    </row>
    <row r="22" spans="2:14" x14ac:dyDescent="0.25">
      <c r="B22" t="s">
        <v>106</v>
      </c>
      <c r="C22" s="33">
        <v>1015</v>
      </c>
      <c r="D22" s="33">
        <v>-2617</v>
      </c>
      <c r="E22" s="33">
        <v>-4729</v>
      </c>
      <c r="F22" s="33">
        <v>-2579</v>
      </c>
      <c r="G22" s="33">
        <v>6640</v>
      </c>
      <c r="H22">
        <v>-673</v>
      </c>
      <c r="I22" s="33">
        <v>-1695</v>
      </c>
      <c r="J22" s="33">
        <v>-37090</v>
      </c>
      <c r="K22" s="33">
        <v>-23401</v>
      </c>
      <c r="L22" s="33">
        <v>-6981</v>
      </c>
      <c r="M22" s="33">
        <v>-11097</v>
      </c>
      <c r="N22" s="33">
        <v>-7002</v>
      </c>
    </row>
    <row r="23" spans="2:14" x14ac:dyDescent="0.25">
      <c r="B23" t="s">
        <v>107</v>
      </c>
      <c r="C23">
        <v>11</v>
      </c>
      <c r="D23">
        <v>13</v>
      </c>
      <c r="E23">
        <v>0</v>
      </c>
      <c r="F23">
        <v>652</v>
      </c>
      <c r="G23" s="33">
        <v>9087</v>
      </c>
      <c r="H23">
        <v>0</v>
      </c>
      <c r="I23">
        <v>188</v>
      </c>
      <c r="J23" s="33">
        <v>3239</v>
      </c>
      <c r="K23">
        <v>326</v>
      </c>
      <c r="L23">
        <v>1</v>
      </c>
      <c r="M23">
        <v>0</v>
      </c>
      <c r="N23">
        <v>0</v>
      </c>
    </row>
    <row r="24" spans="2:14" x14ac:dyDescent="0.25">
      <c r="B24" t="s">
        <v>108</v>
      </c>
      <c r="C24">
        <v>0</v>
      </c>
      <c r="D24">
        <v>0</v>
      </c>
      <c r="E24">
        <v>0</v>
      </c>
      <c r="F24">
        <v>0</v>
      </c>
      <c r="G24">
        <v>0</v>
      </c>
      <c r="H24" s="33">
        <v>33344</v>
      </c>
      <c r="I24" s="33">
        <v>16574</v>
      </c>
      <c r="J24" s="33">
        <v>9801</v>
      </c>
      <c r="K24" s="33">
        <v>12439</v>
      </c>
      <c r="L24" s="33">
        <v>16769</v>
      </c>
      <c r="M24" s="33">
        <v>14120</v>
      </c>
      <c r="N24" s="33">
        <v>23893</v>
      </c>
    </row>
    <row r="25" spans="2:14" x14ac:dyDescent="0.25">
      <c r="B25" t="s">
        <v>109</v>
      </c>
      <c r="C25">
        <v>0</v>
      </c>
      <c r="D25">
        <v>0</v>
      </c>
      <c r="E25">
        <v>0</v>
      </c>
      <c r="F25">
        <v>0</v>
      </c>
      <c r="G25">
        <v>0</v>
      </c>
      <c r="H25" s="33">
        <v>-25077</v>
      </c>
      <c r="I25" s="33">
        <v>-7937</v>
      </c>
      <c r="J25" s="33">
        <v>-39177</v>
      </c>
      <c r="K25" s="33">
        <v>-26360</v>
      </c>
      <c r="L25" s="33">
        <v>-10226</v>
      </c>
      <c r="M25" s="33">
        <v>-11908</v>
      </c>
      <c r="N25" s="33">
        <v>-17597</v>
      </c>
    </row>
    <row r="26" spans="2:14" x14ac:dyDescent="0.25">
      <c r="B26" t="s">
        <v>110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-30</v>
      </c>
    </row>
    <row r="27" spans="2:14" x14ac:dyDescent="0.25">
      <c r="B27" t="s">
        <v>111</v>
      </c>
      <c r="C27" s="33">
        <v>-3676</v>
      </c>
      <c r="D27" s="33">
        <v>-5428</v>
      </c>
      <c r="E27" s="33">
        <v>-5483</v>
      </c>
      <c r="F27" s="33">
        <v>-4733</v>
      </c>
      <c r="G27" s="33">
        <v>-5146</v>
      </c>
      <c r="H27" s="33">
        <v>-6901</v>
      </c>
      <c r="I27" s="33">
        <v>-7419</v>
      </c>
      <c r="J27" s="33">
        <v>-6804</v>
      </c>
      <c r="K27" s="33">
        <v>-4687</v>
      </c>
      <c r="L27" s="33">
        <v>-6120</v>
      </c>
      <c r="M27" s="33">
        <v>-8145</v>
      </c>
      <c r="N27" s="33">
        <v>-8119</v>
      </c>
    </row>
    <row r="28" spans="2:14" x14ac:dyDescent="0.25">
      <c r="B28" t="s">
        <v>112</v>
      </c>
      <c r="C28">
        <v>-787</v>
      </c>
      <c r="D28">
        <v>-983</v>
      </c>
      <c r="E28">
        <v>-788</v>
      </c>
      <c r="F28">
        <v>-791</v>
      </c>
      <c r="G28">
        <v>-982</v>
      </c>
      <c r="H28" s="33">
        <v>-1186</v>
      </c>
      <c r="I28" s="33">
        <v>-1507</v>
      </c>
      <c r="J28" s="33">
        <v>-1151</v>
      </c>
      <c r="K28" s="33">
        <v>-3020</v>
      </c>
      <c r="L28" s="33">
        <v>-6293</v>
      </c>
      <c r="M28" s="33">
        <v>-4429</v>
      </c>
      <c r="N28" s="33">
        <v>-4490</v>
      </c>
    </row>
    <row r="29" spans="2:14" x14ac:dyDescent="0.25">
      <c r="B29" t="s">
        <v>113</v>
      </c>
      <c r="C29">
        <v>0</v>
      </c>
      <c r="D29">
        <v>0</v>
      </c>
      <c r="E29">
        <v>-200</v>
      </c>
      <c r="F29">
        <v>-208</v>
      </c>
      <c r="G29">
        <v>-211</v>
      </c>
      <c r="H29">
        <v>-276</v>
      </c>
      <c r="I29" s="33">
        <v>-1029</v>
      </c>
      <c r="J29" s="33">
        <v>-1284</v>
      </c>
      <c r="K29" s="33">
        <v>-1310</v>
      </c>
      <c r="L29" s="33">
        <v>-1114</v>
      </c>
      <c r="M29" s="33">
        <v>-1140</v>
      </c>
      <c r="N29" s="33">
        <v>-1943</v>
      </c>
    </row>
    <row r="30" spans="2:14" x14ac:dyDescent="0.25">
      <c r="B30" t="s">
        <v>114</v>
      </c>
      <c r="C30" s="33">
        <v>5466</v>
      </c>
      <c r="D30" s="33">
        <v>3781</v>
      </c>
      <c r="E30" s="33">
        <v>1743</v>
      </c>
      <c r="F30" s="33">
        <v>2501</v>
      </c>
      <c r="G30" s="33">
        <v>3892</v>
      </c>
      <c r="H30">
        <v>-576</v>
      </c>
      <c r="I30">
        <v>-564</v>
      </c>
      <c r="J30" s="33">
        <v>-1714</v>
      </c>
      <c r="K30">
        <v>-789</v>
      </c>
      <c r="L30">
        <v>2</v>
      </c>
      <c r="M30">
        <v>404</v>
      </c>
      <c r="N30" s="33">
        <v>1283</v>
      </c>
    </row>
    <row r="31" spans="2:14" x14ac:dyDescent="0.25">
      <c r="B31" t="s">
        <v>20</v>
      </c>
      <c r="C31" s="33">
        <v>-1218</v>
      </c>
      <c r="D31">
        <v>241</v>
      </c>
      <c r="E31" s="33">
        <v>-2068</v>
      </c>
      <c r="F31" s="33">
        <v>-1245</v>
      </c>
      <c r="G31" s="33">
        <v>2933</v>
      </c>
      <c r="H31" s="33">
        <v>-4513</v>
      </c>
      <c r="I31" s="33">
        <v>4462</v>
      </c>
      <c r="J31" s="33">
        <v>-2200</v>
      </c>
      <c r="K31" s="33">
        <v>10075</v>
      </c>
      <c r="L31" s="33">
        <v>-3477</v>
      </c>
      <c r="M31" s="33">
        <v>-5049</v>
      </c>
      <c r="N31" s="33">
        <v>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Financials&gt;</vt:lpstr>
      <vt:lpstr>HistoricalFS</vt:lpstr>
      <vt:lpstr>Ratio Analysis</vt:lpstr>
      <vt:lpstr>Data&gt;</vt:lpstr>
      <vt:lpstr>Data Sheet</vt:lpstr>
      <vt:lpstr>Cashflow Data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saiapurba mohanty</cp:lastModifiedBy>
  <cp:lastPrinted>2012-12-06T18:14:13Z</cp:lastPrinted>
  <dcterms:created xsi:type="dcterms:W3CDTF">2012-08-17T09:55:37Z</dcterms:created>
  <dcterms:modified xsi:type="dcterms:W3CDTF">2025-06-09T09:13:36Z</dcterms:modified>
</cp:coreProperties>
</file>