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C:\Users\User\OneDrive - Ministry of Railway Govt. of India\Desktop\Budget\2021-22\Aug 2021\"/>
    </mc:Choice>
  </mc:AlternateContent>
  <xr:revisionPtr revIDLastSave="0" documentId="13_ncr:1_{D62DC7B1-BF12-4BCF-A83B-5AFC7DBE08FF}" xr6:coauthVersionLast="47" xr6:coauthVersionMax="47" xr10:uidLastSave="{00000000-0000-0000-0000-000000000000}"/>
  <bookViews>
    <workbookView xWindow="-120" yWindow="-120" windowWidth="24240" windowHeight="13140" tabRatio="599" firstSheet="4"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 name="Sheet6" sheetId="13" r:id="rId13"/>
  </sheets>
  <definedNames>
    <definedName name="_xlnm.Print_Area" localSheetId="10">'Detailed Review analysis'!$A$1:$P$115</definedName>
    <definedName name="_xlnm.Print_Area" localSheetId="4">'PU Wise OWE'!$A$1:$BK$134</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7" i="12" l="1"/>
  <c r="O8" i="12"/>
  <c r="O12" i="12"/>
  <c r="R7" i="12"/>
  <c r="R8" i="12"/>
  <c r="R12" i="12"/>
  <c r="N11" i="12"/>
  <c r="P11" i="12" s="1"/>
  <c r="N10" i="12"/>
  <c r="R10" i="12" s="1"/>
  <c r="N9" i="12"/>
  <c r="P7" i="12"/>
  <c r="Q7" i="12" s="1"/>
  <c r="P8" i="12"/>
  <c r="Q8" i="12" s="1"/>
  <c r="P12" i="12"/>
  <c r="Q12" i="12" s="1"/>
  <c r="BJ107" i="2"/>
  <c r="BG107" i="2"/>
  <c r="BG106" i="2"/>
  <c r="BJ106" i="2"/>
  <c r="AD51" i="2"/>
  <c r="AD40" i="2"/>
  <c r="F104" i="4"/>
  <c r="F103" i="4"/>
  <c r="F101" i="4"/>
  <c r="F100" i="4"/>
  <c r="F102" i="4" s="1"/>
  <c r="F98" i="4"/>
  <c r="F97" i="4"/>
  <c r="F96" i="4"/>
  <c r="F94" i="4"/>
  <c r="F93" i="4"/>
  <c r="F92" i="4"/>
  <c r="BN85" i="2"/>
  <c r="BJ85" i="2"/>
  <c r="F95" i="4" l="1"/>
  <c r="N6" i="12"/>
  <c r="O6" i="12" s="1"/>
  <c r="O11" i="12"/>
  <c r="R9" i="12"/>
  <c r="O10" i="12"/>
  <c r="O9" i="12"/>
  <c r="P9" i="12"/>
  <c r="Q9" i="12" s="1"/>
  <c r="R11" i="12"/>
  <c r="P10" i="12"/>
  <c r="Q10" i="12" s="1"/>
  <c r="Q11" i="12"/>
  <c r="AS85" i="2"/>
  <c r="L41" i="2"/>
  <c r="BG41" i="2"/>
  <c r="BH84" i="2"/>
  <c r="BH95" i="2"/>
  <c r="AD95" i="2"/>
  <c r="BH116" i="2"/>
  <c r="AD116" i="2"/>
  <c r="BH106" i="2"/>
  <c r="AD106" i="2"/>
  <c r="AD84" i="2"/>
  <c r="BH73" i="2"/>
  <c r="AD73" i="2"/>
  <c r="BH62" i="2"/>
  <c r="AD62" i="2"/>
  <c r="BH51" i="2"/>
  <c r="BH40" i="2"/>
  <c r="BH29" i="2"/>
  <c r="AD29" i="2"/>
  <c r="BH17" i="2"/>
  <c r="AD17" i="2"/>
  <c r="BH6" i="2"/>
  <c r="AD6" i="2"/>
  <c r="P6" i="12" l="1"/>
  <c r="Q6" i="12" s="1"/>
  <c r="R6" i="12"/>
  <c r="BI116" i="2"/>
  <c r="BK116" i="2" s="1"/>
  <c r="BI106" i="2"/>
  <c r="BK106" i="2" s="1"/>
  <c r="BI95" i="2"/>
  <c r="BK95" i="2" s="1"/>
  <c r="BI73" i="2"/>
  <c r="BK73" i="2" s="1"/>
  <c r="BI62" i="2"/>
  <c r="BK62" i="2" s="1"/>
  <c r="BI51" i="2"/>
  <c r="BK51" i="2" s="1"/>
  <c r="BI40" i="2"/>
  <c r="BK40" i="2" s="1"/>
  <c r="BI29" i="2"/>
  <c r="BK29" i="2" s="1"/>
  <c r="BI17" i="2"/>
  <c r="BK17" i="2" s="1"/>
  <c r="BI84" i="2"/>
  <c r="BK84" i="2" s="1"/>
  <c r="BI6" i="2"/>
  <c r="BK6" i="2" s="1"/>
  <c r="K117" i="4"/>
  <c r="L117" i="4" s="1"/>
  <c r="K116" i="4"/>
  <c r="L116" i="4" s="1"/>
  <c r="K115" i="4"/>
  <c r="L115" i="4" s="1"/>
  <c r="K111" i="4"/>
  <c r="L111" i="4" s="1"/>
  <c r="K110" i="4"/>
  <c r="L110" i="4" s="1"/>
  <c r="K109" i="4"/>
  <c r="L109" i="4" s="1"/>
  <c r="H118" i="4"/>
  <c r="H112" i="4"/>
  <c r="H107" i="4"/>
  <c r="H77" i="4"/>
  <c r="H40" i="4"/>
  <c r="H32" i="4"/>
  <c r="H11" i="4"/>
  <c r="H3" i="4"/>
  <c r="BG105" i="2"/>
  <c r="BH105" i="2" s="1"/>
  <c r="BP115" i="2"/>
  <c r="Q8" i="4"/>
  <c r="BH115" i="2"/>
  <c r="BH94" i="2"/>
  <c r="BH83" i="2"/>
  <c r="BH72" i="2"/>
  <c r="BH61" i="2"/>
  <c r="BH50" i="2"/>
  <c r="BH39" i="2"/>
  <c r="BH28" i="2"/>
  <c r="BH16" i="2"/>
  <c r="BH5" i="2"/>
  <c r="AD105" i="2"/>
  <c r="AD94" i="2"/>
  <c r="AD83" i="2"/>
  <c r="BI83" i="2" s="1"/>
  <c r="BK83" i="2" s="1"/>
  <c r="AD72" i="2"/>
  <c r="AD61" i="2"/>
  <c r="AD50" i="2"/>
  <c r="AD39" i="2"/>
  <c r="BI39" i="2" s="1"/>
  <c r="BK39" i="2" s="1"/>
  <c r="AD28" i="2"/>
  <c r="AD16" i="2"/>
  <c r="AD5" i="2"/>
  <c r="AD115" i="2"/>
  <c r="BI28" i="2" l="1"/>
  <c r="BK28" i="2" s="1"/>
  <c r="BI115" i="2"/>
  <c r="BK115" i="2" s="1"/>
  <c r="BI5" i="2"/>
  <c r="BK5" i="2" s="1"/>
  <c r="BI50" i="2"/>
  <c r="BK50" i="2" s="1"/>
  <c r="BI94" i="2"/>
  <c r="BK94" i="2" s="1"/>
  <c r="BI16" i="2"/>
  <c r="BK16" i="2" s="1"/>
  <c r="BI61" i="2"/>
  <c r="BK61" i="2" s="1"/>
  <c r="BI105" i="2"/>
  <c r="BK105" i="2" s="1"/>
  <c r="BQ115" i="2" s="1"/>
  <c r="BI72" i="2"/>
  <c r="BK72" i="2" s="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K99" i="4"/>
  <c r="L99" i="4" s="1"/>
  <c r="F99" i="4"/>
  <c r="E99" i="4"/>
  <c r="C99" i="4"/>
  <c r="E95" i="4"/>
  <c r="C95" i="4"/>
  <c r="C85" i="4"/>
  <c r="C74" i="4"/>
  <c r="D74" i="4" s="1"/>
  <c r="C69" i="4"/>
  <c r="C64" i="4"/>
  <c r="C55" i="4"/>
  <c r="C50" i="4"/>
  <c r="C28" i="4"/>
  <c r="C7" i="4"/>
  <c r="D44" i="4" s="1"/>
  <c r="B83" i="11"/>
  <c r="B69" i="11"/>
  <c r="B64" i="11"/>
  <c r="B54" i="11"/>
  <c r="B28" i="11"/>
  <c r="C28" i="5"/>
  <c r="C7" i="5"/>
  <c r="B7" i="11"/>
  <c r="C102" i="5"/>
  <c r="C96" i="5"/>
  <c r="C92" i="5"/>
  <c r="C109" i="5"/>
  <c r="C115" i="5"/>
  <c r="D50" i="4" l="1"/>
  <c r="D55"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05" i="4"/>
  <c r="M95" i="4"/>
  <c r="M112" i="4"/>
  <c r="M99" i="4"/>
  <c r="AB118" i="2"/>
  <c r="AB117" i="2"/>
  <c r="AB108" i="2"/>
  <c r="AB107" i="2"/>
  <c r="AB97" i="2"/>
  <c r="AB102" i="2" s="1"/>
  <c r="AB96" i="2"/>
  <c r="AB86" i="2"/>
  <c r="AB91" i="2" s="1"/>
  <c r="AB85" i="2"/>
  <c r="AB75" i="2"/>
  <c r="AB81" i="2" s="1"/>
  <c r="AB74" i="2"/>
  <c r="AB64" i="2"/>
  <c r="AB69" i="2" s="1"/>
  <c r="AB63" i="2"/>
  <c r="AB53" i="2"/>
  <c r="AB58" i="2" s="1"/>
  <c r="AB52" i="2"/>
  <c r="AB42" i="2"/>
  <c r="AB48" i="2" s="1"/>
  <c r="AB41" i="2"/>
  <c r="AB31" i="2"/>
  <c r="AB37" i="2" s="1"/>
  <c r="AB30" i="2"/>
  <c r="AB19" i="2"/>
  <c r="AB25" i="2" s="1"/>
  <c r="AB18" i="2"/>
  <c r="AB127" i="2"/>
  <c r="AB8" i="2"/>
  <c r="AB14" i="2" s="1"/>
  <c r="AB7" i="2"/>
  <c r="AB126" i="2"/>
  <c r="AB124" i="2"/>
  <c r="BG126" i="2"/>
  <c r="AB92" i="2" l="1"/>
  <c r="AB87" i="2"/>
  <c r="AB88" i="2" s="1"/>
  <c r="AB24" i="2"/>
  <c r="AB20" i="2"/>
  <c r="AB26" i="2" s="1"/>
  <c r="AB76" i="2"/>
  <c r="AB77" i="2" s="1"/>
  <c r="AB98" i="2"/>
  <c r="AB99" i="2" s="1"/>
  <c r="AB59" i="2"/>
  <c r="AB103" i="2"/>
  <c r="AB109" i="2"/>
  <c r="AB110" i="2" s="1"/>
  <c r="AB22" i="2"/>
  <c r="AB23" i="2" s="1"/>
  <c r="AB89" i="2"/>
  <c r="AB90" i="2" s="1"/>
  <c r="AB45" i="2"/>
  <c r="AB46" i="2" s="1"/>
  <c r="AB111" i="2"/>
  <c r="AB112" i="2" s="1"/>
  <c r="AB78" i="2"/>
  <c r="AB79" i="2" s="1"/>
  <c r="AB80" i="2"/>
  <c r="AB43" i="2"/>
  <c r="AB44" i="2" s="1"/>
  <c r="AB13" i="2"/>
  <c r="AB47" i="2"/>
  <c r="AB9" i="2"/>
  <c r="AB10" i="2" s="1"/>
  <c r="AB100" i="2"/>
  <c r="AB101" i="2" s="1"/>
  <c r="AB128" i="2"/>
  <c r="AB67" i="2"/>
  <c r="AB68" i="2" s="1"/>
  <c r="AB11" i="2"/>
  <c r="AB12" i="2" s="1"/>
  <c r="AB32" i="2"/>
  <c r="AB33" i="2" s="1"/>
  <c r="AB70" i="2"/>
  <c r="AB119" i="2"/>
  <c r="AB120" i="2" s="1"/>
  <c r="AB54" i="2"/>
  <c r="AB55" i="2" s="1"/>
  <c r="AB121" i="2"/>
  <c r="AB122" i="2" s="1"/>
  <c r="AB129" i="2"/>
  <c r="AB34" i="2"/>
  <c r="AB35" i="2" s="1"/>
  <c r="AB65" i="2"/>
  <c r="AB66" i="2" s="1"/>
  <c r="AB113" i="2"/>
  <c r="AB36" i="2"/>
  <c r="AB56" i="2"/>
  <c r="AB57"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03" i="2"/>
  <c r="AS103" i="2"/>
  <c r="AV92" i="2"/>
  <c r="AS92" i="2"/>
  <c r="AV81" i="2"/>
  <c r="AS81" i="2"/>
  <c r="AV70" i="2"/>
  <c r="AS70" i="2"/>
  <c r="AV59" i="2"/>
  <c r="AS59" i="2"/>
  <c r="AV48" i="2"/>
  <c r="AS48" i="2"/>
  <c r="AV37" i="2"/>
  <c r="AS37" i="2"/>
  <c r="BL26" i="2"/>
  <c r="AV25" i="2"/>
  <c r="AS25"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2" i="2"/>
  <c r="AV102"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3" i="2"/>
  <c r="AS113" i="2"/>
  <c r="AV91" i="2"/>
  <c r="AS91" i="2"/>
  <c r="AV80" i="2"/>
  <c r="AS80" i="2"/>
  <c r="AV69" i="2"/>
  <c r="AS69" i="2"/>
  <c r="AV58" i="2"/>
  <c r="AS58" i="2"/>
  <c r="AV47" i="2"/>
  <c r="AS47" i="2"/>
  <c r="AV36" i="2"/>
  <c r="AS36"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8" i="2"/>
  <c r="U107" i="2"/>
  <c r="U97" i="2"/>
  <c r="U96" i="2"/>
  <c r="U86" i="2"/>
  <c r="U92" i="2" s="1"/>
  <c r="U85" i="2"/>
  <c r="U75" i="2"/>
  <c r="U74" i="2"/>
  <c r="U64" i="2"/>
  <c r="U70" i="2" s="1"/>
  <c r="U63" i="2"/>
  <c r="U53" i="2"/>
  <c r="U52" i="2"/>
  <c r="U42" i="2"/>
  <c r="U48" i="2" s="1"/>
  <c r="U41" i="2"/>
  <c r="U31" i="2"/>
  <c r="U37" i="2" s="1"/>
  <c r="U30" i="2"/>
  <c r="U19" i="2"/>
  <c r="U25" i="2" s="1"/>
  <c r="U18" i="2"/>
  <c r="U8" i="2"/>
  <c r="U14" i="2" s="1"/>
  <c r="U7" i="2"/>
  <c r="U102" i="2" l="1"/>
  <c r="U103" i="2"/>
  <c r="U123" i="2"/>
  <c r="U124" i="2"/>
  <c r="U58" i="2"/>
  <c r="U59" i="2"/>
  <c r="U80" i="2"/>
  <c r="U81" i="2"/>
  <c r="U13" i="2"/>
  <c r="U32" i="2"/>
  <c r="U33" i="2" s="1"/>
  <c r="U36" i="2"/>
  <c r="U43" i="2"/>
  <c r="U44" i="2" s="1"/>
  <c r="U47" i="2"/>
  <c r="U65" i="2"/>
  <c r="U66" i="2" s="1"/>
  <c r="U69" i="2"/>
  <c r="U87" i="2"/>
  <c r="U88" i="2" s="1"/>
  <c r="U91" i="2"/>
  <c r="U109" i="2"/>
  <c r="U110" i="2" s="1"/>
  <c r="U113" i="2"/>
  <c r="U20" i="2"/>
  <c r="U24" i="2"/>
  <c r="U56" i="2"/>
  <c r="U57" i="2" s="1"/>
  <c r="U78" i="2"/>
  <c r="U79" i="2" s="1"/>
  <c r="U100" i="2"/>
  <c r="U101" i="2" s="1"/>
  <c r="U121" i="2"/>
  <c r="U122" i="2" s="1"/>
  <c r="U129" i="2"/>
  <c r="U128" i="2"/>
  <c r="U76" i="2"/>
  <c r="U77" i="2" s="1"/>
  <c r="U119" i="2"/>
  <c r="U120" i="2" s="1"/>
  <c r="U34" i="2"/>
  <c r="U35" i="2" s="1"/>
  <c r="U54" i="2"/>
  <c r="U55" i="2" s="1"/>
  <c r="U98" i="2"/>
  <c r="U99" i="2" s="1"/>
  <c r="U9" i="2"/>
  <c r="U10" i="2" s="1"/>
  <c r="U22" i="2"/>
  <c r="U23" i="2" s="1"/>
  <c r="U45" i="2"/>
  <c r="U46" i="2" s="1"/>
  <c r="U67" i="2"/>
  <c r="U68" i="2" s="1"/>
  <c r="U89" i="2"/>
  <c r="U90" i="2" s="1"/>
  <c r="U111" i="2"/>
  <c r="U112" i="2" s="1"/>
  <c r="U11" i="2"/>
  <c r="U12" i="2" s="1"/>
  <c r="U21" i="2" l="1"/>
  <c r="U26" i="2"/>
  <c r="U130" i="2"/>
  <c r="U131" i="2" s="1"/>
  <c r="U134" i="2"/>
  <c r="U132" i="2"/>
  <c r="U133" i="2" s="1"/>
  <c r="I40" i="5" l="1"/>
  <c r="I104" i="5" s="1"/>
  <c r="I32" i="5"/>
  <c r="I11" i="5"/>
  <c r="I3" i="5"/>
  <c r="H82" i="11"/>
  <c r="BJ86" i="2" l="1"/>
  <c r="G40" i="5"/>
  <c r="D40" i="5"/>
  <c r="G32" i="5"/>
  <c r="D32" i="5"/>
  <c r="G11" i="5"/>
  <c r="D11" i="5"/>
  <c r="G3" i="5"/>
  <c r="D3" i="5"/>
  <c r="J40" i="4"/>
  <c r="F40" i="4"/>
  <c r="J32" i="4"/>
  <c r="F32" i="4"/>
  <c r="J11" i="4"/>
  <c r="F11" i="4"/>
  <c r="J3" i="4"/>
  <c r="F3" i="4"/>
  <c r="BJ91" i="2" l="1"/>
  <c r="BJ92" i="2"/>
  <c r="G73" i="5"/>
  <c r="G72" i="5"/>
  <c r="G67" i="5"/>
  <c r="G63" i="5"/>
  <c r="G62" i="5"/>
  <c r="G61" i="5"/>
  <c r="G60" i="5"/>
  <c r="G47" i="5"/>
  <c r="G46" i="5"/>
  <c r="G45" i="5"/>
  <c r="G44" i="5"/>
  <c r="G43" i="5"/>
  <c r="G42" i="5" l="1"/>
  <c r="G49" i="5" s="1"/>
  <c r="G64" i="5"/>
  <c r="G74" i="5"/>
  <c r="BF117" i="2"/>
  <c r="BE117" i="2"/>
  <c r="BD117" i="2"/>
  <c r="BC117" i="2"/>
  <c r="BF107" i="2"/>
  <c r="BE107" i="2"/>
  <c r="BD107" i="2"/>
  <c r="BC107" i="2"/>
  <c r="BF96" i="2"/>
  <c r="BE96" i="2"/>
  <c r="BD96" i="2"/>
  <c r="BC96" i="2"/>
  <c r="BF85" i="2"/>
  <c r="BE85" i="2"/>
  <c r="BD85" i="2"/>
  <c r="BC85" i="2"/>
  <c r="BF74" i="2"/>
  <c r="BE74" i="2"/>
  <c r="BD74" i="2"/>
  <c r="BC74" i="2"/>
  <c r="BF63" i="2"/>
  <c r="BE63" i="2"/>
  <c r="BD63" i="2"/>
  <c r="BC63" i="2"/>
  <c r="BF52" i="2"/>
  <c r="BE52" i="2"/>
  <c r="BD52" i="2"/>
  <c r="BC52" i="2"/>
  <c r="BF41" i="2"/>
  <c r="BE41" i="2"/>
  <c r="BD41" i="2"/>
  <c r="BC41" i="2"/>
  <c r="BF30" i="2"/>
  <c r="BE30" i="2"/>
  <c r="BD30" i="2"/>
  <c r="BC30" i="2"/>
  <c r="BF18" i="2"/>
  <c r="BE18" i="2"/>
  <c r="BD18" i="2"/>
  <c r="BC18" i="2"/>
  <c r="BF7" i="2"/>
  <c r="BE7" i="2"/>
  <c r="BD7" i="2"/>
  <c r="BC7" i="2"/>
  <c r="I73" i="4"/>
  <c r="F73" i="4"/>
  <c r="I72" i="4"/>
  <c r="F72" i="4"/>
  <c r="I67" i="4"/>
  <c r="F67" i="4"/>
  <c r="I63" i="4"/>
  <c r="F63" i="4"/>
  <c r="I62" i="4"/>
  <c r="F62" i="4"/>
  <c r="I61" i="4"/>
  <c r="F61" i="4"/>
  <c r="I60" i="4"/>
  <c r="F60" i="4"/>
  <c r="AC127" i="2"/>
  <c r="AC126" i="2"/>
  <c r="AC118" i="2"/>
  <c r="AC117" i="2"/>
  <c r="AC108" i="2"/>
  <c r="AC107" i="2"/>
  <c r="AC97" i="2"/>
  <c r="AC96" i="2"/>
  <c r="AC86" i="2"/>
  <c r="AC92" i="2" s="1"/>
  <c r="AC85" i="2"/>
  <c r="AC75" i="2"/>
  <c r="AC74" i="2"/>
  <c r="AC64" i="2"/>
  <c r="AC70" i="2" s="1"/>
  <c r="AC63" i="2"/>
  <c r="AC53" i="2"/>
  <c r="AC52" i="2"/>
  <c r="AC42" i="2"/>
  <c r="AC41" i="2"/>
  <c r="H101" i="4" s="1"/>
  <c r="AC31" i="2"/>
  <c r="I100" i="4" s="1"/>
  <c r="AC30" i="2"/>
  <c r="H100" i="4" s="1"/>
  <c r="H102" i="4" s="1"/>
  <c r="AC19" i="2"/>
  <c r="AC25" i="2" s="1"/>
  <c r="AC18" i="2"/>
  <c r="AC8" i="2"/>
  <c r="AC14" i="2" s="1"/>
  <c r="AC7" i="2"/>
  <c r="AC48" i="2" l="1"/>
  <c r="I101" i="4"/>
  <c r="I102" i="4" s="1"/>
  <c r="K100" i="4"/>
  <c r="L100" i="4" s="1"/>
  <c r="M100" i="4"/>
  <c r="AC102" i="2"/>
  <c r="AC103" i="2"/>
  <c r="AC123" i="2"/>
  <c r="AC124" i="2"/>
  <c r="BK126" i="2"/>
  <c r="AC13" i="2"/>
  <c r="AC36" i="2"/>
  <c r="AC37" i="2"/>
  <c r="AC58" i="2"/>
  <c r="AC59" i="2"/>
  <c r="AC80" i="2"/>
  <c r="AC81" i="2"/>
  <c r="G27" i="5"/>
  <c r="F27" i="11"/>
  <c r="I27" i="4"/>
  <c r="H27" i="11"/>
  <c r="AC65" i="2"/>
  <c r="AC66" i="2" s="1"/>
  <c r="AC69" i="2"/>
  <c r="AC87" i="2"/>
  <c r="AC88" i="2" s="1"/>
  <c r="AC91" i="2"/>
  <c r="AC20" i="2"/>
  <c r="AC24" i="2"/>
  <c r="AC43" i="2"/>
  <c r="AC44" i="2" s="1"/>
  <c r="AC47" i="2"/>
  <c r="AC109" i="2"/>
  <c r="AC110" i="2" s="1"/>
  <c r="AC113" i="2"/>
  <c r="F74" i="4"/>
  <c r="I74" i="4"/>
  <c r="I64" i="4"/>
  <c r="AC129" i="2"/>
  <c r="I27" i="11" s="1"/>
  <c r="Q27" i="11" s="1"/>
  <c r="F64" i="4"/>
  <c r="F27" i="4"/>
  <c r="AC34" i="2"/>
  <c r="AC35" i="2" s="1"/>
  <c r="AC56" i="2"/>
  <c r="AC57" i="2" s="1"/>
  <c r="AC78" i="2"/>
  <c r="AC79" i="2" s="1"/>
  <c r="AC100" i="2"/>
  <c r="AC101" i="2" s="1"/>
  <c r="AC121" i="2"/>
  <c r="AC122" i="2" s="1"/>
  <c r="AC128" i="2"/>
  <c r="AC9" i="2"/>
  <c r="AC10" i="2" s="1"/>
  <c r="AC22" i="2"/>
  <c r="AC23" i="2" s="1"/>
  <c r="AC32" i="2"/>
  <c r="AC33" i="2" s="1"/>
  <c r="AC45" i="2"/>
  <c r="AC46" i="2" s="1"/>
  <c r="AC54" i="2"/>
  <c r="AC55" i="2" s="1"/>
  <c r="AC67" i="2"/>
  <c r="AC68" i="2" s="1"/>
  <c r="AC76" i="2"/>
  <c r="AC77" i="2" s="1"/>
  <c r="AC89" i="2"/>
  <c r="AC90" i="2" s="1"/>
  <c r="AC98" i="2"/>
  <c r="AC99" i="2" s="1"/>
  <c r="AC111" i="2"/>
  <c r="AC112" i="2" s="1"/>
  <c r="AC119" i="2"/>
  <c r="AC120" i="2" s="1"/>
  <c r="AC11" i="2"/>
  <c r="AC12" i="2" s="1"/>
  <c r="I49" i="4"/>
  <c r="F49" i="4"/>
  <c r="I46" i="4"/>
  <c r="F46" i="4"/>
  <c r="I45" i="4"/>
  <c r="F45" i="4"/>
  <c r="I48" i="4"/>
  <c r="F48" i="4"/>
  <c r="I47" i="4"/>
  <c r="F47" i="4"/>
  <c r="I43" i="4"/>
  <c r="F43" i="4"/>
  <c r="AV121" i="2"/>
  <c r="AV122" i="2" s="1"/>
  <c r="AS121" i="2"/>
  <c r="AS122" i="2" s="1"/>
  <c r="AV119" i="2"/>
  <c r="AV120" i="2" s="1"/>
  <c r="AS119" i="2"/>
  <c r="AS120" i="2" s="1"/>
  <c r="AV111" i="2"/>
  <c r="AV112" i="2" s="1"/>
  <c r="AS111" i="2"/>
  <c r="AS112" i="2" s="1"/>
  <c r="AV109" i="2"/>
  <c r="AV110" i="2" s="1"/>
  <c r="AS109" i="2"/>
  <c r="AS110" i="2" s="1"/>
  <c r="AV100" i="2"/>
  <c r="AV101" i="2" s="1"/>
  <c r="AS100" i="2"/>
  <c r="AS101" i="2" s="1"/>
  <c r="AV98" i="2"/>
  <c r="AV99" i="2" s="1"/>
  <c r="AS98" i="2"/>
  <c r="AS99" i="2" s="1"/>
  <c r="AV89" i="2"/>
  <c r="AV90" i="2" s="1"/>
  <c r="AS89" i="2"/>
  <c r="AS90" i="2" s="1"/>
  <c r="AV87" i="2"/>
  <c r="AV88" i="2" s="1"/>
  <c r="AS87" i="2"/>
  <c r="AS88" i="2" s="1"/>
  <c r="AV78" i="2"/>
  <c r="AV79" i="2" s="1"/>
  <c r="AS78" i="2"/>
  <c r="AS79" i="2" s="1"/>
  <c r="AV76" i="2"/>
  <c r="AV77" i="2" s="1"/>
  <c r="AS76" i="2"/>
  <c r="AS77" i="2" s="1"/>
  <c r="AV67" i="2"/>
  <c r="AV68" i="2" s="1"/>
  <c r="AS67" i="2"/>
  <c r="AS68" i="2" s="1"/>
  <c r="AV65" i="2"/>
  <c r="AV66" i="2" s="1"/>
  <c r="AS65" i="2"/>
  <c r="AS66" i="2" s="1"/>
  <c r="AV56" i="2"/>
  <c r="AV57" i="2" s="1"/>
  <c r="AS56" i="2"/>
  <c r="AS57" i="2" s="1"/>
  <c r="AV54" i="2"/>
  <c r="AV55" i="2" s="1"/>
  <c r="AS54" i="2"/>
  <c r="AS55" i="2" s="1"/>
  <c r="AV45" i="2"/>
  <c r="AV46" i="2" s="1"/>
  <c r="AS45" i="2"/>
  <c r="AS46" i="2" s="1"/>
  <c r="AV43" i="2"/>
  <c r="AV44" i="2" s="1"/>
  <c r="AS43" i="2"/>
  <c r="AS44" i="2" s="1"/>
  <c r="AV34" i="2"/>
  <c r="AV35" i="2" s="1"/>
  <c r="AS34" i="2"/>
  <c r="AS35" i="2" s="1"/>
  <c r="AV32" i="2"/>
  <c r="AV33" i="2" s="1"/>
  <c r="AS32" i="2"/>
  <c r="AS33" i="2" s="1"/>
  <c r="AV22" i="2"/>
  <c r="AV23" i="2" s="1"/>
  <c r="AS22" i="2"/>
  <c r="AS23" i="2" s="1"/>
  <c r="AV20" i="2"/>
  <c r="AS20" i="2"/>
  <c r="AS9" i="2"/>
  <c r="AS10" i="2" s="1"/>
  <c r="AV9" i="2"/>
  <c r="AV10" i="2" s="1"/>
  <c r="AS11" i="2"/>
  <c r="AS12" i="2" s="1"/>
  <c r="AV11" i="2"/>
  <c r="AV12" i="2" s="1"/>
  <c r="R27" i="11" l="1"/>
  <c r="K102" i="4"/>
  <c r="L102" i="4" s="1"/>
  <c r="M102" i="4"/>
  <c r="K101" i="4"/>
  <c r="L101" i="4" s="1"/>
  <c r="M101" i="4"/>
  <c r="C27" i="11"/>
  <c r="M27" i="11" s="1"/>
  <c r="N27" i="11" s="1"/>
  <c r="H27" i="4"/>
  <c r="AV21" i="2"/>
  <c r="AV26" i="2"/>
  <c r="AS21" i="2"/>
  <c r="AS26" i="2"/>
  <c r="AC21" i="2"/>
  <c r="AC26" i="2"/>
  <c r="O27" i="11"/>
  <c r="K27" i="11"/>
  <c r="L27" i="11" s="1"/>
  <c r="AC130" i="2"/>
  <c r="AC131" i="2" s="1"/>
  <c r="AC134" i="2"/>
  <c r="D27" i="5"/>
  <c r="I27" i="5"/>
  <c r="M27" i="5" s="1"/>
  <c r="J27" i="4"/>
  <c r="AC132" i="2"/>
  <c r="AC133" i="2" s="1"/>
  <c r="I42" i="4"/>
  <c r="I50" i="4" s="1"/>
  <c r="F42" i="4"/>
  <c r="M27" i="4" l="1"/>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1" i="2"/>
  <c r="BL37" i="2" s="1"/>
  <c r="BJ31" i="2"/>
  <c r="BG31" i="2"/>
  <c r="BF31" i="2"/>
  <c r="BE31" i="2"/>
  <c r="BD31" i="2"/>
  <c r="BC31" i="2"/>
  <c r="BB31" i="2"/>
  <c r="I103" i="4" s="1"/>
  <c r="BA31" i="2"/>
  <c r="AZ31" i="2"/>
  <c r="AY31" i="2"/>
  <c r="AX31" i="2"/>
  <c r="AW31" i="2"/>
  <c r="AU31" i="2"/>
  <c r="AT31" i="2"/>
  <c r="AR31" i="2"/>
  <c r="AQ31" i="2"/>
  <c r="AP31" i="2"/>
  <c r="AO31" i="2"/>
  <c r="AN31" i="2"/>
  <c r="AM31" i="2"/>
  <c r="AL31" i="2"/>
  <c r="AK31" i="2"/>
  <c r="AJ31" i="2"/>
  <c r="AI31" i="2"/>
  <c r="AH31" i="2"/>
  <c r="AG31" i="2"/>
  <c r="AF31" i="2"/>
  <c r="AE31" i="2"/>
  <c r="AA31" i="2"/>
  <c r="Z31" i="2"/>
  <c r="Y31" i="2"/>
  <c r="X31" i="2"/>
  <c r="W31" i="2"/>
  <c r="I92" i="4" s="1"/>
  <c r="V31" i="2"/>
  <c r="T31" i="2"/>
  <c r="S31" i="2"/>
  <c r="R31" i="2"/>
  <c r="Q31" i="2"/>
  <c r="P31" i="2"/>
  <c r="O31" i="2"/>
  <c r="N31" i="2"/>
  <c r="M31" i="2"/>
  <c r="L31" i="2"/>
  <c r="K31" i="2"/>
  <c r="J31" i="2"/>
  <c r="I31" i="2"/>
  <c r="H31" i="2"/>
  <c r="G31" i="2"/>
  <c r="F31" i="2"/>
  <c r="E31" i="2"/>
  <c r="D31" i="2"/>
  <c r="C31" i="2"/>
  <c r="BL42" i="2"/>
  <c r="BL48" i="2" s="1"/>
  <c r="BJ42" i="2"/>
  <c r="BG42" i="2"/>
  <c r="BF42" i="2"/>
  <c r="BE42" i="2"/>
  <c r="BD42" i="2"/>
  <c r="BC42" i="2"/>
  <c r="BB42" i="2"/>
  <c r="I104" i="4" s="1"/>
  <c r="BA42" i="2"/>
  <c r="AZ42" i="2"/>
  <c r="AY42" i="2"/>
  <c r="AX42" i="2"/>
  <c r="AW42" i="2"/>
  <c r="AU42" i="2"/>
  <c r="AT42" i="2"/>
  <c r="AR42" i="2"/>
  <c r="AQ42" i="2"/>
  <c r="AP42" i="2"/>
  <c r="AO42" i="2"/>
  <c r="AN42" i="2"/>
  <c r="AM42" i="2"/>
  <c r="AL42" i="2"/>
  <c r="AK42" i="2"/>
  <c r="AJ42" i="2"/>
  <c r="AI42" i="2"/>
  <c r="AH42" i="2"/>
  <c r="AG42" i="2"/>
  <c r="AF42" i="2"/>
  <c r="AE42" i="2"/>
  <c r="AA42" i="2"/>
  <c r="Z42" i="2"/>
  <c r="Y42" i="2"/>
  <c r="X42" i="2"/>
  <c r="W42" i="2"/>
  <c r="V42" i="2"/>
  <c r="I93" i="4" s="1"/>
  <c r="T42" i="2"/>
  <c r="S42" i="2"/>
  <c r="R42" i="2"/>
  <c r="Q42" i="2"/>
  <c r="P42" i="2"/>
  <c r="O42" i="2"/>
  <c r="N42" i="2"/>
  <c r="M42" i="2"/>
  <c r="L42" i="2"/>
  <c r="K42" i="2"/>
  <c r="J42" i="2"/>
  <c r="I42" i="2"/>
  <c r="H42" i="2"/>
  <c r="G42" i="2"/>
  <c r="F42" i="2"/>
  <c r="E42" i="2"/>
  <c r="D42" i="2"/>
  <c r="C42" i="2"/>
  <c r="BL53" i="2"/>
  <c r="BL59" i="2" s="1"/>
  <c r="BJ53" i="2"/>
  <c r="BG53" i="2"/>
  <c r="BF53" i="2"/>
  <c r="BE53" i="2"/>
  <c r="BD53" i="2"/>
  <c r="BC53" i="2"/>
  <c r="BB53" i="2"/>
  <c r="BA53" i="2"/>
  <c r="AZ53" i="2"/>
  <c r="AY53" i="2"/>
  <c r="AX53" i="2"/>
  <c r="AW53" i="2"/>
  <c r="AU53" i="2"/>
  <c r="AT53" i="2"/>
  <c r="AR53" i="2"/>
  <c r="AQ53" i="2"/>
  <c r="I98" i="4" s="1"/>
  <c r="AP53" i="2"/>
  <c r="AO53" i="2"/>
  <c r="AN53" i="2"/>
  <c r="AM53" i="2"/>
  <c r="AL53" i="2"/>
  <c r="AK53" i="2"/>
  <c r="AJ53" i="2"/>
  <c r="AI53" i="2"/>
  <c r="AH53" i="2"/>
  <c r="AG53" i="2"/>
  <c r="AF53" i="2"/>
  <c r="AE53" i="2"/>
  <c r="AA53" i="2"/>
  <c r="Z53" i="2"/>
  <c r="Y53" i="2"/>
  <c r="X53" i="2"/>
  <c r="W53" i="2"/>
  <c r="V53" i="2"/>
  <c r="I94" i="4" s="1"/>
  <c r="T53" i="2"/>
  <c r="S53" i="2"/>
  <c r="R53" i="2"/>
  <c r="Q53" i="2"/>
  <c r="P53" i="2"/>
  <c r="O53" i="2"/>
  <c r="N53" i="2"/>
  <c r="M53" i="2"/>
  <c r="L53" i="2"/>
  <c r="K53" i="2"/>
  <c r="J53" i="2"/>
  <c r="I53" i="2"/>
  <c r="H53" i="2"/>
  <c r="G53" i="2"/>
  <c r="F53" i="2"/>
  <c r="E53" i="2"/>
  <c r="D53" i="2"/>
  <c r="C53" i="2"/>
  <c r="BL64" i="2"/>
  <c r="BL70" i="2" s="1"/>
  <c r="BJ64" i="2"/>
  <c r="BG64" i="2"/>
  <c r="BF64" i="2"/>
  <c r="BE64" i="2"/>
  <c r="BD64" i="2"/>
  <c r="BC64" i="2"/>
  <c r="BB64" i="2"/>
  <c r="BA64" i="2"/>
  <c r="AZ64" i="2"/>
  <c r="AY64" i="2"/>
  <c r="AX64" i="2"/>
  <c r="AW64" i="2"/>
  <c r="AU64" i="2"/>
  <c r="AT64" i="2"/>
  <c r="AR64" i="2"/>
  <c r="AQ64" i="2"/>
  <c r="AP64" i="2"/>
  <c r="AO64" i="2"/>
  <c r="AN64" i="2"/>
  <c r="AN70" i="2" s="1"/>
  <c r="AM64" i="2"/>
  <c r="AM70" i="2" s="1"/>
  <c r="AL64" i="2"/>
  <c r="AK64" i="2"/>
  <c r="AJ64" i="2"/>
  <c r="AI64" i="2"/>
  <c r="AH64" i="2"/>
  <c r="AG64" i="2"/>
  <c r="AF64" i="2"/>
  <c r="AE64" i="2"/>
  <c r="AA64" i="2"/>
  <c r="Z64" i="2"/>
  <c r="Y64" i="2"/>
  <c r="X64" i="2"/>
  <c r="W64" i="2"/>
  <c r="V64" i="2"/>
  <c r="T64" i="2"/>
  <c r="S64" i="2"/>
  <c r="R64" i="2"/>
  <c r="Q64" i="2"/>
  <c r="P64" i="2"/>
  <c r="O64" i="2"/>
  <c r="N64" i="2"/>
  <c r="M64" i="2"/>
  <c r="L64" i="2"/>
  <c r="K64" i="2"/>
  <c r="J64" i="2"/>
  <c r="I64" i="2"/>
  <c r="H64" i="2"/>
  <c r="G64" i="2"/>
  <c r="F64" i="2"/>
  <c r="E64" i="2"/>
  <c r="D64" i="2"/>
  <c r="C64" i="2"/>
  <c r="BL75" i="2"/>
  <c r="BL81" i="2" s="1"/>
  <c r="BJ75" i="2"/>
  <c r="BG75" i="2"/>
  <c r="BF75" i="2"/>
  <c r="BE75" i="2"/>
  <c r="BD75" i="2"/>
  <c r="BC75" i="2"/>
  <c r="BB75" i="2"/>
  <c r="BA75" i="2"/>
  <c r="AZ75" i="2"/>
  <c r="AY75" i="2"/>
  <c r="AX75" i="2"/>
  <c r="AW75" i="2"/>
  <c r="AU75" i="2"/>
  <c r="AT75" i="2"/>
  <c r="AR75" i="2"/>
  <c r="AQ75" i="2"/>
  <c r="AP75" i="2"/>
  <c r="AO75" i="2"/>
  <c r="AN75" i="2"/>
  <c r="AM75" i="2"/>
  <c r="AL75" i="2"/>
  <c r="AK75" i="2"/>
  <c r="AJ75" i="2"/>
  <c r="AI75" i="2"/>
  <c r="AH75" i="2"/>
  <c r="AG75" i="2"/>
  <c r="AF75" i="2"/>
  <c r="AE75" i="2"/>
  <c r="AA75" i="2"/>
  <c r="Z75" i="2"/>
  <c r="Y75" i="2"/>
  <c r="X75" i="2"/>
  <c r="W75" i="2"/>
  <c r="V75" i="2"/>
  <c r="T75" i="2"/>
  <c r="S75" i="2"/>
  <c r="R75" i="2"/>
  <c r="Q75" i="2"/>
  <c r="P75" i="2"/>
  <c r="O75" i="2"/>
  <c r="N75" i="2"/>
  <c r="M75" i="2"/>
  <c r="L75" i="2"/>
  <c r="K75" i="2"/>
  <c r="J75" i="2"/>
  <c r="I75" i="2"/>
  <c r="H75" i="2"/>
  <c r="G75" i="2"/>
  <c r="F75" i="2"/>
  <c r="E75" i="2"/>
  <c r="D75" i="2"/>
  <c r="C75" i="2"/>
  <c r="BL86" i="2"/>
  <c r="BL92" i="2" s="1"/>
  <c r="BG86" i="2"/>
  <c r="BF86" i="2"/>
  <c r="BE86" i="2"/>
  <c r="BD86" i="2"/>
  <c r="BC86" i="2"/>
  <c r="BB86" i="2"/>
  <c r="BA86" i="2"/>
  <c r="AZ86" i="2"/>
  <c r="AY86" i="2"/>
  <c r="AX86" i="2"/>
  <c r="AW86" i="2"/>
  <c r="AU86" i="2"/>
  <c r="AT86" i="2"/>
  <c r="AR86" i="2"/>
  <c r="AQ86" i="2"/>
  <c r="AP86" i="2"/>
  <c r="J44" i="4" s="1"/>
  <c r="AO86" i="2"/>
  <c r="AN86" i="2"/>
  <c r="AM86" i="2"/>
  <c r="AM92" i="2" s="1"/>
  <c r="AL86" i="2"/>
  <c r="AK86" i="2"/>
  <c r="AJ86" i="2"/>
  <c r="AI86" i="2"/>
  <c r="AH86" i="2"/>
  <c r="AG86" i="2"/>
  <c r="AF86" i="2"/>
  <c r="AE86" i="2"/>
  <c r="AA86" i="2"/>
  <c r="Z86" i="2"/>
  <c r="Y86" i="2"/>
  <c r="X86" i="2"/>
  <c r="W86" i="2"/>
  <c r="V86" i="2"/>
  <c r="T86" i="2"/>
  <c r="S86" i="2"/>
  <c r="R86" i="2"/>
  <c r="Q86" i="2"/>
  <c r="P86" i="2"/>
  <c r="O86" i="2"/>
  <c r="N86" i="2"/>
  <c r="M86" i="2"/>
  <c r="L86" i="2"/>
  <c r="K86" i="2"/>
  <c r="J86" i="2"/>
  <c r="I86" i="2"/>
  <c r="H86" i="2"/>
  <c r="G86" i="2"/>
  <c r="F86" i="2"/>
  <c r="E86" i="2"/>
  <c r="D86" i="2"/>
  <c r="C86" i="2"/>
  <c r="BL97" i="2"/>
  <c r="BL103" i="2" s="1"/>
  <c r="BJ97" i="2"/>
  <c r="BG97" i="2"/>
  <c r="BF97" i="2"/>
  <c r="BE97" i="2"/>
  <c r="BD97" i="2"/>
  <c r="BC97" i="2"/>
  <c r="BB97" i="2"/>
  <c r="BA97" i="2"/>
  <c r="AZ97" i="2"/>
  <c r="AY97" i="2"/>
  <c r="AX97" i="2"/>
  <c r="AW97" i="2"/>
  <c r="AU97" i="2"/>
  <c r="AT97" i="2"/>
  <c r="AR97" i="2"/>
  <c r="AQ97" i="2"/>
  <c r="AP97" i="2"/>
  <c r="AO97" i="2"/>
  <c r="AN97" i="2"/>
  <c r="AM97" i="2"/>
  <c r="AM103" i="2" s="1"/>
  <c r="AL97" i="2"/>
  <c r="AK97" i="2"/>
  <c r="AJ97" i="2"/>
  <c r="AI97" i="2"/>
  <c r="AH97" i="2"/>
  <c r="AG97" i="2"/>
  <c r="AF97" i="2"/>
  <c r="AE97" i="2"/>
  <c r="AA97" i="2"/>
  <c r="Z97" i="2"/>
  <c r="Y97" i="2"/>
  <c r="X97" i="2"/>
  <c r="W97" i="2"/>
  <c r="V97" i="2"/>
  <c r="T97" i="2"/>
  <c r="S97" i="2"/>
  <c r="R97" i="2"/>
  <c r="Q97" i="2"/>
  <c r="P97" i="2"/>
  <c r="O97" i="2"/>
  <c r="N97" i="2"/>
  <c r="M97" i="2"/>
  <c r="L97" i="2"/>
  <c r="K97" i="2"/>
  <c r="J97" i="2"/>
  <c r="I97" i="2"/>
  <c r="H97" i="2"/>
  <c r="G97" i="2"/>
  <c r="F97" i="2"/>
  <c r="E97" i="2"/>
  <c r="D97" i="2"/>
  <c r="C97" i="2"/>
  <c r="BL108" i="2"/>
  <c r="BJ108" i="2"/>
  <c r="BG108" i="2"/>
  <c r="BF108" i="2"/>
  <c r="BE108" i="2"/>
  <c r="BD108" i="2"/>
  <c r="BC108" i="2"/>
  <c r="BB108" i="2"/>
  <c r="BA108" i="2"/>
  <c r="AZ108" i="2"/>
  <c r="AY108" i="2"/>
  <c r="AX108" i="2"/>
  <c r="AW108" i="2"/>
  <c r="AU108" i="2"/>
  <c r="AT108" i="2"/>
  <c r="AR108" i="2"/>
  <c r="AQ108" i="2"/>
  <c r="AP108" i="2"/>
  <c r="AO108" i="2"/>
  <c r="AN108" i="2"/>
  <c r="AM108" i="2"/>
  <c r="AL108" i="2"/>
  <c r="AK108" i="2"/>
  <c r="AJ108" i="2"/>
  <c r="AI108" i="2"/>
  <c r="AH108" i="2"/>
  <c r="AG108" i="2"/>
  <c r="AF108" i="2"/>
  <c r="AE108" i="2"/>
  <c r="AA108" i="2"/>
  <c r="Z108" i="2"/>
  <c r="Y108" i="2"/>
  <c r="X108" i="2"/>
  <c r="W108" i="2"/>
  <c r="V108" i="2"/>
  <c r="T108" i="2"/>
  <c r="S108" i="2"/>
  <c r="R108" i="2"/>
  <c r="Q108" i="2"/>
  <c r="P108" i="2"/>
  <c r="O108" i="2"/>
  <c r="N108" i="2"/>
  <c r="M108" i="2"/>
  <c r="L108" i="2"/>
  <c r="K108" i="2"/>
  <c r="J108" i="2"/>
  <c r="I108" i="2"/>
  <c r="H108" i="2"/>
  <c r="G108" i="2"/>
  <c r="F108" i="2"/>
  <c r="E108" i="2"/>
  <c r="D108" i="2"/>
  <c r="C108"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K44" i="4" l="1"/>
  <c r="L44" i="4" s="1"/>
  <c r="O44" i="4"/>
  <c r="M44" i="4"/>
  <c r="N44" i="4" s="1"/>
  <c r="AP81" i="2"/>
  <c r="J67" i="4"/>
  <c r="M93" i="4"/>
  <c r="M103" i="4"/>
  <c r="M94" i="4"/>
  <c r="M104" i="4"/>
  <c r="AQ37" i="2"/>
  <c r="I96" i="4"/>
  <c r="AQ48" i="2"/>
  <c r="I97" i="4"/>
  <c r="M92"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3" i="2"/>
  <c r="E113" i="2"/>
  <c r="G113" i="2"/>
  <c r="I113" i="2"/>
  <c r="K113" i="2"/>
  <c r="M113" i="2"/>
  <c r="O113" i="2"/>
  <c r="Q113" i="2"/>
  <c r="S113" i="2"/>
  <c r="V113" i="2"/>
  <c r="X113" i="2"/>
  <c r="Z113" i="2"/>
  <c r="AE113" i="2"/>
  <c r="AG113" i="2"/>
  <c r="AI113" i="2"/>
  <c r="AK113" i="2"/>
  <c r="AM113" i="2"/>
  <c r="AO113" i="2"/>
  <c r="AQ113" i="2"/>
  <c r="AT113" i="2"/>
  <c r="AW113" i="2"/>
  <c r="AY113" i="2"/>
  <c r="BA113" i="2"/>
  <c r="BC113" i="2"/>
  <c r="BE113" i="2"/>
  <c r="BG113" i="2"/>
  <c r="D102" i="2"/>
  <c r="D103" i="2"/>
  <c r="F102" i="2"/>
  <c r="F103" i="2"/>
  <c r="H102" i="2"/>
  <c r="H103" i="2"/>
  <c r="J102" i="2"/>
  <c r="J103" i="2"/>
  <c r="L102" i="2"/>
  <c r="L103" i="2"/>
  <c r="N102" i="2"/>
  <c r="N103" i="2"/>
  <c r="P102" i="2"/>
  <c r="P103" i="2"/>
  <c r="R102" i="2"/>
  <c r="R103" i="2"/>
  <c r="T102" i="2"/>
  <c r="T103" i="2"/>
  <c r="W102" i="2"/>
  <c r="W103" i="2"/>
  <c r="Y102" i="2"/>
  <c r="Y103" i="2"/>
  <c r="AA102" i="2"/>
  <c r="AA103" i="2"/>
  <c r="AF102" i="2"/>
  <c r="AF103" i="2"/>
  <c r="AH102" i="2"/>
  <c r="AH103" i="2"/>
  <c r="AJ102" i="2"/>
  <c r="AJ103" i="2"/>
  <c r="AL102" i="2"/>
  <c r="AL103" i="2"/>
  <c r="AN102" i="2"/>
  <c r="AN103" i="2"/>
  <c r="AP102" i="2"/>
  <c r="AP103" i="2"/>
  <c r="AR102" i="2"/>
  <c r="AR103" i="2"/>
  <c r="AU102" i="2"/>
  <c r="AU103" i="2"/>
  <c r="AX102" i="2"/>
  <c r="AX103" i="2"/>
  <c r="AZ102" i="2"/>
  <c r="AZ103" i="2"/>
  <c r="BB102" i="2"/>
  <c r="BB103" i="2"/>
  <c r="BD102" i="2"/>
  <c r="BD103" i="2"/>
  <c r="BF102" i="2"/>
  <c r="BF103" i="2"/>
  <c r="BJ102" i="2"/>
  <c r="BJ103"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3" i="2"/>
  <c r="F113" i="2"/>
  <c r="H113" i="2"/>
  <c r="J113" i="2"/>
  <c r="L113" i="2"/>
  <c r="N113" i="2"/>
  <c r="P113" i="2"/>
  <c r="R113" i="2"/>
  <c r="T113" i="2"/>
  <c r="W113" i="2"/>
  <c r="Y113" i="2"/>
  <c r="AA113" i="2"/>
  <c r="AF113" i="2"/>
  <c r="AH113" i="2"/>
  <c r="AJ113" i="2"/>
  <c r="AL113" i="2"/>
  <c r="AN113" i="2"/>
  <c r="AP113" i="2"/>
  <c r="AR113" i="2"/>
  <c r="AU113" i="2"/>
  <c r="AX113" i="2"/>
  <c r="AZ113" i="2"/>
  <c r="BB113" i="2"/>
  <c r="BD113" i="2"/>
  <c r="BF113" i="2"/>
  <c r="BJ113" i="2"/>
  <c r="C102" i="2"/>
  <c r="C103" i="2"/>
  <c r="E102" i="2"/>
  <c r="E103" i="2"/>
  <c r="G102" i="2"/>
  <c r="G103" i="2"/>
  <c r="I102" i="2"/>
  <c r="I103" i="2"/>
  <c r="K102" i="2"/>
  <c r="K103" i="2"/>
  <c r="M102" i="2"/>
  <c r="M103" i="2"/>
  <c r="O102" i="2"/>
  <c r="O103" i="2"/>
  <c r="Q102" i="2"/>
  <c r="Q103" i="2"/>
  <c r="S102" i="2"/>
  <c r="S103" i="2"/>
  <c r="V102" i="2"/>
  <c r="V103" i="2"/>
  <c r="X102" i="2"/>
  <c r="X103" i="2"/>
  <c r="Z102" i="2"/>
  <c r="Z103" i="2"/>
  <c r="AE102" i="2"/>
  <c r="AE103" i="2"/>
  <c r="AG102" i="2"/>
  <c r="AG103" i="2"/>
  <c r="AI102" i="2"/>
  <c r="AI103" i="2"/>
  <c r="AK102" i="2"/>
  <c r="AK103" i="2"/>
  <c r="AO102" i="2"/>
  <c r="AO103" i="2"/>
  <c r="AQ102" i="2"/>
  <c r="AQ103" i="2"/>
  <c r="AT102" i="2"/>
  <c r="AT103" i="2"/>
  <c r="AW102" i="2"/>
  <c r="AW103" i="2"/>
  <c r="AY102" i="2"/>
  <c r="AY103" i="2"/>
  <c r="BA102" i="2"/>
  <c r="BA103" i="2"/>
  <c r="BC102" i="2"/>
  <c r="BC103" i="2"/>
  <c r="BE102" i="2"/>
  <c r="BE103" i="2"/>
  <c r="BG102" i="2"/>
  <c r="BG103" i="2"/>
  <c r="C91" i="2"/>
  <c r="C92" i="2"/>
  <c r="E91" i="2"/>
  <c r="E92" i="2"/>
  <c r="G91" i="2"/>
  <c r="G92" i="2"/>
  <c r="I91" i="2"/>
  <c r="I92" i="2"/>
  <c r="K91" i="2"/>
  <c r="K92" i="2"/>
  <c r="M91" i="2"/>
  <c r="M92" i="2"/>
  <c r="O91" i="2"/>
  <c r="O92" i="2"/>
  <c r="Q91" i="2"/>
  <c r="Q92" i="2"/>
  <c r="S91" i="2"/>
  <c r="S92" i="2"/>
  <c r="V91" i="2"/>
  <c r="V92" i="2"/>
  <c r="X91" i="2"/>
  <c r="X92" i="2"/>
  <c r="Z91" i="2"/>
  <c r="Z92" i="2"/>
  <c r="AE91" i="2"/>
  <c r="AE92" i="2"/>
  <c r="AG91" i="2"/>
  <c r="AG92" i="2"/>
  <c r="AI91" i="2"/>
  <c r="AI92" i="2"/>
  <c r="I43" i="11"/>
  <c r="Q43" i="11" s="1"/>
  <c r="R43" i="11" s="1"/>
  <c r="AK92" i="2"/>
  <c r="AO91" i="2"/>
  <c r="AO92" i="2"/>
  <c r="AQ91" i="2"/>
  <c r="AQ92" i="2"/>
  <c r="AT91" i="2"/>
  <c r="AT92" i="2"/>
  <c r="AW91" i="2"/>
  <c r="AW92" i="2"/>
  <c r="AY91" i="2"/>
  <c r="AY92" i="2"/>
  <c r="I47" i="11"/>
  <c r="Q47" i="11" s="1"/>
  <c r="R47" i="11" s="1"/>
  <c r="BA92" i="2"/>
  <c r="BC91" i="2"/>
  <c r="BC92" i="2"/>
  <c r="BE91" i="2"/>
  <c r="BE92" i="2"/>
  <c r="BG91" i="2"/>
  <c r="BG92" i="2"/>
  <c r="C80" i="2"/>
  <c r="C81" i="2"/>
  <c r="E80" i="2"/>
  <c r="E81" i="2"/>
  <c r="G80" i="2"/>
  <c r="G81" i="2"/>
  <c r="I80" i="2"/>
  <c r="I81" i="2"/>
  <c r="K80" i="2"/>
  <c r="K81" i="2"/>
  <c r="M80" i="2"/>
  <c r="M81" i="2"/>
  <c r="O80" i="2"/>
  <c r="O81" i="2"/>
  <c r="Q80" i="2"/>
  <c r="Q81" i="2"/>
  <c r="S80" i="2"/>
  <c r="S81" i="2"/>
  <c r="V80" i="2"/>
  <c r="V81" i="2"/>
  <c r="X80" i="2"/>
  <c r="X81" i="2"/>
  <c r="Z80" i="2"/>
  <c r="Z81" i="2"/>
  <c r="AE80" i="2"/>
  <c r="AE81" i="2"/>
  <c r="AG80" i="2"/>
  <c r="AG81" i="2"/>
  <c r="AI80" i="2"/>
  <c r="AI81" i="2"/>
  <c r="AK80" i="2"/>
  <c r="AK81" i="2"/>
  <c r="AM80" i="2"/>
  <c r="AM81" i="2"/>
  <c r="AO80" i="2"/>
  <c r="AO81" i="2"/>
  <c r="AQ80" i="2"/>
  <c r="AQ81" i="2"/>
  <c r="AT80" i="2"/>
  <c r="AT81" i="2"/>
  <c r="AW80" i="2"/>
  <c r="AW81" i="2"/>
  <c r="AY80" i="2"/>
  <c r="AY81" i="2"/>
  <c r="BA80" i="2"/>
  <c r="BA81" i="2"/>
  <c r="BC80" i="2"/>
  <c r="BC81" i="2"/>
  <c r="BE80" i="2"/>
  <c r="BE81" i="2"/>
  <c r="BG80" i="2"/>
  <c r="BG81" i="2"/>
  <c r="D69" i="2"/>
  <c r="D70" i="2"/>
  <c r="F69" i="2"/>
  <c r="F70" i="2"/>
  <c r="H69" i="2"/>
  <c r="H70" i="2"/>
  <c r="J69" i="2"/>
  <c r="J70" i="2"/>
  <c r="L69" i="2"/>
  <c r="L70" i="2"/>
  <c r="N69" i="2"/>
  <c r="N70" i="2"/>
  <c r="P69" i="2"/>
  <c r="P70" i="2"/>
  <c r="R69" i="2"/>
  <c r="R70" i="2"/>
  <c r="T69" i="2"/>
  <c r="T70" i="2"/>
  <c r="W69" i="2"/>
  <c r="W70" i="2"/>
  <c r="Y69" i="2"/>
  <c r="Y70" i="2"/>
  <c r="AA69" i="2"/>
  <c r="AA70" i="2"/>
  <c r="AF69" i="2"/>
  <c r="AF70" i="2"/>
  <c r="AH69" i="2"/>
  <c r="AH70" i="2"/>
  <c r="AJ69" i="2"/>
  <c r="AJ70" i="2"/>
  <c r="AL69" i="2"/>
  <c r="AL70" i="2"/>
  <c r="AP69" i="2"/>
  <c r="AP70" i="2"/>
  <c r="AR69" i="2"/>
  <c r="AR70" i="2"/>
  <c r="AU69" i="2"/>
  <c r="AU70" i="2"/>
  <c r="AX69" i="2"/>
  <c r="AX70" i="2"/>
  <c r="AZ69" i="2"/>
  <c r="AZ70" i="2"/>
  <c r="BB69" i="2"/>
  <c r="BB70" i="2"/>
  <c r="BD69" i="2"/>
  <c r="BD70" i="2"/>
  <c r="BF69" i="2"/>
  <c r="BF70" i="2"/>
  <c r="BJ69" i="2"/>
  <c r="BJ70" i="2"/>
  <c r="C58" i="2"/>
  <c r="C59" i="2"/>
  <c r="E58" i="2"/>
  <c r="E59" i="2"/>
  <c r="G58" i="2"/>
  <c r="G59" i="2"/>
  <c r="I58" i="2"/>
  <c r="I59" i="2"/>
  <c r="K58" i="2"/>
  <c r="K59" i="2"/>
  <c r="M58" i="2"/>
  <c r="M59" i="2"/>
  <c r="O58" i="2"/>
  <c r="O59" i="2"/>
  <c r="Q58" i="2"/>
  <c r="Q59" i="2"/>
  <c r="S58" i="2"/>
  <c r="S59" i="2"/>
  <c r="V58" i="2"/>
  <c r="V59" i="2"/>
  <c r="X58" i="2"/>
  <c r="X59" i="2"/>
  <c r="Z58" i="2"/>
  <c r="Z59" i="2"/>
  <c r="AE58" i="2"/>
  <c r="AE59" i="2"/>
  <c r="AG58" i="2"/>
  <c r="AG59" i="2"/>
  <c r="AI58" i="2"/>
  <c r="AI59" i="2"/>
  <c r="AK58" i="2"/>
  <c r="AK59" i="2"/>
  <c r="AM58" i="2"/>
  <c r="AM59" i="2"/>
  <c r="AO58" i="2"/>
  <c r="AO59" i="2"/>
  <c r="AQ58" i="2"/>
  <c r="AQ59" i="2"/>
  <c r="AT58" i="2"/>
  <c r="AT59" i="2"/>
  <c r="AW58" i="2"/>
  <c r="AW59" i="2"/>
  <c r="AY58" i="2"/>
  <c r="AY59" i="2"/>
  <c r="BA58" i="2"/>
  <c r="BA59" i="2"/>
  <c r="BC58" i="2"/>
  <c r="BC59" i="2"/>
  <c r="BE58" i="2"/>
  <c r="BE59" i="2"/>
  <c r="BG58" i="2"/>
  <c r="BG59" i="2"/>
  <c r="D47" i="2"/>
  <c r="D48" i="2"/>
  <c r="F47" i="2"/>
  <c r="F48" i="2"/>
  <c r="H47" i="2"/>
  <c r="H48" i="2"/>
  <c r="J47" i="2"/>
  <c r="J48" i="2"/>
  <c r="L47" i="2"/>
  <c r="L48" i="2"/>
  <c r="N47" i="2"/>
  <c r="N48" i="2"/>
  <c r="P47" i="2"/>
  <c r="P48" i="2"/>
  <c r="R47" i="2"/>
  <c r="R48" i="2"/>
  <c r="T47" i="2"/>
  <c r="T48" i="2"/>
  <c r="W47" i="2"/>
  <c r="W48" i="2"/>
  <c r="Y47" i="2"/>
  <c r="Y48" i="2"/>
  <c r="AA47" i="2"/>
  <c r="AA48" i="2"/>
  <c r="AF47" i="2"/>
  <c r="AF48" i="2"/>
  <c r="AH47" i="2"/>
  <c r="AH48" i="2"/>
  <c r="AJ47" i="2"/>
  <c r="AJ48" i="2"/>
  <c r="AL47" i="2"/>
  <c r="AL48" i="2"/>
  <c r="AN47" i="2"/>
  <c r="AN48" i="2"/>
  <c r="AP47" i="2"/>
  <c r="AP48" i="2"/>
  <c r="AR47" i="2"/>
  <c r="AR48" i="2"/>
  <c r="AU47" i="2"/>
  <c r="AU48" i="2"/>
  <c r="AX47" i="2"/>
  <c r="AX48" i="2"/>
  <c r="AZ47" i="2"/>
  <c r="AZ48" i="2"/>
  <c r="BB47" i="2"/>
  <c r="BB48" i="2"/>
  <c r="BD47" i="2"/>
  <c r="BD48" i="2"/>
  <c r="BF47" i="2"/>
  <c r="BF48" i="2"/>
  <c r="BJ47" i="2"/>
  <c r="BJ48" i="2"/>
  <c r="C36" i="2"/>
  <c r="C37" i="2"/>
  <c r="E36" i="2"/>
  <c r="E37" i="2"/>
  <c r="G36" i="2"/>
  <c r="G37" i="2"/>
  <c r="I36" i="2"/>
  <c r="I37" i="2"/>
  <c r="K36" i="2"/>
  <c r="K37" i="2"/>
  <c r="M36" i="2"/>
  <c r="M37" i="2"/>
  <c r="O36" i="2"/>
  <c r="O37" i="2"/>
  <c r="Q36" i="2"/>
  <c r="Q37" i="2"/>
  <c r="S36" i="2"/>
  <c r="S37" i="2"/>
  <c r="V36" i="2"/>
  <c r="V37" i="2"/>
  <c r="X36" i="2"/>
  <c r="X37" i="2"/>
  <c r="Z36" i="2"/>
  <c r="Z37" i="2"/>
  <c r="AE36" i="2"/>
  <c r="AE37" i="2"/>
  <c r="AG36" i="2"/>
  <c r="AG37" i="2"/>
  <c r="AI36" i="2"/>
  <c r="AI37" i="2"/>
  <c r="AK36" i="2"/>
  <c r="AK37" i="2"/>
  <c r="AM36" i="2"/>
  <c r="AM37" i="2"/>
  <c r="AO36" i="2"/>
  <c r="AO37" i="2"/>
  <c r="AT36" i="2"/>
  <c r="AT37" i="2"/>
  <c r="AW36" i="2"/>
  <c r="AW37" i="2"/>
  <c r="AY36" i="2"/>
  <c r="AY37" i="2"/>
  <c r="BA36" i="2"/>
  <c r="BA37" i="2"/>
  <c r="BC36" i="2"/>
  <c r="BC37" i="2"/>
  <c r="BE36" i="2"/>
  <c r="BE37" i="2"/>
  <c r="BG36" i="2"/>
  <c r="BG37"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1" i="2"/>
  <c r="D92" i="2"/>
  <c r="F91" i="2"/>
  <c r="F92" i="2"/>
  <c r="H91" i="2"/>
  <c r="H92" i="2"/>
  <c r="J91" i="2"/>
  <c r="J92" i="2"/>
  <c r="L91" i="2"/>
  <c r="L92" i="2"/>
  <c r="N91" i="2"/>
  <c r="N92" i="2"/>
  <c r="P91" i="2"/>
  <c r="P92" i="2"/>
  <c r="R91" i="2"/>
  <c r="R92" i="2"/>
  <c r="T91" i="2"/>
  <c r="T92" i="2"/>
  <c r="W91" i="2"/>
  <c r="W92" i="2"/>
  <c r="Y91" i="2"/>
  <c r="Y92" i="2"/>
  <c r="AA91" i="2"/>
  <c r="AA92" i="2"/>
  <c r="AF91" i="2"/>
  <c r="AF92" i="2"/>
  <c r="AH91" i="2"/>
  <c r="AH92" i="2"/>
  <c r="AJ91" i="2"/>
  <c r="AJ92" i="2"/>
  <c r="AL91" i="2"/>
  <c r="AL92" i="2"/>
  <c r="AN91" i="2"/>
  <c r="AN92" i="2"/>
  <c r="AP91" i="2"/>
  <c r="AP92" i="2"/>
  <c r="I44" i="11"/>
  <c r="Q44" i="11" s="1"/>
  <c r="R44" i="11" s="1"/>
  <c r="AR92" i="2"/>
  <c r="I45" i="11"/>
  <c r="Q45" i="11" s="1"/>
  <c r="R45" i="11" s="1"/>
  <c r="AU92" i="2"/>
  <c r="AX91" i="2"/>
  <c r="AX92" i="2"/>
  <c r="I46" i="11"/>
  <c r="Q46" i="11" s="1"/>
  <c r="R46" i="11" s="1"/>
  <c r="AZ92" i="2"/>
  <c r="BB91" i="2"/>
  <c r="BB92" i="2"/>
  <c r="BD91" i="2"/>
  <c r="BD92" i="2"/>
  <c r="BF91" i="2"/>
  <c r="BF92" i="2"/>
  <c r="D80" i="2"/>
  <c r="D81" i="2"/>
  <c r="F80" i="2"/>
  <c r="F81" i="2"/>
  <c r="H80" i="2"/>
  <c r="H81" i="2"/>
  <c r="J80" i="2"/>
  <c r="J81" i="2"/>
  <c r="L80" i="2"/>
  <c r="L81" i="2"/>
  <c r="N80" i="2"/>
  <c r="N81" i="2"/>
  <c r="P80" i="2"/>
  <c r="P81" i="2"/>
  <c r="R80" i="2"/>
  <c r="R81" i="2"/>
  <c r="T80" i="2"/>
  <c r="T81" i="2"/>
  <c r="W80" i="2"/>
  <c r="W81" i="2"/>
  <c r="Y80" i="2"/>
  <c r="Y81" i="2"/>
  <c r="AA80" i="2"/>
  <c r="AA81" i="2"/>
  <c r="AF80" i="2"/>
  <c r="AF81" i="2"/>
  <c r="AH80" i="2"/>
  <c r="AH81" i="2"/>
  <c r="AJ80" i="2"/>
  <c r="AJ81" i="2"/>
  <c r="AL80" i="2"/>
  <c r="AL81" i="2"/>
  <c r="AN80" i="2"/>
  <c r="AN81" i="2"/>
  <c r="AR80" i="2"/>
  <c r="AR81" i="2"/>
  <c r="AU80" i="2"/>
  <c r="AU81" i="2"/>
  <c r="AX80" i="2"/>
  <c r="AX81" i="2"/>
  <c r="AZ80" i="2"/>
  <c r="AZ81" i="2"/>
  <c r="BB80" i="2"/>
  <c r="BB81" i="2"/>
  <c r="BD80" i="2"/>
  <c r="BD81" i="2"/>
  <c r="BF80" i="2"/>
  <c r="BF81" i="2"/>
  <c r="BJ80" i="2"/>
  <c r="BJ81" i="2"/>
  <c r="C69" i="2"/>
  <c r="C70" i="2"/>
  <c r="E69" i="2"/>
  <c r="E70" i="2"/>
  <c r="G69" i="2"/>
  <c r="G70" i="2"/>
  <c r="I69" i="2"/>
  <c r="I70" i="2"/>
  <c r="K69" i="2"/>
  <c r="K70" i="2"/>
  <c r="M69" i="2"/>
  <c r="M70" i="2"/>
  <c r="O69" i="2"/>
  <c r="O70" i="2"/>
  <c r="Q69" i="2"/>
  <c r="Q70" i="2"/>
  <c r="S69" i="2"/>
  <c r="S70" i="2"/>
  <c r="V69" i="2"/>
  <c r="V70" i="2"/>
  <c r="X69" i="2"/>
  <c r="X70" i="2"/>
  <c r="Z69" i="2"/>
  <c r="Z70" i="2"/>
  <c r="AE69" i="2"/>
  <c r="AE70" i="2"/>
  <c r="AG69" i="2"/>
  <c r="AG70" i="2"/>
  <c r="AI69" i="2"/>
  <c r="AI70" i="2"/>
  <c r="AK69" i="2"/>
  <c r="AK70" i="2"/>
  <c r="AO69" i="2"/>
  <c r="AO70" i="2"/>
  <c r="AQ69" i="2"/>
  <c r="AQ70" i="2"/>
  <c r="AT69" i="2"/>
  <c r="AT70" i="2"/>
  <c r="AW69" i="2"/>
  <c r="AW70" i="2"/>
  <c r="AY69" i="2"/>
  <c r="AY70" i="2"/>
  <c r="BA69" i="2"/>
  <c r="BA70" i="2"/>
  <c r="BC69" i="2"/>
  <c r="BC70" i="2"/>
  <c r="BE69" i="2"/>
  <c r="BE70" i="2"/>
  <c r="BG69" i="2"/>
  <c r="BG70" i="2"/>
  <c r="D58" i="2"/>
  <c r="D59" i="2"/>
  <c r="F58" i="2"/>
  <c r="F59" i="2"/>
  <c r="H58" i="2"/>
  <c r="H59" i="2"/>
  <c r="J58" i="2"/>
  <c r="J59" i="2"/>
  <c r="L58" i="2"/>
  <c r="L59" i="2"/>
  <c r="N58" i="2"/>
  <c r="N59" i="2"/>
  <c r="P58" i="2"/>
  <c r="P59" i="2"/>
  <c r="R58" i="2"/>
  <c r="R59" i="2"/>
  <c r="T58" i="2"/>
  <c r="T59" i="2"/>
  <c r="W58" i="2"/>
  <c r="W59" i="2"/>
  <c r="Y58" i="2"/>
  <c r="Y59" i="2"/>
  <c r="AA58" i="2"/>
  <c r="AA59" i="2"/>
  <c r="AF58" i="2"/>
  <c r="AF59" i="2"/>
  <c r="AH58" i="2"/>
  <c r="AH59" i="2"/>
  <c r="AJ58" i="2"/>
  <c r="AJ59" i="2"/>
  <c r="AL58" i="2"/>
  <c r="AL59" i="2"/>
  <c r="AN58" i="2"/>
  <c r="AN59" i="2"/>
  <c r="AP58" i="2"/>
  <c r="AP59" i="2"/>
  <c r="AR58" i="2"/>
  <c r="AR59" i="2"/>
  <c r="AU58" i="2"/>
  <c r="AU59" i="2"/>
  <c r="AX58" i="2"/>
  <c r="AX59" i="2"/>
  <c r="AZ58" i="2"/>
  <c r="AZ59" i="2"/>
  <c r="BB58" i="2"/>
  <c r="BB59" i="2"/>
  <c r="BD58" i="2"/>
  <c r="BD59" i="2"/>
  <c r="BF58" i="2"/>
  <c r="BF59" i="2"/>
  <c r="BJ58" i="2"/>
  <c r="BJ59" i="2"/>
  <c r="C47" i="2"/>
  <c r="C48" i="2"/>
  <c r="E47" i="2"/>
  <c r="E48" i="2"/>
  <c r="G47" i="2"/>
  <c r="G48" i="2"/>
  <c r="I47" i="2"/>
  <c r="I48" i="2"/>
  <c r="K47" i="2"/>
  <c r="K48" i="2"/>
  <c r="M47" i="2"/>
  <c r="M48" i="2"/>
  <c r="O47" i="2"/>
  <c r="O48" i="2"/>
  <c r="Q47" i="2"/>
  <c r="Q48" i="2"/>
  <c r="S47" i="2"/>
  <c r="S48" i="2"/>
  <c r="V47" i="2"/>
  <c r="V48" i="2"/>
  <c r="X47" i="2"/>
  <c r="X48" i="2"/>
  <c r="Z47" i="2"/>
  <c r="Z48" i="2"/>
  <c r="AE47" i="2"/>
  <c r="AE48" i="2"/>
  <c r="AG47" i="2"/>
  <c r="AG48" i="2"/>
  <c r="AI47" i="2"/>
  <c r="AI48" i="2"/>
  <c r="AK47" i="2"/>
  <c r="AK48" i="2"/>
  <c r="AM47" i="2"/>
  <c r="AM48" i="2"/>
  <c r="AO47" i="2"/>
  <c r="AO48" i="2"/>
  <c r="AT47" i="2"/>
  <c r="AT48" i="2"/>
  <c r="AW47" i="2"/>
  <c r="AW48" i="2"/>
  <c r="AY47" i="2"/>
  <c r="AY48" i="2"/>
  <c r="BA47" i="2"/>
  <c r="BA48" i="2"/>
  <c r="BC47" i="2"/>
  <c r="BC48" i="2"/>
  <c r="BE47" i="2"/>
  <c r="BE48" i="2"/>
  <c r="BG47" i="2"/>
  <c r="BG48" i="2"/>
  <c r="D36" i="2"/>
  <c r="D37" i="2"/>
  <c r="F36" i="2"/>
  <c r="F37" i="2"/>
  <c r="H36" i="2"/>
  <c r="H37" i="2"/>
  <c r="J36" i="2"/>
  <c r="J37" i="2"/>
  <c r="L36" i="2"/>
  <c r="L37" i="2"/>
  <c r="N36" i="2"/>
  <c r="N37" i="2"/>
  <c r="P36" i="2"/>
  <c r="P37" i="2"/>
  <c r="R36" i="2"/>
  <c r="R37" i="2"/>
  <c r="T36" i="2"/>
  <c r="T37" i="2"/>
  <c r="W36" i="2"/>
  <c r="W37" i="2"/>
  <c r="Y36" i="2"/>
  <c r="Y37" i="2"/>
  <c r="AA36" i="2"/>
  <c r="AA37" i="2"/>
  <c r="AF36" i="2"/>
  <c r="AF37" i="2"/>
  <c r="AH36" i="2"/>
  <c r="AH37" i="2"/>
  <c r="AJ36" i="2"/>
  <c r="AJ37" i="2"/>
  <c r="AL36" i="2"/>
  <c r="AL37" i="2"/>
  <c r="AN36" i="2"/>
  <c r="AN37" i="2"/>
  <c r="AP36" i="2"/>
  <c r="AP37" i="2"/>
  <c r="AR36" i="2"/>
  <c r="AR37" i="2"/>
  <c r="AU36" i="2"/>
  <c r="AU37" i="2"/>
  <c r="AX36" i="2"/>
  <c r="AX37" i="2"/>
  <c r="AZ36" i="2"/>
  <c r="AZ37" i="2"/>
  <c r="BB36" i="2"/>
  <c r="BB37" i="2"/>
  <c r="BD36" i="2"/>
  <c r="BD37" i="2"/>
  <c r="BF36" i="2"/>
  <c r="BF37" i="2"/>
  <c r="BJ36" i="2"/>
  <c r="BJ37"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1" i="2"/>
  <c r="I48" i="11"/>
  <c r="AN69" i="2"/>
  <c r="I63" i="11"/>
  <c r="Q63" i="11" s="1"/>
  <c r="R63" i="11" s="1"/>
  <c r="AQ36" i="2"/>
  <c r="I72" i="11"/>
  <c r="Q72" i="11" s="1"/>
  <c r="AN24" i="2"/>
  <c r="I62" i="11"/>
  <c r="Q62" i="11" s="1"/>
  <c r="R62" i="11" s="1"/>
  <c r="AM102" i="2"/>
  <c r="I61" i="11"/>
  <c r="Q61" i="11" s="1"/>
  <c r="R61" i="11" s="1"/>
  <c r="AP80" i="2"/>
  <c r="I67" i="11"/>
  <c r="Q67" i="11" s="1"/>
  <c r="R67" i="11" s="1"/>
  <c r="AM69" i="2"/>
  <c r="I60" i="11"/>
  <c r="Q60" i="11" s="1"/>
  <c r="R60" i="11" s="1"/>
  <c r="AQ47" i="2"/>
  <c r="I73" i="11"/>
  <c r="Q73" i="11" s="1"/>
  <c r="R73" i="11" s="1"/>
  <c r="I45" i="5"/>
  <c r="M45" i="5" s="1"/>
  <c r="AU91" i="2"/>
  <c r="I46" i="5"/>
  <c r="M46" i="5" s="1"/>
  <c r="AZ91" i="2"/>
  <c r="I47" i="5"/>
  <c r="M47" i="5" s="1"/>
  <c r="BA91" i="2"/>
  <c r="I44" i="5"/>
  <c r="M44" i="5" s="1"/>
  <c r="AR91" i="2"/>
  <c r="I43" i="5"/>
  <c r="M43" i="5" s="1"/>
  <c r="AK91" i="2"/>
  <c r="AD86" i="2"/>
  <c r="BH86" i="2"/>
  <c r="AD75" i="2"/>
  <c r="AD81" i="2" s="1"/>
  <c r="BH75" i="2"/>
  <c r="BH81" i="2" s="1"/>
  <c r="BH31" i="2"/>
  <c r="AD31" i="2"/>
  <c r="AD118" i="2"/>
  <c r="BH118" i="2"/>
  <c r="AD64" i="2"/>
  <c r="BH64" i="2"/>
  <c r="AD19" i="2"/>
  <c r="AD25" i="2" s="1"/>
  <c r="BH19" i="2"/>
  <c r="BH25" i="2" s="1"/>
  <c r="AD108" i="2"/>
  <c r="AD53" i="2"/>
  <c r="BH53" i="2"/>
  <c r="AD8" i="2"/>
  <c r="AD14" i="2" s="1"/>
  <c r="I48" i="5"/>
  <c r="M48" i="5" s="1"/>
  <c r="BH108" i="2"/>
  <c r="AD97" i="2"/>
  <c r="BH97" i="2"/>
  <c r="AD42" i="2"/>
  <c r="BH42" i="2"/>
  <c r="I60" i="5"/>
  <c r="M60" i="5" s="1"/>
  <c r="J60" i="4"/>
  <c r="O60" i="4" s="1"/>
  <c r="I73" i="5"/>
  <c r="M73" i="5" s="1"/>
  <c r="J73" i="4"/>
  <c r="I67" i="5"/>
  <c r="M67" i="5" s="1"/>
  <c r="O67" i="4"/>
  <c r="I63" i="5"/>
  <c r="M63" i="5" s="1"/>
  <c r="J63" i="4"/>
  <c r="I62" i="5"/>
  <c r="M62" i="5" s="1"/>
  <c r="J62" i="4"/>
  <c r="I61" i="5"/>
  <c r="M61" i="5" s="1"/>
  <c r="J61" i="4"/>
  <c r="I72" i="5"/>
  <c r="M72" i="5" s="1"/>
  <c r="J72" i="4"/>
  <c r="O72" i="4" s="1"/>
  <c r="L119" i="2"/>
  <c r="L120" i="2" s="1"/>
  <c r="AF119" i="2"/>
  <c r="AF120" i="2" s="1"/>
  <c r="BA119" i="2"/>
  <c r="BA120" i="2" s="1"/>
  <c r="E109" i="2"/>
  <c r="E110" i="2" s="1"/>
  <c r="Z109" i="2"/>
  <c r="Z110" i="2" s="1"/>
  <c r="AR109" i="2"/>
  <c r="AR110" i="2" s="1"/>
  <c r="F98" i="2"/>
  <c r="F99" i="2" s="1"/>
  <c r="R98" i="2"/>
  <c r="R99" i="2" s="1"/>
  <c r="AO98" i="2"/>
  <c r="AO99" i="2" s="1"/>
  <c r="BB98" i="2"/>
  <c r="BB99" i="2" s="1"/>
  <c r="K87" i="2"/>
  <c r="K88" i="2" s="1"/>
  <c r="AE87" i="2"/>
  <c r="AE88" i="2" s="1"/>
  <c r="J46" i="4"/>
  <c r="O46" i="4" s="1"/>
  <c r="AU87" i="2"/>
  <c r="AU88" i="2" s="1"/>
  <c r="H76" i="2"/>
  <c r="H77" i="2" s="1"/>
  <c r="Y76" i="2"/>
  <c r="Y77" i="2" s="1"/>
  <c r="AQ76" i="2"/>
  <c r="AQ77" i="2" s="1"/>
  <c r="BJ76" i="2"/>
  <c r="BJ77" i="2" s="1"/>
  <c r="M65" i="2"/>
  <c r="M66" i="2" s="1"/>
  <c r="AG65" i="2"/>
  <c r="AG66" i="2" s="1"/>
  <c r="AX65" i="2"/>
  <c r="AX66" i="2" s="1"/>
  <c r="R54" i="2"/>
  <c r="R55" i="2" s="1"/>
  <c r="AH54" i="2"/>
  <c r="AH55" i="2" s="1"/>
  <c r="BB54" i="2"/>
  <c r="BB55" i="2" s="1"/>
  <c r="O43" i="2"/>
  <c r="O44" i="2" s="1"/>
  <c r="AI43" i="2"/>
  <c r="AI44" i="2" s="1"/>
  <c r="AZ43" i="2"/>
  <c r="AZ44" i="2" s="1"/>
  <c r="H32" i="2"/>
  <c r="H33" i="2" s="1"/>
  <c r="Y32" i="2"/>
  <c r="Y33" i="2" s="1"/>
  <c r="AM32" i="2"/>
  <c r="AM33" i="2" s="1"/>
  <c r="BD32" i="2"/>
  <c r="BD33" i="2" s="1"/>
  <c r="Q20" i="2"/>
  <c r="AG20" i="2"/>
  <c r="AX20" i="2"/>
  <c r="R9" i="2"/>
  <c r="R10" i="2" s="1"/>
  <c r="AL9" i="2"/>
  <c r="AL10" i="2" s="1"/>
  <c r="BB9" i="2"/>
  <c r="BB10" i="2" s="1"/>
  <c r="V119" i="2"/>
  <c r="V120" i="2" s="1"/>
  <c r="AX119" i="2"/>
  <c r="AX120" i="2" s="1"/>
  <c r="F109" i="2"/>
  <c r="F110" i="2" s="1"/>
  <c r="R109" i="2"/>
  <c r="R110" i="2" s="1"/>
  <c r="AO109" i="2"/>
  <c r="AO110" i="2" s="1"/>
  <c r="BF109" i="2"/>
  <c r="BF110" i="2" s="1"/>
  <c r="K98" i="2"/>
  <c r="K99" i="2" s="1"/>
  <c r="X98" i="2"/>
  <c r="X99" i="2" s="1"/>
  <c r="AE98" i="2"/>
  <c r="AE99" i="2" s="1"/>
  <c r="AI98" i="2"/>
  <c r="AI99" i="2" s="1"/>
  <c r="AP98" i="2"/>
  <c r="AP99" i="2" s="1"/>
  <c r="AU98" i="2"/>
  <c r="AU99" i="2" s="1"/>
  <c r="AZ98" i="2"/>
  <c r="AZ99" i="2" s="1"/>
  <c r="BC98" i="2"/>
  <c r="BC99" i="2" s="1"/>
  <c r="BG98" i="2"/>
  <c r="BG99" i="2" s="1"/>
  <c r="D87" i="2"/>
  <c r="D88" i="2" s="1"/>
  <c r="H87" i="2"/>
  <c r="H88" i="2" s="1"/>
  <c r="L87" i="2"/>
  <c r="L88" i="2" s="1"/>
  <c r="P87" i="2"/>
  <c r="P88" i="2" s="1"/>
  <c r="T87" i="2"/>
  <c r="T88" i="2" s="1"/>
  <c r="Y87" i="2"/>
  <c r="Y88" i="2" s="1"/>
  <c r="AF87" i="2"/>
  <c r="AF88" i="2" s="1"/>
  <c r="AJ87" i="2"/>
  <c r="AJ88" i="2" s="1"/>
  <c r="J49" i="4"/>
  <c r="O49" i="4" s="1"/>
  <c r="AM87" i="2"/>
  <c r="AM88" i="2" s="1"/>
  <c r="AQ87" i="2"/>
  <c r="AQ88" i="2" s="1"/>
  <c r="AW87" i="2"/>
  <c r="AW88" i="2" s="1"/>
  <c r="J48" i="4"/>
  <c r="O48" i="4" s="1"/>
  <c r="BA87" i="2"/>
  <c r="BA88" i="2" s="1"/>
  <c r="BD87" i="2"/>
  <c r="BD88" i="2" s="1"/>
  <c r="BJ87" i="2"/>
  <c r="BJ88" i="2" s="1"/>
  <c r="E76" i="2"/>
  <c r="E77" i="2" s="1"/>
  <c r="I76" i="2"/>
  <c r="I77" i="2" s="1"/>
  <c r="M76" i="2"/>
  <c r="M77" i="2" s="1"/>
  <c r="Q76" i="2"/>
  <c r="Q77" i="2" s="1"/>
  <c r="V76" i="2"/>
  <c r="V77" i="2" s="1"/>
  <c r="Z76" i="2"/>
  <c r="Z77" i="2" s="1"/>
  <c r="AG76" i="2"/>
  <c r="AG77" i="2" s="1"/>
  <c r="AK76" i="2"/>
  <c r="AK77" i="2" s="1"/>
  <c r="AN76" i="2"/>
  <c r="AN77" i="2" s="1"/>
  <c r="AR76" i="2"/>
  <c r="AR77" i="2" s="1"/>
  <c r="AX76" i="2"/>
  <c r="AX77" i="2" s="1"/>
  <c r="BE76" i="2"/>
  <c r="BE77" i="2" s="1"/>
  <c r="F65" i="2"/>
  <c r="F66" i="2" s="1"/>
  <c r="J65" i="2"/>
  <c r="J66" i="2" s="1"/>
  <c r="N65" i="2"/>
  <c r="N66" i="2" s="1"/>
  <c r="R65" i="2"/>
  <c r="R66" i="2" s="1"/>
  <c r="W65" i="2"/>
  <c r="W66" i="2" s="1"/>
  <c r="AA65" i="2"/>
  <c r="AA66" i="2" s="1"/>
  <c r="AH65" i="2"/>
  <c r="AH66" i="2" s="1"/>
  <c r="AL65" i="2"/>
  <c r="AL66" i="2" s="1"/>
  <c r="AO65" i="2"/>
  <c r="AO66" i="2" s="1"/>
  <c r="AT65" i="2"/>
  <c r="AT66" i="2" s="1"/>
  <c r="AY65" i="2"/>
  <c r="AY66" i="2" s="1"/>
  <c r="BB65" i="2"/>
  <c r="BB66" i="2" s="1"/>
  <c r="BF65" i="2"/>
  <c r="BF66" i="2" s="1"/>
  <c r="C54" i="2"/>
  <c r="C55" i="2" s="1"/>
  <c r="G54" i="2"/>
  <c r="G55" i="2" s="1"/>
  <c r="K54" i="2"/>
  <c r="K55" i="2" s="1"/>
  <c r="O54" i="2"/>
  <c r="O55" i="2" s="1"/>
  <c r="S54" i="2"/>
  <c r="S55" i="2" s="1"/>
  <c r="X54" i="2"/>
  <c r="X55" i="2" s="1"/>
  <c r="AE54" i="2"/>
  <c r="AE55" i="2" s="1"/>
  <c r="AI54" i="2"/>
  <c r="AI55" i="2" s="1"/>
  <c r="AP54" i="2"/>
  <c r="AP55" i="2" s="1"/>
  <c r="AU54" i="2"/>
  <c r="AU55" i="2" s="1"/>
  <c r="AZ54" i="2"/>
  <c r="AZ55" i="2" s="1"/>
  <c r="BC54" i="2"/>
  <c r="BC55" i="2" s="1"/>
  <c r="BG54" i="2"/>
  <c r="BG55" i="2" s="1"/>
  <c r="D43" i="2"/>
  <c r="D44" i="2" s="1"/>
  <c r="H43" i="2"/>
  <c r="H44" i="2" s="1"/>
  <c r="L43" i="2"/>
  <c r="L44" i="2" s="1"/>
  <c r="P43" i="2"/>
  <c r="P44" i="2" s="1"/>
  <c r="T43" i="2"/>
  <c r="T44" i="2" s="1"/>
  <c r="Y43" i="2"/>
  <c r="Y44" i="2" s="1"/>
  <c r="AF43" i="2"/>
  <c r="AF44" i="2" s="1"/>
  <c r="AJ43" i="2"/>
  <c r="AJ44" i="2" s="1"/>
  <c r="AM43" i="2"/>
  <c r="AM44" i="2" s="1"/>
  <c r="AQ43" i="2"/>
  <c r="AQ44" i="2" s="1"/>
  <c r="AW43" i="2"/>
  <c r="AW44" i="2" s="1"/>
  <c r="BA43" i="2"/>
  <c r="BA44" i="2" s="1"/>
  <c r="BD43" i="2"/>
  <c r="BD44" i="2" s="1"/>
  <c r="BJ43" i="2"/>
  <c r="BJ44" i="2" s="1"/>
  <c r="E32" i="2"/>
  <c r="E33" i="2" s="1"/>
  <c r="I32" i="2"/>
  <c r="I33" i="2" s="1"/>
  <c r="M32" i="2"/>
  <c r="M33" i="2" s="1"/>
  <c r="Q32" i="2"/>
  <c r="Q33" i="2" s="1"/>
  <c r="V32" i="2"/>
  <c r="V33" i="2" s="1"/>
  <c r="Z32" i="2"/>
  <c r="Z33" i="2" s="1"/>
  <c r="AG32" i="2"/>
  <c r="AG33" i="2" s="1"/>
  <c r="AK32" i="2"/>
  <c r="AK33" i="2" s="1"/>
  <c r="AN32" i="2"/>
  <c r="AN33" i="2" s="1"/>
  <c r="AR32" i="2"/>
  <c r="AR33" i="2" s="1"/>
  <c r="AX32" i="2"/>
  <c r="AX33" i="2" s="1"/>
  <c r="BE32" i="2"/>
  <c r="BE33"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9" i="2"/>
  <c r="M110" i="2" s="1"/>
  <c r="V109" i="2"/>
  <c r="V110" i="2" s="1"/>
  <c r="AK109" i="2"/>
  <c r="AK110" i="2" s="1"/>
  <c r="AX109" i="2"/>
  <c r="AX110" i="2" s="1"/>
  <c r="BE109" i="2"/>
  <c r="BE110" i="2" s="1"/>
  <c r="J98" i="2"/>
  <c r="J99" i="2" s="1"/>
  <c r="W98" i="2"/>
  <c r="W99" i="2" s="1"/>
  <c r="AL98" i="2"/>
  <c r="AL99" i="2" s="1"/>
  <c r="AY98" i="2"/>
  <c r="AY99" i="2" s="1"/>
  <c r="C87" i="2"/>
  <c r="C88" i="2" s="1"/>
  <c r="O87" i="2"/>
  <c r="O88" i="2" s="1"/>
  <c r="X87" i="2"/>
  <c r="X88" i="2" s="1"/>
  <c r="BC87" i="2"/>
  <c r="BC88" i="2" s="1"/>
  <c r="D76" i="2"/>
  <c r="D77" i="2" s="1"/>
  <c r="P76" i="2"/>
  <c r="P77" i="2" s="1"/>
  <c r="AF76" i="2"/>
  <c r="AF77" i="2" s="1"/>
  <c r="AM76" i="2"/>
  <c r="AM77" i="2" s="1"/>
  <c r="BA76" i="2"/>
  <c r="BA77" i="2" s="1"/>
  <c r="I65" i="2"/>
  <c r="I66" i="2" s="1"/>
  <c r="V65" i="2"/>
  <c r="V66" i="2" s="1"/>
  <c r="AK65" i="2"/>
  <c r="AK66" i="2" s="1"/>
  <c r="AR65" i="2"/>
  <c r="AR66" i="2" s="1"/>
  <c r="BE65" i="2"/>
  <c r="BE66" i="2" s="1"/>
  <c r="J54" i="2"/>
  <c r="J55" i="2" s="1"/>
  <c r="AA54" i="2"/>
  <c r="AA55" i="2" s="1"/>
  <c r="AO54" i="2"/>
  <c r="AO55" i="2" s="1"/>
  <c r="AY54" i="2"/>
  <c r="AY55" i="2" s="1"/>
  <c r="C43" i="2"/>
  <c r="C44" i="2" s="1"/>
  <c r="K43" i="2"/>
  <c r="K44" i="2" s="1"/>
  <c r="X43" i="2"/>
  <c r="X44" i="2" s="1"/>
  <c r="AP43" i="2"/>
  <c r="AP44" i="2" s="1"/>
  <c r="BC43" i="2"/>
  <c r="BC44" i="2" s="1"/>
  <c r="D32" i="2"/>
  <c r="D33" i="2" s="1"/>
  <c r="P32" i="2"/>
  <c r="P33" i="2" s="1"/>
  <c r="AJ32" i="2"/>
  <c r="AJ33" i="2" s="1"/>
  <c r="AW32" i="2"/>
  <c r="AW33" i="2" s="1"/>
  <c r="BJ32" i="2"/>
  <c r="BJ33"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9" i="2"/>
  <c r="J110" i="2" s="1"/>
  <c r="W109" i="2"/>
  <c r="W110" i="2" s="1"/>
  <c r="AL109" i="2"/>
  <c r="AL110" i="2" s="1"/>
  <c r="AY109" i="2"/>
  <c r="AY110" i="2" s="1"/>
  <c r="C98" i="2"/>
  <c r="C99" i="2" s="1"/>
  <c r="S98" i="2"/>
  <c r="S99" i="2" s="1"/>
  <c r="J119" i="2"/>
  <c r="J120" i="2" s="1"/>
  <c r="R119" i="2"/>
  <c r="R120" i="2" s="1"/>
  <c r="AA119" i="2"/>
  <c r="AA120" i="2" s="1"/>
  <c r="AH119" i="2"/>
  <c r="AH120" i="2" s="1"/>
  <c r="AL119" i="2"/>
  <c r="AL120" i="2" s="1"/>
  <c r="AO119" i="2"/>
  <c r="AO120" i="2" s="1"/>
  <c r="AT119" i="2"/>
  <c r="AT120" i="2" s="1"/>
  <c r="AY119" i="2"/>
  <c r="AY120" i="2" s="1"/>
  <c r="BB119" i="2"/>
  <c r="BB120" i="2" s="1"/>
  <c r="BF119" i="2"/>
  <c r="BF120" i="2" s="1"/>
  <c r="C109" i="2"/>
  <c r="C110" i="2" s="1"/>
  <c r="G109" i="2"/>
  <c r="G110" i="2" s="1"/>
  <c r="K109" i="2"/>
  <c r="K110" i="2" s="1"/>
  <c r="O109" i="2"/>
  <c r="O110" i="2" s="1"/>
  <c r="S109" i="2"/>
  <c r="S110" i="2" s="1"/>
  <c r="X109" i="2"/>
  <c r="X110" i="2" s="1"/>
  <c r="AE109" i="2"/>
  <c r="AE110" i="2" s="1"/>
  <c r="AI109" i="2"/>
  <c r="AI110" i="2" s="1"/>
  <c r="AP109" i="2"/>
  <c r="AP110" i="2" s="1"/>
  <c r="AU109" i="2"/>
  <c r="AU110" i="2" s="1"/>
  <c r="AZ109" i="2"/>
  <c r="AZ110" i="2" s="1"/>
  <c r="BC109" i="2"/>
  <c r="BC110" i="2" s="1"/>
  <c r="BG109" i="2"/>
  <c r="BG110" i="2" s="1"/>
  <c r="D98" i="2"/>
  <c r="D99" i="2" s="1"/>
  <c r="H98" i="2"/>
  <c r="H99" i="2" s="1"/>
  <c r="L98" i="2"/>
  <c r="L99" i="2" s="1"/>
  <c r="P98" i="2"/>
  <c r="P99" i="2" s="1"/>
  <c r="T98" i="2"/>
  <c r="T99" i="2" s="1"/>
  <c r="Y98" i="2"/>
  <c r="Y99" i="2" s="1"/>
  <c r="AF98" i="2"/>
  <c r="AF99" i="2" s="1"/>
  <c r="AJ98" i="2"/>
  <c r="AJ99" i="2" s="1"/>
  <c r="AM98" i="2"/>
  <c r="AM99" i="2" s="1"/>
  <c r="AQ98" i="2"/>
  <c r="AQ99" i="2" s="1"/>
  <c r="AW98" i="2"/>
  <c r="AW99" i="2" s="1"/>
  <c r="BA98" i="2"/>
  <c r="BA99" i="2" s="1"/>
  <c r="BD98" i="2"/>
  <c r="BD99" i="2" s="1"/>
  <c r="BJ98" i="2"/>
  <c r="BJ99" i="2" s="1"/>
  <c r="E87" i="2"/>
  <c r="E88" i="2" s="1"/>
  <c r="I87" i="2"/>
  <c r="I88" i="2" s="1"/>
  <c r="M87" i="2"/>
  <c r="M88" i="2" s="1"/>
  <c r="Q87" i="2"/>
  <c r="Q88" i="2" s="1"/>
  <c r="V87" i="2"/>
  <c r="V88" i="2" s="1"/>
  <c r="Z87" i="2"/>
  <c r="Z88" i="2" s="1"/>
  <c r="AG87" i="2"/>
  <c r="AG88" i="2" s="1"/>
  <c r="J43" i="4"/>
  <c r="O43" i="4" s="1"/>
  <c r="AK87" i="2"/>
  <c r="AK88" i="2" s="1"/>
  <c r="AN87" i="2"/>
  <c r="AN88" i="2" s="1"/>
  <c r="J45" i="4"/>
  <c r="O45" i="4" s="1"/>
  <c r="AR87" i="2"/>
  <c r="AR88" i="2" s="1"/>
  <c r="AX87" i="2"/>
  <c r="AX88" i="2" s="1"/>
  <c r="BE87" i="2"/>
  <c r="BE88" i="2" s="1"/>
  <c r="F76" i="2"/>
  <c r="F77" i="2" s="1"/>
  <c r="J76" i="2"/>
  <c r="J77" i="2" s="1"/>
  <c r="N76" i="2"/>
  <c r="N77" i="2" s="1"/>
  <c r="R76" i="2"/>
  <c r="R77" i="2" s="1"/>
  <c r="W76" i="2"/>
  <c r="W77" i="2" s="1"/>
  <c r="AA76" i="2"/>
  <c r="AA77" i="2" s="1"/>
  <c r="AH76" i="2"/>
  <c r="AH77" i="2" s="1"/>
  <c r="AL76" i="2"/>
  <c r="AL77" i="2" s="1"/>
  <c r="AO76" i="2"/>
  <c r="AO77" i="2" s="1"/>
  <c r="AT76" i="2"/>
  <c r="AT77" i="2" s="1"/>
  <c r="AY76" i="2"/>
  <c r="AY77" i="2" s="1"/>
  <c r="BB76" i="2"/>
  <c r="BB77" i="2" s="1"/>
  <c r="BF76" i="2"/>
  <c r="BF77" i="2" s="1"/>
  <c r="C65" i="2"/>
  <c r="C66" i="2" s="1"/>
  <c r="G65" i="2"/>
  <c r="G66" i="2" s="1"/>
  <c r="K65" i="2"/>
  <c r="K66" i="2" s="1"/>
  <c r="O65" i="2"/>
  <c r="O66" i="2" s="1"/>
  <c r="S65" i="2"/>
  <c r="S66" i="2" s="1"/>
  <c r="X65" i="2"/>
  <c r="X66" i="2" s="1"/>
  <c r="AE65" i="2"/>
  <c r="AE66" i="2" s="1"/>
  <c r="AI65" i="2"/>
  <c r="AI66" i="2" s="1"/>
  <c r="AP65" i="2"/>
  <c r="AP66" i="2" s="1"/>
  <c r="AU65" i="2"/>
  <c r="AU66" i="2" s="1"/>
  <c r="AZ65" i="2"/>
  <c r="AZ66" i="2" s="1"/>
  <c r="BC65" i="2"/>
  <c r="BC66" i="2" s="1"/>
  <c r="BG65" i="2"/>
  <c r="BG66" i="2" s="1"/>
  <c r="D54" i="2"/>
  <c r="D55" i="2" s="1"/>
  <c r="H54" i="2"/>
  <c r="H55" i="2" s="1"/>
  <c r="L54" i="2"/>
  <c r="L55" i="2" s="1"/>
  <c r="P54" i="2"/>
  <c r="P55" i="2" s="1"/>
  <c r="T54" i="2"/>
  <c r="T55" i="2" s="1"/>
  <c r="Y54" i="2"/>
  <c r="Y55" i="2" s="1"/>
  <c r="AF54" i="2"/>
  <c r="AF55" i="2" s="1"/>
  <c r="AJ54" i="2"/>
  <c r="AJ55" i="2" s="1"/>
  <c r="AM54" i="2"/>
  <c r="AM55" i="2" s="1"/>
  <c r="AQ54" i="2"/>
  <c r="AQ55" i="2" s="1"/>
  <c r="AW54" i="2"/>
  <c r="AW55" i="2" s="1"/>
  <c r="BA54" i="2"/>
  <c r="BA55" i="2" s="1"/>
  <c r="BD54" i="2"/>
  <c r="BD55" i="2" s="1"/>
  <c r="BJ54" i="2"/>
  <c r="BJ55" i="2" s="1"/>
  <c r="E43" i="2"/>
  <c r="E44" i="2" s="1"/>
  <c r="I43" i="2"/>
  <c r="I44" i="2" s="1"/>
  <c r="M43" i="2"/>
  <c r="M44" i="2" s="1"/>
  <c r="Q43" i="2"/>
  <c r="Q44" i="2" s="1"/>
  <c r="V43" i="2"/>
  <c r="V44" i="2" s="1"/>
  <c r="Z43" i="2"/>
  <c r="Z44" i="2" s="1"/>
  <c r="AG43" i="2"/>
  <c r="AG44" i="2" s="1"/>
  <c r="AK43" i="2"/>
  <c r="AK44" i="2" s="1"/>
  <c r="AN43" i="2"/>
  <c r="AN44" i="2" s="1"/>
  <c r="AR43" i="2"/>
  <c r="AR44" i="2" s="1"/>
  <c r="AX43" i="2"/>
  <c r="AX44" i="2" s="1"/>
  <c r="BE43" i="2"/>
  <c r="BE44" i="2" s="1"/>
  <c r="F32" i="2"/>
  <c r="F33" i="2" s="1"/>
  <c r="J32" i="2"/>
  <c r="J33" i="2" s="1"/>
  <c r="N32" i="2"/>
  <c r="N33" i="2" s="1"/>
  <c r="R32" i="2"/>
  <c r="R33" i="2" s="1"/>
  <c r="W32" i="2"/>
  <c r="W33" i="2" s="1"/>
  <c r="AA32" i="2"/>
  <c r="AA33" i="2" s="1"/>
  <c r="AH32" i="2"/>
  <c r="AH33" i="2" s="1"/>
  <c r="AL32" i="2"/>
  <c r="AL33" i="2" s="1"/>
  <c r="AO32" i="2"/>
  <c r="AO33" i="2" s="1"/>
  <c r="AT32" i="2"/>
  <c r="AT33" i="2" s="1"/>
  <c r="AY32" i="2"/>
  <c r="AY33" i="2" s="1"/>
  <c r="BB32" i="2"/>
  <c r="BB33" i="2" s="1"/>
  <c r="BF32" i="2"/>
  <c r="BF33"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9" i="2"/>
  <c r="I110" i="2" s="1"/>
  <c r="Q109" i="2"/>
  <c r="Q110" i="2" s="1"/>
  <c r="AG109" i="2"/>
  <c r="AG110" i="2" s="1"/>
  <c r="AN109" i="2"/>
  <c r="AN110" i="2" s="1"/>
  <c r="N98" i="2"/>
  <c r="N99" i="2" s="1"/>
  <c r="AA98" i="2"/>
  <c r="AA99" i="2" s="1"/>
  <c r="AH98" i="2"/>
  <c r="AH99" i="2" s="1"/>
  <c r="AT98" i="2"/>
  <c r="AT99" i="2" s="1"/>
  <c r="BF98" i="2"/>
  <c r="BF99" i="2" s="1"/>
  <c r="G87" i="2"/>
  <c r="G88" i="2" s="1"/>
  <c r="S87" i="2"/>
  <c r="S88" i="2" s="1"/>
  <c r="AI87" i="2"/>
  <c r="AI88" i="2" s="1"/>
  <c r="AP87" i="2"/>
  <c r="AP88" i="2" s="1"/>
  <c r="J47" i="4"/>
  <c r="O47" i="4" s="1"/>
  <c r="AZ87" i="2"/>
  <c r="AZ88" i="2" s="1"/>
  <c r="BG87" i="2"/>
  <c r="BG88" i="2" s="1"/>
  <c r="L76" i="2"/>
  <c r="L77" i="2" s="1"/>
  <c r="T76" i="2"/>
  <c r="T77" i="2" s="1"/>
  <c r="AJ76" i="2"/>
  <c r="AJ77" i="2" s="1"/>
  <c r="AW76" i="2"/>
  <c r="AW77" i="2" s="1"/>
  <c r="BD76" i="2"/>
  <c r="BD77" i="2" s="1"/>
  <c r="E65" i="2"/>
  <c r="E66" i="2" s="1"/>
  <c r="Q65" i="2"/>
  <c r="Q66" i="2" s="1"/>
  <c r="Z65" i="2"/>
  <c r="Z66" i="2" s="1"/>
  <c r="AN65" i="2"/>
  <c r="AN66" i="2" s="1"/>
  <c r="F54" i="2"/>
  <c r="F55" i="2" s="1"/>
  <c r="N54" i="2"/>
  <c r="N55" i="2" s="1"/>
  <c r="W54" i="2"/>
  <c r="W55" i="2" s="1"/>
  <c r="AL54" i="2"/>
  <c r="AL55" i="2" s="1"/>
  <c r="AT54" i="2"/>
  <c r="AT55" i="2" s="1"/>
  <c r="BF54" i="2"/>
  <c r="BF55" i="2" s="1"/>
  <c r="G43" i="2"/>
  <c r="G44" i="2" s="1"/>
  <c r="S43" i="2"/>
  <c r="S44" i="2" s="1"/>
  <c r="AE43" i="2"/>
  <c r="AE44" i="2" s="1"/>
  <c r="AU43" i="2"/>
  <c r="AU44" i="2" s="1"/>
  <c r="BG43" i="2"/>
  <c r="BG44" i="2" s="1"/>
  <c r="L32" i="2"/>
  <c r="L33" i="2" s="1"/>
  <c r="T32" i="2"/>
  <c r="T33" i="2" s="1"/>
  <c r="AF32" i="2"/>
  <c r="AF33" i="2" s="1"/>
  <c r="AQ32" i="2"/>
  <c r="AQ33" i="2" s="1"/>
  <c r="BA32" i="2"/>
  <c r="BA33"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9" i="2"/>
  <c r="N110" i="2" s="1"/>
  <c r="AA109" i="2"/>
  <c r="AA110" i="2" s="1"/>
  <c r="AH109" i="2"/>
  <c r="AH110" i="2" s="1"/>
  <c r="AT109" i="2"/>
  <c r="AT110" i="2" s="1"/>
  <c r="BB109" i="2"/>
  <c r="BB110" i="2" s="1"/>
  <c r="G98" i="2"/>
  <c r="G99" i="2" s="1"/>
  <c r="O98" i="2"/>
  <c r="O99"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9" i="2"/>
  <c r="D110" i="2" s="1"/>
  <c r="H109" i="2"/>
  <c r="H110" i="2" s="1"/>
  <c r="L109" i="2"/>
  <c r="L110" i="2" s="1"/>
  <c r="P109" i="2"/>
  <c r="P110" i="2" s="1"/>
  <c r="T109" i="2"/>
  <c r="T110" i="2" s="1"/>
  <c r="Y109" i="2"/>
  <c r="Y110" i="2" s="1"/>
  <c r="AF109" i="2"/>
  <c r="AF110" i="2" s="1"/>
  <c r="AJ109" i="2"/>
  <c r="AJ110" i="2" s="1"/>
  <c r="AM109" i="2"/>
  <c r="AM110" i="2" s="1"/>
  <c r="AQ109" i="2"/>
  <c r="AQ110" i="2" s="1"/>
  <c r="AW109" i="2"/>
  <c r="AW110" i="2" s="1"/>
  <c r="BA109" i="2"/>
  <c r="BA110" i="2" s="1"/>
  <c r="BD109" i="2"/>
  <c r="BD110" i="2" s="1"/>
  <c r="BJ109" i="2"/>
  <c r="BJ110" i="2" s="1"/>
  <c r="E98" i="2"/>
  <c r="E99" i="2" s="1"/>
  <c r="I98" i="2"/>
  <c r="I99" i="2" s="1"/>
  <c r="M98" i="2"/>
  <c r="M99" i="2" s="1"/>
  <c r="Q98" i="2"/>
  <c r="Q99" i="2" s="1"/>
  <c r="V98" i="2"/>
  <c r="V99" i="2" s="1"/>
  <c r="Z98" i="2"/>
  <c r="Z99" i="2" s="1"/>
  <c r="AG98" i="2"/>
  <c r="AG99" i="2" s="1"/>
  <c r="AK98" i="2"/>
  <c r="AK99" i="2" s="1"/>
  <c r="AN98" i="2"/>
  <c r="AN99" i="2" s="1"/>
  <c r="AR98" i="2"/>
  <c r="AR99" i="2" s="1"/>
  <c r="AX98" i="2"/>
  <c r="AX99" i="2" s="1"/>
  <c r="BE98" i="2"/>
  <c r="BE99" i="2" s="1"/>
  <c r="F87" i="2"/>
  <c r="F88" i="2" s="1"/>
  <c r="J87" i="2"/>
  <c r="J88" i="2" s="1"/>
  <c r="N87" i="2"/>
  <c r="N88" i="2" s="1"/>
  <c r="R87" i="2"/>
  <c r="R88" i="2" s="1"/>
  <c r="W87" i="2"/>
  <c r="W88" i="2" s="1"/>
  <c r="AA87" i="2"/>
  <c r="AA88" i="2" s="1"/>
  <c r="AH87" i="2"/>
  <c r="AH88" i="2" s="1"/>
  <c r="AL87" i="2"/>
  <c r="AL88" i="2" s="1"/>
  <c r="AO87" i="2"/>
  <c r="AO88" i="2" s="1"/>
  <c r="AT87" i="2"/>
  <c r="AT88" i="2" s="1"/>
  <c r="AY87" i="2"/>
  <c r="AY88" i="2" s="1"/>
  <c r="BB87" i="2"/>
  <c r="BB88" i="2" s="1"/>
  <c r="BF87" i="2"/>
  <c r="BF88" i="2" s="1"/>
  <c r="C76" i="2"/>
  <c r="C77" i="2" s="1"/>
  <c r="G76" i="2"/>
  <c r="G77" i="2" s="1"/>
  <c r="K76" i="2"/>
  <c r="K77" i="2" s="1"/>
  <c r="O76" i="2"/>
  <c r="O77" i="2" s="1"/>
  <c r="S76" i="2"/>
  <c r="S77" i="2" s="1"/>
  <c r="X76" i="2"/>
  <c r="X77" i="2" s="1"/>
  <c r="AE76" i="2"/>
  <c r="AE77" i="2" s="1"/>
  <c r="AI76" i="2"/>
  <c r="AI77" i="2" s="1"/>
  <c r="AP76" i="2"/>
  <c r="AP77" i="2" s="1"/>
  <c r="AU76" i="2"/>
  <c r="AU77" i="2" s="1"/>
  <c r="AZ76" i="2"/>
  <c r="AZ77" i="2" s="1"/>
  <c r="BC76" i="2"/>
  <c r="BC77" i="2" s="1"/>
  <c r="BG76" i="2"/>
  <c r="BG77" i="2" s="1"/>
  <c r="D65" i="2"/>
  <c r="D66" i="2" s="1"/>
  <c r="H65" i="2"/>
  <c r="H66" i="2" s="1"/>
  <c r="L65" i="2"/>
  <c r="L66" i="2" s="1"/>
  <c r="P65" i="2"/>
  <c r="P66" i="2" s="1"/>
  <c r="T65" i="2"/>
  <c r="T66" i="2" s="1"/>
  <c r="Y65" i="2"/>
  <c r="Y66" i="2" s="1"/>
  <c r="AF65" i="2"/>
  <c r="AF66" i="2" s="1"/>
  <c r="AJ65" i="2"/>
  <c r="AJ66" i="2" s="1"/>
  <c r="AM65" i="2"/>
  <c r="AM66" i="2" s="1"/>
  <c r="AQ65" i="2"/>
  <c r="AQ66" i="2" s="1"/>
  <c r="AW65" i="2"/>
  <c r="AW66" i="2" s="1"/>
  <c r="BA65" i="2"/>
  <c r="BA66" i="2" s="1"/>
  <c r="BD65" i="2"/>
  <c r="BD66" i="2" s="1"/>
  <c r="BJ65" i="2"/>
  <c r="BJ66" i="2" s="1"/>
  <c r="E54" i="2"/>
  <c r="E55" i="2" s="1"/>
  <c r="I54" i="2"/>
  <c r="I55" i="2" s="1"/>
  <c r="M54" i="2"/>
  <c r="M55" i="2" s="1"/>
  <c r="Q54" i="2"/>
  <c r="Q55" i="2" s="1"/>
  <c r="V54" i="2"/>
  <c r="V55" i="2" s="1"/>
  <c r="Z54" i="2"/>
  <c r="Z55" i="2" s="1"/>
  <c r="AG54" i="2"/>
  <c r="AG55" i="2" s="1"/>
  <c r="AK54" i="2"/>
  <c r="AK55" i="2" s="1"/>
  <c r="AN54" i="2"/>
  <c r="AN55" i="2" s="1"/>
  <c r="AR54" i="2"/>
  <c r="AR55" i="2" s="1"/>
  <c r="AX54" i="2"/>
  <c r="AX55" i="2" s="1"/>
  <c r="BE54" i="2"/>
  <c r="BE55" i="2" s="1"/>
  <c r="F43" i="2"/>
  <c r="F44" i="2" s="1"/>
  <c r="J43" i="2"/>
  <c r="J44" i="2" s="1"/>
  <c r="N43" i="2"/>
  <c r="N44" i="2" s="1"/>
  <c r="R43" i="2"/>
  <c r="R44" i="2" s="1"/>
  <c r="W43" i="2"/>
  <c r="W44" i="2" s="1"/>
  <c r="AA43" i="2"/>
  <c r="AA44" i="2" s="1"/>
  <c r="AH43" i="2"/>
  <c r="AH44" i="2" s="1"/>
  <c r="AL43" i="2"/>
  <c r="AL44" i="2" s="1"/>
  <c r="AO43" i="2"/>
  <c r="AO44" i="2" s="1"/>
  <c r="AT43" i="2"/>
  <c r="AT44" i="2" s="1"/>
  <c r="AY43" i="2"/>
  <c r="AY44" i="2" s="1"/>
  <c r="BB43" i="2"/>
  <c r="BB44" i="2" s="1"/>
  <c r="BF43" i="2"/>
  <c r="BF44" i="2" s="1"/>
  <c r="C32" i="2"/>
  <c r="C33" i="2" s="1"/>
  <c r="G32" i="2"/>
  <c r="G33" i="2" s="1"/>
  <c r="K32" i="2"/>
  <c r="K33" i="2" s="1"/>
  <c r="O32" i="2"/>
  <c r="O33" i="2" s="1"/>
  <c r="S32" i="2"/>
  <c r="S33" i="2" s="1"/>
  <c r="X32" i="2"/>
  <c r="X33" i="2" s="1"/>
  <c r="AE32" i="2"/>
  <c r="AE33" i="2" s="1"/>
  <c r="AI32" i="2"/>
  <c r="AI33" i="2" s="1"/>
  <c r="AP32" i="2"/>
  <c r="AP33" i="2" s="1"/>
  <c r="AU32" i="2"/>
  <c r="AU33" i="2" s="1"/>
  <c r="AZ32" i="2"/>
  <c r="AZ33" i="2" s="1"/>
  <c r="BC32" i="2"/>
  <c r="BC33" i="2" s="1"/>
  <c r="BG32" i="2"/>
  <c r="BG33"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7" i="2"/>
  <c r="BJ111" i="2"/>
  <c r="BJ112" i="2" s="1"/>
  <c r="BG111" i="2"/>
  <c r="BG112" i="2" s="1"/>
  <c r="BF111" i="2"/>
  <c r="BF112" i="2" s="1"/>
  <c r="BE111" i="2"/>
  <c r="BE112" i="2" s="1"/>
  <c r="BD111" i="2"/>
  <c r="BD112" i="2" s="1"/>
  <c r="BC111" i="2"/>
  <c r="BC112" i="2" s="1"/>
  <c r="BB107" i="2"/>
  <c r="BB111" i="2" s="1"/>
  <c r="BB112" i="2" s="1"/>
  <c r="BA107" i="2"/>
  <c r="BA111" i="2" s="1"/>
  <c r="BA112" i="2" s="1"/>
  <c r="AZ107" i="2"/>
  <c r="AZ111" i="2" s="1"/>
  <c r="AZ112" i="2" s="1"/>
  <c r="AY107" i="2"/>
  <c r="AY111" i="2" s="1"/>
  <c r="AY112" i="2" s="1"/>
  <c r="AX107" i="2"/>
  <c r="AX111" i="2" s="1"/>
  <c r="AX112" i="2" s="1"/>
  <c r="AW107" i="2"/>
  <c r="AW111" i="2" s="1"/>
  <c r="AW112" i="2" s="1"/>
  <c r="AU107" i="2"/>
  <c r="AU111" i="2" s="1"/>
  <c r="AU112" i="2" s="1"/>
  <c r="AT107" i="2"/>
  <c r="AT111" i="2" s="1"/>
  <c r="AT112" i="2" s="1"/>
  <c r="AR107" i="2"/>
  <c r="AR111" i="2" s="1"/>
  <c r="AR112" i="2" s="1"/>
  <c r="AQ107" i="2"/>
  <c r="AQ111" i="2" s="1"/>
  <c r="AQ112" i="2" s="1"/>
  <c r="AP107" i="2"/>
  <c r="AP111" i="2" s="1"/>
  <c r="AP112" i="2" s="1"/>
  <c r="AO107" i="2"/>
  <c r="AO111" i="2" s="1"/>
  <c r="AO112" i="2" s="1"/>
  <c r="AN107" i="2"/>
  <c r="AN111" i="2" s="1"/>
  <c r="AN112" i="2" s="1"/>
  <c r="AM107" i="2"/>
  <c r="AM111" i="2" s="1"/>
  <c r="AM112" i="2" s="1"/>
  <c r="AL107" i="2"/>
  <c r="AL111" i="2" s="1"/>
  <c r="AL112" i="2" s="1"/>
  <c r="AK107" i="2"/>
  <c r="AK111" i="2" s="1"/>
  <c r="AK112" i="2" s="1"/>
  <c r="AJ107" i="2"/>
  <c r="AJ111" i="2" s="1"/>
  <c r="AJ112" i="2" s="1"/>
  <c r="AI107" i="2"/>
  <c r="AI111" i="2" s="1"/>
  <c r="AI112" i="2" s="1"/>
  <c r="AH107" i="2"/>
  <c r="AH111" i="2" s="1"/>
  <c r="AH112" i="2" s="1"/>
  <c r="AG107" i="2"/>
  <c r="AG111" i="2" s="1"/>
  <c r="AG112" i="2" s="1"/>
  <c r="AF107" i="2"/>
  <c r="AF111" i="2" s="1"/>
  <c r="AF112" i="2" s="1"/>
  <c r="AE107" i="2"/>
  <c r="AA107" i="2"/>
  <c r="AA111" i="2" s="1"/>
  <c r="AA112" i="2" s="1"/>
  <c r="Z107" i="2"/>
  <c r="Z111" i="2" s="1"/>
  <c r="Z112" i="2" s="1"/>
  <c r="Y107" i="2"/>
  <c r="Y111" i="2" s="1"/>
  <c r="Y112" i="2" s="1"/>
  <c r="X107" i="2"/>
  <c r="X111" i="2" s="1"/>
  <c r="X112" i="2" s="1"/>
  <c r="W107" i="2"/>
  <c r="W111" i="2" s="1"/>
  <c r="W112" i="2" s="1"/>
  <c r="V107" i="2"/>
  <c r="V111" i="2" s="1"/>
  <c r="V112" i="2" s="1"/>
  <c r="T107" i="2"/>
  <c r="T111" i="2" s="1"/>
  <c r="T112" i="2" s="1"/>
  <c r="S107" i="2"/>
  <c r="S111" i="2" s="1"/>
  <c r="S112" i="2" s="1"/>
  <c r="R107" i="2"/>
  <c r="R111" i="2" s="1"/>
  <c r="R112" i="2" s="1"/>
  <c r="Q107" i="2"/>
  <c r="Q111" i="2" s="1"/>
  <c r="Q112" i="2" s="1"/>
  <c r="P107" i="2"/>
  <c r="P111" i="2" s="1"/>
  <c r="P112" i="2" s="1"/>
  <c r="O107" i="2"/>
  <c r="O111" i="2" s="1"/>
  <c r="O112" i="2" s="1"/>
  <c r="N107" i="2"/>
  <c r="N111" i="2" s="1"/>
  <c r="N112" i="2" s="1"/>
  <c r="M107" i="2"/>
  <c r="M111" i="2" s="1"/>
  <c r="M112" i="2" s="1"/>
  <c r="L107" i="2"/>
  <c r="L111" i="2" s="1"/>
  <c r="L112" i="2" s="1"/>
  <c r="K107" i="2"/>
  <c r="K111" i="2" s="1"/>
  <c r="K112" i="2" s="1"/>
  <c r="J107" i="2"/>
  <c r="J111" i="2" s="1"/>
  <c r="J112" i="2" s="1"/>
  <c r="I107" i="2"/>
  <c r="I111" i="2" s="1"/>
  <c r="I112" i="2" s="1"/>
  <c r="H107" i="2"/>
  <c r="H111" i="2" s="1"/>
  <c r="H112" i="2" s="1"/>
  <c r="G107" i="2"/>
  <c r="G111" i="2" s="1"/>
  <c r="G112" i="2" s="1"/>
  <c r="F107" i="2"/>
  <c r="F111" i="2" s="1"/>
  <c r="F112" i="2" s="1"/>
  <c r="E107" i="2"/>
  <c r="E111" i="2" s="1"/>
  <c r="E112" i="2" s="1"/>
  <c r="D107" i="2"/>
  <c r="D111" i="2" s="1"/>
  <c r="D112" i="2" s="1"/>
  <c r="C107" i="2"/>
  <c r="BL96" i="2"/>
  <c r="BJ96" i="2"/>
  <c r="BJ100" i="2" s="1"/>
  <c r="BJ101" i="2" s="1"/>
  <c r="BG96" i="2"/>
  <c r="BG100" i="2" s="1"/>
  <c r="BG101" i="2" s="1"/>
  <c r="BF100" i="2"/>
  <c r="BF101" i="2" s="1"/>
  <c r="BE100" i="2"/>
  <c r="BE101" i="2" s="1"/>
  <c r="BD100" i="2"/>
  <c r="BD101" i="2" s="1"/>
  <c r="BC100" i="2"/>
  <c r="BC101" i="2" s="1"/>
  <c r="BB96" i="2"/>
  <c r="BB100" i="2" s="1"/>
  <c r="BB101" i="2" s="1"/>
  <c r="BA96" i="2"/>
  <c r="BA100" i="2" s="1"/>
  <c r="BA101" i="2" s="1"/>
  <c r="AZ96" i="2"/>
  <c r="AZ100" i="2" s="1"/>
  <c r="AZ101" i="2" s="1"/>
  <c r="AY96" i="2"/>
  <c r="AY100" i="2" s="1"/>
  <c r="AY101" i="2" s="1"/>
  <c r="AX96" i="2"/>
  <c r="AX100" i="2" s="1"/>
  <c r="AX101" i="2" s="1"/>
  <c r="AW96" i="2"/>
  <c r="AW100" i="2" s="1"/>
  <c r="AW101" i="2" s="1"/>
  <c r="AU96" i="2"/>
  <c r="AU100" i="2" s="1"/>
  <c r="AU101" i="2" s="1"/>
  <c r="AT96" i="2"/>
  <c r="AT100" i="2" s="1"/>
  <c r="AT101" i="2" s="1"/>
  <c r="AR96" i="2"/>
  <c r="AR100" i="2" s="1"/>
  <c r="AR101" i="2" s="1"/>
  <c r="AQ96" i="2"/>
  <c r="AQ100" i="2" s="1"/>
  <c r="AQ101" i="2" s="1"/>
  <c r="AP96" i="2"/>
  <c r="AP100" i="2" s="1"/>
  <c r="AP101" i="2" s="1"/>
  <c r="AO96" i="2"/>
  <c r="AO100" i="2" s="1"/>
  <c r="AO101" i="2" s="1"/>
  <c r="AN96" i="2"/>
  <c r="AN100" i="2" s="1"/>
  <c r="AN101" i="2" s="1"/>
  <c r="AM96" i="2"/>
  <c r="H61" i="4" s="1"/>
  <c r="AL96" i="2"/>
  <c r="AL100" i="2" s="1"/>
  <c r="AL101" i="2" s="1"/>
  <c r="AK96" i="2"/>
  <c r="AK100" i="2" s="1"/>
  <c r="AK101" i="2" s="1"/>
  <c r="AJ96" i="2"/>
  <c r="AJ100" i="2" s="1"/>
  <c r="AJ101" i="2" s="1"/>
  <c r="AI96" i="2"/>
  <c r="AI100" i="2" s="1"/>
  <c r="AI101" i="2" s="1"/>
  <c r="AH96" i="2"/>
  <c r="AH100" i="2" s="1"/>
  <c r="AH101" i="2" s="1"/>
  <c r="AG96" i="2"/>
  <c r="AG100" i="2" s="1"/>
  <c r="AG101" i="2" s="1"/>
  <c r="AF96" i="2"/>
  <c r="AF100" i="2" s="1"/>
  <c r="AF101" i="2" s="1"/>
  <c r="AE96" i="2"/>
  <c r="AA96" i="2"/>
  <c r="AA100" i="2" s="1"/>
  <c r="AA101" i="2" s="1"/>
  <c r="Z96" i="2"/>
  <c r="Z100" i="2" s="1"/>
  <c r="Z101" i="2" s="1"/>
  <c r="Y96" i="2"/>
  <c r="Y100" i="2" s="1"/>
  <c r="Y101" i="2" s="1"/>
  <c r="X96" i="2"/>
  <c r="X100" i="2" s="1"/>
  <c r="X101" i="2" s="1"/>
  <c r="W96" i="2"/>
  <c r="W100" i="2" s="1"/>
  <c r="W101" i="2" s="1"/>
  <c r="V96" i="2"/>
  <c r="V100" i="2" s="1"/>
  <c r="V101" i="2" s="1"/>
  <c r="T96" i="2"/>
  <c r="T100" i="2" s="1"/>
  <c r="T101" i="2" s="1"/>
  <c r="S96" i="2"/>
  <c r="S100" i="2" s="1"/>
  <c r="S101" i="2" s="1"/>
  <c r="R96" i="2"/>
  <c r="R100" i="2" s="1"/>
  <c r="R101" i="2" s="1"/>
  <c r="Q96" i="2"/>
  <c r="Q100" i="2" s="1"/>
  <c r="Q101" i="2" s="1"/>
  <c r="P96" i="2"/>
  <c r="P100" i="2" s="1"/>
  <c r="P101" i="2" s="1"/>
  <c r="O96" i="2"/>
  <c r="O100" i="2" s="1"/>
  <c r="O101" i="2" s="1"/>
  <c r="N96" i="2"/>
  <c r="N100" i="2" s="1"/>
  <c r="N101" i="2" s="1"/>
  <c r="M96" i="2"/>
  <c r="M100" i="2" s="1"/>
  <c r="M101" i="2" s="1"/>
  <c r="L96" i="2"/>
  <c r="L100" i="2" s="1"/>
  <c r="L101" i="2" s="1"/>
  <c r="K96" i="2"/>
  <c r="K100" i="2" s="1"/>
  <c r="K101" i="2" s="1"/>
  <c r="J96" i="2"/>
  <c r="J100" i="2" s="1"/>
  <c r="J101" i="2" s="1"/>
  <c r="I96" i="2"/>
  <c r="I100" i="2" s="1"/>
  <c r="I101" i="2" s="1"/>
  <c r="H96" i="2"/>
  <c r="H100" i="2" s="1"/>
  <c r="H101" i="2" s="1"/>
  <c r="G96" i="2"/>
  <c r="G100" i="2" s="1"/>
  <c r="G101" i="2" s="1"/>
  <c r="F96" i="2"/>
  <c r="F100" i="2" s="1"/>
  <c r="F101" i="2" s="1"/>
  <c r="E96" i="2"/>
  <c r="E100" i="2" s="1"/>
  <c r="E101" i="2" s="1"/>
  <c r="D96" i="2"/>
  <c r="D100" i="2" s="1"/>
  <c r="D101" i="2" s="1"/>
  <c r="C96" i="2"/>
  <c r="BL85" i="2"/>
  <c r="BJ89" i="2"/>
  <c r="BJ90" i="2" s="1"/>
  <c r="BG85" i="2"/>
  <c r="BG89" i="2" s="1"/>
  <c r="BG90" i="2" s="1"/>
  <c r="BF89" i="2"/>
  <c r="BF90" i="2" s="1"/>
  <c r="BE89" i="2"/>
  <c r="BE90" i="2" s="1"/>
  <c r="BD89" i="2"/>
  <c r="BD90" i="2" s="1"/>
  <c r="BC89" i="2"/>
  <c r="BC90" i="2" s="1"/>
  <c r="BB85" i="2"/>
  <c r="BB89" i="2" s="1"/>
  <c r="BB90" i="2" s="1"/>
  <c r="BA85" i="2"/>
  <c r="H48" i="4" s="1"/>
  <c r="AZ85" i="2"/>
  <c r="AY85" i="2"/>
  <c r="AY89" i="2" s="1"/>
  <c r="AY90" i="2" s="1"/>
  <c r="AX85" i="2"/>
  <c r="AX89" i="2" s="1"/>
  <c r="AX90" i="2" s="1"/>
  <c r="AW85" i="2"/>
  <c r="AW89" i="2" s="1"/>
  <c r="AW90" i="2" s="1"/>
  <c r="AU85" i="2"/>
  <c r="H46" i="4" s="1"/>
  <c r="M46" i="4" s="1"/>
  <c r="N46" i="4" s="1"/>
  <c r="AT85" i="2"/>
  <c r="AT89" i="2" s="1"/>
  <c r="AT90" i="2" s="1"/>
  <c r="AR85" i="2"/>
  <c r="H45" i="4" s="1"/>
  <c r="M45" i="4" s="1"/>
  <c r="N45" i="4" s="1"/>
  <c r="AQ85" i="2"/>
  <c r="AQ89" i="2" s="1"/>
  <c r="AQ90" i="2" s="1"/>
  <c r="AP85" i="2"/>
  <c r="AP89" i="2" s="1"/>
  <c r="AP90" i="2" s="1"/>
  <c r="AO85" i="2"/>
  <c r="AO89" i="2" s="1"/>
  <c r="AO90" i="2" s="1"/>
  <c r="AN85" i="2"/>
  <c r="AN89" i="2" s="1"/>
  <c r="AN90" i="2" s="1"/>
  <c r="AM85" i="2"/>
  <c r="H49" i="4" s="1"/>
  <c r="AL85" i="2"/>
  <c r="AL89" i="2" s="1"/>
  <c r="AL90" i="2" s="1"/>
  <c r="AK85" i="2"/>
  <c r="H43" i="4" s="1"/>
  <c r="AJ85" i="2"/>
  <c r="AJ89" i="2" s="1"/>
  <c r="AJ90" i="2" s="1"/>
  <c r="AI85" i="2"/>
  <c r="AI89" i="2" s="1"/>
  <c r="AI90" i="2" s="1"/>
  <c r="AH85" i="2"/>
  <c r="AH89" i="2" s="1"/>
  <c r="AH90" i="2" s="1"/>
  <c r="AG85" i="2"/>
  <c r="AG89" i="2" s="1"/>
  <c r="AG90" i="2" s="1"/>
  <c r="AF85" i="2"/>
  <c r="AF89" i="2" s="1"/>
  <c r="AF90" i="2" s="1"/>
  <c r="AE85" i="2"/>
  <c r="AA85" i="2"/>
  <c r="AA89" i="2" s="1"/>
  <c r="AA90" i="2" s="1"/>
  <c r="Z85" i="2"/>
  <c r="Z89" i="2" s="1"/>
  <c r="Z90" i="2" s="1"/>
  <c r="Y85" i="2"/>
  <c r="Y89" i="2" s="1"/>
  <c r="Y90" i="2" s="1"/>
  <c r="X85" i="2"/>
  <c r="X89" i="2" s="1"/>
  <c r="X90" i="2" s="1"/>
  <c r="W85" i="2"/>
  <c r="W89" i="2" s="1"/>
  <c r="W90" i="2" s="1"/>
  <c r="V85" i="2"/>
  <c r="V89" i="2" s="1"/>
  <c r="V90" i="2" s="1"/>
  <c r="T85" i="2"/>
  <c r="T89" i="2" s="1"/>
  <c r="T90" i="2" s="1"/>
  <c r="S85" i="2"/>
  <c r="S89" i="2" s="1"/>
  <c r="S90" i="2" s="1"/>
  <c r="R85" i="2"/>
  <c r="R89" i="2" s="1"/>
  <c r="R90" i="2" s="1"/>
  <c r="Q85" i="2"/>
  <c r="Q89" i="2" s="1"/>
  <c r="Q90" i="2" s="1"/>
  <c r="P85" i="2"/>
  <c r="P89" i="2" s="1"/>
  <c r="P90" i="2" s="1"/>
  <c r="O85" i="2"/>
  <c r="O89" i="2" s="1"/>
  <c r="O90" i="2" s="1"/>
  <c r="N85" i="2"/>
  <c r="N89" i="2" s="1"/>
  <c r="N90" i="2" s="1"/>
  <c r="M85" i="2"/>
  <c r="M89" i="2" s="1"/>
  <c r="M90" i="2" s="1"/>
  <c r="L85" i="2"/>
  <c r="L89" i="2" s="1"/>
  <c r="L90" i="2" s="1"/>
  <c r="K85" i="2"/>
  <c r="K89" i="2" s="1"/>
  <c r="K90" i="2" s="1"/>
  <c r="J85" i="2"/>
  <c r="J89" i="2" s="1"/>
  <c r="J90" i="2" s="1"/>
  <c r="I85" i="2"/>
  <c r="I89" i="2" s="1"/>
  <c r="I90" i="2" s="1"/>
  <c r="H85" i="2"/>
  <c r="H89" i="2" s="1"/>
  <c r="H90" i="2" s="1"/>
  <c r="G85" i="2"/>
  <c r="G89" i="2" s="1"/>
  <c r="G90" i="2" s="1"/>
  <c r="F85" i="2"/>
  <c r="F89" i="2" s="1"/>
  <c r="F90" i="2" s="1"/>
  <c r="E85" i="2"/>
  <c r="E89" i="2" s="1"/>
  <c r="E90" i="2" s="1"/>
  <c r="D85" i="2"/>
  <c r="D89" i="2" s="1"/>
  <c r="D90" i="2" s="1"/>
  <c r="C85" i="2"/>
  <c r="BL74" i="2"/>
  <c r="BJ74" i="2"/>
  <c r="BJ78" i="2" s="1"/>
  <c r="BJ79" i="2" s="1"/>
  <c r="BG74" i="2"/>
  <c r="BG78" i="2" s="1"/>
  <c r="BG79" i="2" s="1"/>
  <c r="BF78" i="2"/>
  <c r="BF79" i="2" s="1"/>
  <c r="BE78" i="2"/>
  <c r="BE79" i="2" s="1"/>
  <c r="BD78" i="2"/>
  <c r="BD79" i="2" s="1"/>
  <c r="BC78" i="2"/>
  <c r="BC79" i="2" s="1"/>
  <c r="BB74" i="2"/>
  <c r="BB78" i="2" s="1"/>
  <c r="BB79" i="2" s="1"/>
  <c r="BA74" i="2"/>
  <c r="BA78" i="2" s="1"/>
  <c r="BA79" i="2" s="1"/>
  <c r="AZ74" i="2"/>
  <c r="AZ78" i="2" s="1"/>
  <c r="AZ79" i="2" s="1"/>
  <c r="AY74" i="2"/>
  <c r="AY78" i="2" s="1"/>
  <c r="AY79" i="2" s="1"/>
  <c r="AX74" i="2"/>
  <c r="AX78" i="2" s="1"/>
  <c r="AX79" i="2" s="1"/>
  <c r="AW74" i="2"/>
  <c r="AW78" i="2" s="1"/>
  <c r="AW79" i="2" s="1"/>
  <c r="AU74" i="2"/>
  <c r="AU78" i="2" s="1"/>
  <c r="AU79" i="2" s="1"/>
  <c r="AT74" i="2"/>
  <c r="AT78" i="2" s="1"/>
  <c r="AT79" i="2" s="1"/>
  <c r="AR74" i="2"/>
  <c r="AR78" i="2" s="1"/>
  <c r="AR79" i="2" s="1"/>
  <c r="AQ74" i="2"/>
  <c r="AQ78" i="2" s="1"/>
  <c r="AQ79" i="2" s="1"/>
  <c r="AP74" i="2"/>
  <c r="H67" i="4" s="1"/>
  <c r="M67" i="4" s="1"/>
  <c r="N67" i="4" s="1"/>
  <c r="AO74" i="2"/>
  <c r="AO78" i="2" s="1"/>
  <c r="AO79" i="2" s="1"/>
  <c r="AN74" i="2"/>
  <c r="AN78" i="2" s="1"/>
  <c r="AN79" i="2" s="1"/>
  <c r="AM74" i="2"/>
  <c r="AM78" i="2" s="1"/>
  <c r="AM79" i="2" s="1"/>
  <c r="AL74" i="2"/>
  <c r="AL78" i="2" s="1"/>
  <c r="AL79" i="2" s="1"/>
  <c r="AK74" i="2"/>
  <c r="AK78" i="2" s="1"/>
  <c r="AK79" i="2" s="1"/>
  <c r="AJ74" i="2"/>
  <c r="AJ78" i="2" s="1"/>
  <c r="AJ79" i="2" s="1"/>
  <c r="AI74" i="2"/>
  <c r="AI78" i="2" s="1"/>
  <c r="AI79" i="2" s="1"/>
  <c r="AH74" i="2"/>
  <c r="AH78" i="2" s="1"/>
  <c r="AH79" i="2" s="1"/>
  <c r="AG74" i="2"/>
  <c r="AG78" i="2" s="1"/>
  <c r="AG79" i="2" s="1"/>
  <c r="AF74" i="2"/>
  <c r="AF78" i="2" s="1"/>
  <c r="AF79" i="2" s="1"/>
  <c r="AE74" i="2"/>
  <c r="AA74" i="2"/>
  <c r="AA78" i="2" s="1"/>
  <c r="AA79" i="2" s="1"/>
  <c r="Z74" i="2"/>
  <c r="Z78" i="2" s="1"/>
  <c r="Z79" i="2" s="1"/>
  <c r="Y74" i="2"/>
  <c r="Y78" i="2" s="1"/>
  <c r="Y79" i="2" s="1"/>
  <c r="X74" i="2"/>
  <c r="X78" i="2" s="1"/>
  <c r="X79" i="2" s="1"/>
  <c r="W74" i="2"/>
  <c r="W78" i="2" s="1"/>
  <c r="W79" i="2" s="1"/>
  <c r="V74" i="2"/>
  <c r="V78" i="2" s="1"/>
  <c r="V79" i="2" s="1"/>
  <c r="T74" i="2"/>
  <c r="T78" i="2" s="1"/>
  <c r="T79" i="2" s="1"/>
  <c r="S74" i="2"/>
  <c r="S78" i="2" s="1"/>
  <c r="S79" i="2" s="1"/>
  <c r="R74" i="2"/>
  <c r="R78" i="2" s="1"/>
  <c r="R79" i="2" s="1"/>
  <c r="Q74" i="2"/>
  <c r="Q78" i="2" s="1"/>
  <c r="Q79" i="2" s="1"/>
  <c r="P74" i="2"/>
  <c r="P78" i="2" s="1"/>
  <c r="P79" i="2" s="1"/>
  <c r="O74" i="2"/>
  <c r="O78" i="2" s="1"/>
  <c r="O79" i="2" s="1"/>
  <c r="N74" i="2"/>
  <c r="N78" i="2" s="1"/>
  <c r="N79" i="2" s="1"/>
  <c r="M74" i="2"/>
  <c r="M78" i="2" s="1"/>
  <c r="M79" i="2" s="1"/>
  <c r="L74" i="2"/>
  <c r="L78" i="2" s="1"/>
  <c r="L79" i="2" s="1"/>
  <c r="K74" i="2"/>
  <c r="K78" i="2" s="1"/>
  <c r="K79" i="2" s="1"/>
  <c r="J74" i="2"/>
  <c r="J78" i="2" s="1"/>
  <c r="J79" i="2" s="1"/>
  <c r="I74" i="2"/>
  <c r="I78" i="2" s="1"/>
  <c r="I79" i="2" s="1"/>
  <c r="H74" i="2"/>
  <c r="H78" i="2" s="1"/>
  <c r="H79" i="2" s="1"/>
  <c r="G74" i="2"/>
  <c r="G78" i="2" s="1"/>
  <c r="G79" i="2" s="1"/>
  <c r="F74" i="2"/>
  <c r="F78" i="2" s="1"/>
  <c r="F79" i="2" s="1"/>
  <c r="E74" i="2"/>
  <c r="E78" i="2" s="1"/>
  <c r="E79" i="2" s="1"/>
  <c r="D74" i="2"/>
  <c r="D78" i="2" s="1"/>
  <c r="D79" i="2" s="1"/>
  <c r="C74" i="2"/>
  <c r="BL63" i="2"/>
  <c r="BJ63" i="2"/>
  <c r="BJ67" i="2" s="1"/>
  <c r="BJ68" i="2" s="1"/>
  <c r="BG63" i="2"/>
  <c r="BG67" i="2" s="1"/>
  <c r="BG68" i="2" s="1"/>
  <c r="BF67" i="2"/>
  <c r="BF68" i="2" s="1"/>
  <c r="BE67" i="2"/>
  <c r="BE68" i="2" s="1"/>
  <c r="BD67" i="2"/>
  <c r="BD68" i="2" s="1"/>
  <c r="BC67" i="2"/>
  <c r="BC68" i="2" s="1"/>
  <c r="BB63" i="2"/>
  <c r="BB67" i="2" s="1"/>
  <c r="BB68" i="2" s="1"/>
  <c r="BA63" i="2"/>
  <c r="BA67" i="2" s="1"/>
  <c r="BA68" i="2" s="1"/>
  <c r="AZ63" i="2"/>
  <c r="AZ67" i="2" s="1"/>
  <c r="AZ68" i="2" s="1"/>
  <c r="AY63" i="2"/>
  <c r="AY67" i="2" s="1"/>
  <c r="AY68" i="2" s="1"/>
  <c r="AX63" i="2"/>
  <c r="AX67" i="2" s="1"/>
  <c r="AX68" i="2" s="1"/>
  <c r="AW63" i="2"/>
  <c r="AW67" i="2" s="1"/>
  <c r="AW68" i="2" s="1"/>
  <c r="AU63" i="2"/>
  <c r="AU67" i="2" s="1"/>
  <c r="AU68" i="2" s="1"/>
  <c r="AT63" i="2"/>
  <c r="AT67" i="2" s="1"/>
  <c r="AT68" i="2" s="1"/>
  <c r="AR63" i="2"/>
  <c r="AR67" i="2" s="1"/>
  <c r="AR68" i="2" s="1"/>
  <c r="AQ63" i="2"/>
  <c r="AQ67" i="2" s="1"/>
  <c r="AQ68" i="2" s="1"/>
  <c r="AP63" i="2"/>
  <c r="AP67" i="2" s="1"/>
  <c r="AP68" i="2" s="1"/>
  <c r="AO63" i="2"/>
  <c r="AO67" i="2" s="1"/>
  <c r="AO68" i="2" s="1"/>
  <c r="AN63" i="2"/>
  <c r="H63" i="4" s="1"/>
  <c r="AM63" i="2"/>
  <c r="H60" i="4" s="1"/>
  <c r="AL63" i="2"/>
  <c r="AL67" i="2" s="1"/>
  <c r="AL68" i="2" s="1"/>
  <c r="AK63" i="2"/>
  <c r="AK67" i="2" s="1"/>
  <c r="AK68" i="2" s="1"/>
  <c r="AJ63" i="2"/>
  <c r="AJ67" i="2" s="1"/>
  <c r="AJ68" i="2" s="1"/>
  <c r="AI63" i="2"/>
  <c r="AI67" i="2" s="1"/>
  <c r="AI68" i="2" s="1"/>
  <c r="AH63" i="2"/>
  <c r="AH67" i="2" s="1"/>
  <c r="AH68" i="2" s="1"/>
  <c r="AG63" i="2"/>
  <c r="AG67" i="2" s="1"/>
  <c r="AG68" i="2" s="1"/>
  <c r="AF63" i="2"/>
  <c r="AF67" i="2" s="1"/>
  <c r="AF68" i="2" s="1"/>
  <c r="AE63" i="2"/>
  <c r="AA63" i="2"/>
  <c r="AA67" i="2" s="1"/>
  <c r="AA68" i="2" s="1"/>
  <c r="Z63" i="2"/>
  <c r="Z67" i="2" s="1"/>
  <c r="Z68" i="2" s="1"/>
  <c r="Y63" i="2"/>
  <c r="Y67" i="2" s="1"/>
  <c r="Y68" i="2" s="1"/>
  <c r="X63" i="2"/>
  <c r="X67" i="2" s="1"/>
  <c r="X68" i="2" s="1"/>
  <c r="W63" i="2"/>
  <c r="W67" i="2" s="1"/>
  <c r="W68" i="2" s="1"/>
  <c r="V63" i="2"/>
  <c r="V67" i="2" s="1"/>
  <c r="V68" i="2" s="1"/>
  <c r="T63" i="2"/>
  <c r="T67" i="2" s="1"/>
  <c r="T68" i="2" s="1"/>
  <c r="S63" i="2"/>
  <c r="S67" i="2" s="1"/>
  <c r="S68" i="2" s="1"/>
  <c r="R63" i="2"/>
  <c r="R67" i="2" s="1"/>
  <c r="R68" i="2" s="1"/>
  <c r="Q63" i="2"/>
  <c r="Q67" i="2" s="1"/>
  <c r="Q68" i="2" s="1"/>
  <c r="P63" i="2"/>
  <c r="P67" i="2" s="1"/>
  <c r="P68" i="2" s="1"/>
  <c r="O63" i="2"/>
  <c r="O67" i="2" s="1"/>
  <c r="O68" i="2" s="1"/>
  <c r="N63" i="2"/>
  <c r="N67" i="2" s="1"/>
  <c r="N68" i="2" s="1"/>
  <c r="M63" i="2"/>
  <c r="M67" i="2" s="1"/>
  <c r="M68" i="2" s="1"/>
  <c r="L63" i="2"/>
  <c r="L67" i="2" s="1"/>
  <c r="L68" i="2" s="1"/>
  <c r="K63" i="2"/>
  <c r="K67" i="2" s="1"/>
  <c r="K68" i="2" s="1"/>
  <c r="J63" i="2"/>
  <c r="J67" i="2" s="1"/>
  <c r="J68" i="2" s="1"/>
  <c r="I63" i="2"/>
  <c r="I67" i="2" s="1"/>
  <c r="I68" i="2" s="1"/>
  <c r="H63" i="2"/>
  <c r="H67" i="2" s="1"/>
  <c r="H68" i="2" s="1"/>
  <c r="G63" i="2"/>
  <c r="G67" i="2" s="1"/>
  <c r="G68" i="2" s="1"/>
  <c r="F63" i="2"/>
  <c r="F67" i="2" s="1"/>
  <c r="F68" i="2" s="1"/>
  <c r="E63" i="2"/>
  <c r="E67" i="2" s="1"/>
  <c r="E68" i="2" s="1"/>
  <c r="D63" i="2"/>
  <c r="D67" i="2" s="1"/>
  <c r="D68" i="2" s="1"/>
  <c r="C63" i="2"/>
  <c r="BL52" i="2"/>
  <c r="BJ52" i="2"/>
  <c r="BJ56" i="2" s="1"/>
  <c r="BJ57" i="2" s="1"/>
  <c r="BG52" i="2"/>
  <c r="BG56" i="2" s="1"/>
  <c r="BG57" i="2" s="1"/>
  <c r="BF56" i="2"/>
  <c r="BF57" i="2" s="1"/>
  <c r="BE56" i="2"/>
  <c r="BE57" i="2" s="1"/>
  <c r="BD56" i="2"/>
  <c r="BD57" i="2" s="1"/>
  <c r="BC56" i="2"/>
  <c r="BC57" i="2" s="1"/>
  <c r="BB52" i="2"/>
  <c r="BB56" i="2" s="1"/>
  <c r="BB57" i="2" s="1"/>
  <c r="BA52" i="2"/>
  <c r="BA56" i="2" s="1"/>
  <c r="BA57" i="2" s="1"/>
  <c r="AZ52" i="2"/>
  <c r="AZ56" i="2" s="1"/>
  <c r="AZ57" i="2" s="1"/>
  <c r="AY52" i="2"/>
  <c r="AY56" i="2" s="1"/>
  <c r="AY57" i="2" s="1"/>
  <c r="AX52" i="2"/>
  <c r="AX56" i="2" s="1"/>
  <c r="AX57" i="2" s="1"/>
  <c r="AW52" i="2"/>
  <c r="AW56" i="2" s="1"/>
  <c r="AW57" i="2" s="1"/>
  <c r="AU52" i="2"/>
  <c r="AU56" i="2" s="1"/>
  <c r="AU57" i="2" s="1"/>
  <c r="AT52" i="2"/>
  <c r="AT56" i="2" s="1"/>
  <c r="AT57" i="2" s="1"/>
  <c r="AR52" i="2"/>
  <c r="AR56" i="2" s="1"/>
  <c r="AR57" i="2" s="1"/>
  <c r="AQ52" i="2"/>
  <c r="AP52" i="2"/>
  <c r="AP56" i="2" s="1"/>
  <c r="AP57" i="2" s="1"/>
  <c r="AO52" i="2"/>
  <c r="AO56" i="2" s="1"/>
  <c r="AO57" i="2" s="1"/>
  <c r="AN52" i="2"/>
  <c r="AN56" i="2" s="1"/>
  <c r="AN57" i="2" s="1"/>
  <c r="AM52" i="2"/>
  <c r="AM56" i="2" s="1"/>
  <c r="AM57" i="2" s="1"/>
  <c r="AL52" i="2"/>
  <c r="AL56" i="2" s="1"/>
  <c r="AL57" i="2" s="1"/>
  <c r="AK52" i="2"/>
  <c r="AK56" i="2" s="1"/>
  <c r="AK57" i="2" s="1"/>
  <c r="AJ52" i="2"/>
  <c r="AJ56" i="2" s="1"/>
  <c r="AJ57" i="2" s="1"/>
  <c r="AI52" i="2"/>
  <c r="AI56" i="2" s="1"/>
  <c r="AI57" i="2" s="1"/>
  <c r="AH52" i="2"/>
  <c r="AH56" i="2" s="1"/>
  <c r="AH57" i="2" s="1"/>
  <c r="AG52" i="2"/>
  <c r="AG56" i="2" s="1"/>
  <c r="AG57" i="2" s="1"/>
  <c r="AF52" i="2"/>
  <c r="AF56" i="2" s="1"/>
  <c r="AF57" i="2" s="1"/>
  <c r="AE52" i="2"/>
  <c r="AA52" i="2"/>
  <c r="AA56" i="2" s="1"/>
  <c r="AA57" i="2" s="1"/>
  <c r="Z52" i="2"/>
  <c r="Z56" i="2" s="1"/>
  <c r="Z57" i="2" s="1"/>
  <c r="Y52" i="2"/>
  <c r="Y56" i="2" s="1"/>
  <c r="Y57" i="2" s="1"/>
  <c r="X52" i="2"/>
  <c r="X56" i="2" s="1"/>
  <c r="X57" i="2" s="1"/>
  <c r="W52" i="2"/>
  <c r="W56" i="2" s="1"/>
  <c r="W57" i="2" s="1"/>
  <c r="V52" i="2"/>
  <c r="T52" i="2"/>
  <c r="T56" i="2" s="1"/>
  <c r="T57" i="2" s="1"/>
  <c r="S52" i="2"/>
  <c r="S56" i="2" s="1"/>
  <c r="S57" i="2" s="1"/>
  <c r="R52" i="2"/>
  <c r="R56" i="2" s="1"/>
  <c r="R57" i="2" s="1"/>
  <c r="Q52" i="2"/>
  <c r="Q56" i="2" s="1"/>
  <c r="Q57" i="2" s="1"/>
  <c r="P52" i="2"/>
  <c r="P56" i="2" s="1"/>
  <c r="P57" i="2" s="1"/>
  <c r="O52" i="2"/>
  <c r="O56" i="2" s="1"/>
  <c r="O57" i="2" s="1"/>
  <c r="N52" i="2"/>
  <c r="N56" i="2" s="1"/>
  <c r="N57" i="2" s="1"/>
  <c r="M52" i="2"/>
  <c r="M56" i="2" s="1"/>
  <c r="M57" i="2" s="1"/>
  <c r="L52" i="2"/>
  <c r="L56" i="2" s="1"/>
  <c r="L57" i="2" s="1"/>
  <c r="K52" i="2"/>
  <c r="K56" i="2" s="1"/>
  <c r="K57" i="2" s="1"/>
  <c r="J52" i="2"/>
  <c r="J56" i="2" s="1"/>
  <c r="J57" i="2" s="1"/>
  <c r="I52" i="2"/>
  <c r="I56" i="2" s="1"/>
  <c r="I57" i="2" s="1"/>
  <c r="H52" i="2"/>
  <c r="H56" i="2" s="1"/>
  <c r="H57" i="2" s="1"/>
  <c r="G52" i="2"/>
  <c r="G56" i="2" s="1"/>
  <c r="G57" i="2" s="1"/>
  <c r="F52" i="2"/>
  <c r="F56" i="2" s="1"/>
  <c r="F57" i="2" s="1"/>
  <c r="E52" i="2"/>
  <c r="E56" i="2" s="1"/>
  <c r="E57" i="2" s="1"/>
  <c r="D52" i="2"/>
  <c r="D56" i="2" s="1"/>
  <c r="D57" i="2" s="1"/>
  <c r="C52" i="2"/>
  <c r="BL41" i="2"/>
  <c r="BJ41" i="2"/>
  <c r="BJ45" i="2" s="1"/>
  <c r="BJ46" i="2" s="1"/>
  <c r="BG45" i="2"/>
  <c r="BG46" i="2" s="1"/>
  <c r="BF45" i="2"/>
  <c r="BF46" i="2" s="1"/>
  <c r="BE45" i="2"/>
  <c r="BE46" i="2" s="1"/>
  <c r="BD45" i="2"/>
  <c r="BD46" i="2" s="1"/>
  <c r="BC45" i="2"/>
  <c r="BC46" i="2" s="1"/>
  <c r="BB41" i="2"/>
  <c r="BA41" i="2"/>
  <c r="BA45" i="2" s="1"/>
  <c r="BA46" i="2" s="1"/>
  <c r="AZ41" i="2"/>
  <c r="AZ45" i="2" s="1"/>
  <c r="AZ46" i="2" s="1"/>
  <c r="AY41" i="2"/>
  <c r="AY45" i="2" s="1"/>
  <c r="AY46" i="2" s="1"/>
  <c r="AX41" i="2"/>
  <c r="AX45" i="2" s="1"/>
  <c r="AX46" i="2" s="1"/>
  <c r="AW41" i="2"/>
  <c r="AW45" i="2" s="1"/>
  <c r="AW46" i="2" s="1"/>
  <c r="AU41" i="2"/>
  <c r="AU45" i="2" s="1"/>
  <c r="AU46" i="2" s="1"/>
  <c r="AT41" i="2"/>
  <c r="AT45" i="2" s="1"/>
  <c r="AT46" i="2" s="1"/>
  <c r="AR41" i="2"/>
  <c r="AR45" i="2" s="1"/>
  <c r="AR46" i="2" s="1"/>
  <c r="AQ41" i="2"/>
  <c r="AP41" i="2"/>
  <c r="AP45" i="2" s="1"/>
  <c r="AP46" i="2" s="1"/>
  <c r="AO41" i="2"/>
  <c r="AO45" i="2" s="1"/>
  <c r="AO46" i="2" s="1"/>
  <c r="AN41" i="2"/>
  <c r="AN45" i="2" s="1"/>
  <c r="AN46" i="2" s="1"/>
  <c r="AM41" i="2"/>
  <c r="AM45" i="2" s="1"/>
  <c r="AM46" i="2" s="1"/>
  <c r="AL41" i="2"/>
  <c r="AL45" i="2" s="1"/>
  <c r="AL46" i="2" s="1"/>
  <c r="AK41" i="2"/>
  <c r="AK45" i="2" s="1"/>
  <c r="AK46" i="2" s="1"/>
  <c r="AJ41" i="2"/>
  <c r="AJ45" i="2" s="1"/>
  <c r="AJ46" i="2" s="1"/>
  <c r="AI41" i="2"/>
  <c r="AI45" i="2" s="1"/>
  <c r="AI46" i="2" s="1"/>
  <c r="AH41" i="2"/>
  <c r="AH45" i="2" s="1"/>
  <c r="AH46" i="2" s="1"/>
  <c r="AG41" i="2"/>
  <c r="AG45" i="2" s="1"/>
  <c r="AG46" i="2" s="1"/>
  <c r="AF41" i="2"/>
  <c r="AF45" i="2" s="1"/>
  <c r="AF46" i="2" s="1"/>
  <c r="AE41" i="2"/>
  <c r="AA41" i="2"/>
  <c r="AA45" i="2" s="1"/>
  <c r="AA46" i="2" s="1"/>
  <c r="Z41" i="2"/>
  <c r="Z45" i="2" s="1"/>
  <c r="Z46" i="2" s="1"/>
  <c r="Y41" i="2"/>
  <c r="Y45" i="2" s="1"/>
  <c r="Y46" i="2" s="1"/>
  <c r="X41" i="2"/>
  <c r="X45" i="2" s="1"/>
  <c r="X46" i="2" s="1"/>
  <c r="W41" i="2"/>
  <c r="W45" i="2" s="1"/>
  <c r="W46" i="2" s="1"/>
  <c r="V41" i="2"/>
  <c r="T41" i="2"/>
  <c r="T45" i="2" s="1"/>
  <c r="T46" i="2" s="1"/>
  <c r="S41" i="2"/>
  <c r="S45" i="2" s="1"/>
  <c r="S46" i="2" s="1"/>
  <c r="R41" i="2"/>
  <c r="R45" i="2" s="1"/>
  <c r="R46" i="2" s="1"/>
  <c r="Q41" i="2"/>
  <c r="Q45" i="2" s="1"/>
  <c r="Q46" i="2" s="1"/>
  <c r="P41" i="2"/>
  <c r="P45" i="2" s="1"/>
  <c r="P46" i="2" s="1"/>
  <c r="O41" i="2"/>
  <c r="O45" i="2" s="1"/>
  <c r="O46" i="2" s="1"/>
  <c r="N41" i="2"/>
  <c r="N45" i="2" s="1"/>
  <c r="N46" i="2" s="1"/>
  <c r="M41" i="2"/>
  <c r="M45" i="2" s="1"/>
  <c r="M46" i="2" s="1"/>
  <c r="L45" i="2"/>
  <c r="L46" i="2" s="1"/>
  <c r="K41" i="2"/>
  <c r="K45" i="2" s="1"/>
  <c r="K46" i="2" s="1"/>
  <c r="J41" i="2"/>
  <c r="J45" i="2" s="1"/>
  <c r="J46" i="2" s="1"/>
  <c r="I41" i="2"/>
  <c r="I45" i="2" s="1"/>
  <c r="I46" i="2" s="1"/>
  <c r="H41" i="2"/>
  <c r="H45" i="2" s="1"/>
  <c r="H46" i="2" s="1"/>
  <c r="G41" i="2"/>
  <c r="G45" i="2" s="1"/>
  <c r="G46" i="2" s="1"/>
  <c r="F41" i="2"/>
  <c r="F45" i="2" s="1"/>
  <c r="F46" i="2" s="1"/>
  <c r="E41" i="2"/>
  <c r="E45" i="2" s="1"/>
  <c r="E46" i="2" s="1"/>
  <c r="D41" i="2"/>
  <c r="D45" i="2" s="1"/>
  <c r="D46" i="2" s="1"/>
  <c r="C41" i="2"/>
  <c r="BL30" i="2"/>
  <c r="BJ30" i="2"/>
  <c r="BJ34" i="2" s="1"/>
  <c r="BJ35" i="2" s="1"/>
  <c r="BG30" i="2"/>
  <c r="BG34" i="2" s="1"/>
  <c r="BG35" i="2" s="1"/>
  <c r="BF34" i="2"/>
  <c r="BF35" i="2" s="1"/>
  <c r="BE34" i="2"/>
  <c r="BE35" i="2" s="1"/>
  <c r="BD34" i="2"/>
  <c r="BD35" i="2" s="1"/>
  <c r="BC34" i="2"/>
  <c r="BC35" i="2" s="1"/>
  <c r="BB30" i="2"/>
  <c r="BA30" i="2"/>
  <c r="BA34" i="2" s="1"/>
  <c r="BA35" i="2" s="1"/>
  <c r="AZ30" i="2"/>
  <c r="AZ34" i="2" s="1"/>
  <c r="AZ35" i="2" s="1"/>
  <c r="AY30" i="2"/>
  <c r="AY34" i="2" s="1"/>
  <c r="AY35" i="2" s="1"/>
  <c r="AX30" i="2"/>
  <c r="AX34" i="2" s="1"/>
  <c r="AX35" i="2" s="1"/>
  <c r="AW30" i="2"/>
  <c r="AW34" i="2" s="1"/>
  <c r="AW35" i="2" s="1"/>
  <c r="AU30" i="2"/>
  <c r="AU34" i="2" s="1"/>
  <c r="AU35" i="2" s="1"/>
  <c r="AT30" i="2"/>
  <c r="AT34" i="2" s="1"/>
  <c r="AT35" i="2" s="1"/>
  <c r="AR30" i="2"/>
  <c r="AR34" i="2" s="1"/>
  <c r="AR35" i="2" s="1"/>
  <c r="AQ30" i="2"/>
  <c r="AP30" i="2"/>
  <c r="AP34" i="2" s="1"/>
  <c r="AP35" i="2" s="1"/>
  <c r="AO30" i="2"/>
  <c r="AO34" i="2" s="1"/>
  <c r="AO35" i="2" s="1"/>
  <c r="AN30" i="2"/>
  <c r="AN34" i="2" s="1"/>
  <c r="AN35" i="2" s="1"/>
  <c r="AM30" i="2"/>
  <c r="AM34" i="2" s="1"/>
  <c r="AM35" i="2" s="1"/>
  <c r="AL30" i="2"/>
  <c r="AL34" i="2" s="1"/>
  <c r="AL35" i="2" s="1"/>
  <c r="AK30" i="2"/>
  <c r="AK34" i="2" s="1"/>
  <c r="AK35" i="2" s="1"/>
  <c r="AJ30" i="2"/>
  <c r="AJ34" i="2" s="1"/>
  <c r="AJ35" i="2" s="1"/>
  <c r="AI30" i="2"/>
  <c r="AI34" i="2" s="1"/>
  <c r="AI35" i="2" s="1"/>
  <c r="AH30" i="2"/>
  <c r="AH34" i="2" s="1"/>
  <c r="AH35" i="2" s="1"/>
  <c r="AG30" i="2"/>
  <c r="AG34" i="2" s="1"/>
  <c r="AG35" i="2" s="1"/>
  <c r="AF30" i="2"/>
  <c r="AF34" i="2" s="1"/>
  <c r="AF35" i="2" s="1"/>
  <c r="AE30" i="2"/>
  <c r="AA30" i="2"/>
  <c r="AA34" i="2" s="1"/>
  <c r="AA35" i="2" s="1"/>
  <c r="Z30" i="2"/>
  <c r="Z34" i="2" s="1"/>
  <c r="Z35" i="2" s="1"/>
  <c r="Y30" i="2"/>
  <c r="Y34" i="2" s="1"/>
  <c r="Y35" i="2" s="1"/>
  <c r="X30" i="2"/>
  <c r="X34" i="2" s="1"/>
  <c r="X35" i="2" s="1"/>
  <c r="W30" i="2"/>
  <c r="W34" i="2" s="1"/>
  <c r="W35" i="2" s="1"/>
  <c r="V30" i="2"/>
  <c r="T30" i="2"/>
  <c r="T34" i="2" s="1"/>
  <c r="T35" i="2" s="1"/>
  <c r="S30" i="2"/>
  <c r="S34" i="2" s="1"/>
  <c r="S35" i="2" s="1"/>
  <c r="R30" i="2"/>
  <c r="R34" i="2" s="1"/>
  <c r="R35" i="2" s="1"/>
  <c r="Q30" i="2"/>
  <c r="Q34" i="2" s="1"/>
  <c r="Q35" i="2" s="1"/>
  <c r="P30" i="2"/>
  <c r="P34" i="2" s="1"/>
  <c r="P35" i="2" s="1"/>
  <c r="O30" i="2"/>
  <c r="O34" i="2" s="1"/>
  <c r="O35" i="2" s="1"/>
  <c r="N30" i="2"/>
  <c r="N34" i="2" s="1"/>
  <c r="N35" i="2" s="1"/>
  <c r="M30" i="2"/>
  <c r="M34" i="2" s="1"/>
  <c r="M35" i="2" s="1"/>
  <c r="L30" i="2"/>
  <c r="L34" i="2" s="1"/>
  <c r="L35" i="2" s="1"/>
  <c r="K30" i="2"/>
  <c r="K34" i="2" s="1"/>
  <c r="K35" i="2" s="1"/>
  <c r="J30" i="2"/>
  <c r="J34" i="2" s="1"/>
  <c r="J35" i="2" s="1"/>
  <c r="I30" i="2"/>
  <c r="I34" i="2" s="1"/>
  <c r="I35" i="2" s="1"/>
  <c r="H30" i="2"/>
  <c r="H34" i="2" s="1"/>
  <c r="H35" i="2" s="1"/>
  <c r="G30" i="2"/>
  <c r="G34" i="2" s="1"/>
  <c r="G35" i="2" s="1"/>
  <c r="F30" i="2"/>
  <c r="F34" i="2" s="1"/>
  <c r="F35" i="2" s="1"/>
  <c r="E30" i="2"/>
  <c r="E34" i="2" s="1"/>
  <c r="E35" i="2" s="1"/>
  <c r="D30" i="2"/>
  <c r="D34" i="2" s="1"/>
  <c r="D35" i="2" s="1"/>
  <c r="C30"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M62" i="4" s="1"/>
  <c r="N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18" i="2"/>
  <c r="D22" i="2" s="1"/>
  <c r="D23" i="2" s="1"/>
  <c r="C18" i="2"/>
  <c r="M63" i="4" l="1"/>
  <c r="N63" i="4" s="1"/>
  <c r="M61" i="4"/>
  <c r="N61" i="4" s="1"/>
  <c r="H72" i="4"/>
  <c r="M72" i="4" s="1"/>
  <c r="N72" i="4" s="1"/>
  <c r="H96" i="4"/>
  <c r="K96" i="4" s="1"/>
  <c r="L96" i="4" s="1"/>
  <c r="M97" i="4"/>
  <c r="V45" i="2"/>
  <c r="V46" i="2" s="1"/>
  <c r="H93" i="4"/>
  <c r="K93" i="4" s="1"/>
  <c r="L93" i="4" s="1"/>
  <c r="V34" i="2"/>
  <c r="V35" i="2" s="1"/>
  <c r="H92" i="4"/>
  <c r="BB45" i="2"/>
  <c r="BB46" i="2" s="1"/>
  <c r="H104" i="4"/>
  <c r="K104" i="4" s="1"/>
  <c r="L104" i="4" s="1"/>
  <c r="AQ56" i="2"/>
  <c r="AQ57" i="2" s="1"/>
  <c r="H98" i="4"/>
  <c r="K98" i="4" s="1"/>
  <c r="L98" i="4" s="1"/>
  <c r="V56" i="2"/>
  <c r="V57" i="2" s="1"/>
  <c r="H94" i="4"/>
  <c r="K94" i="4" s="1"/>
  <c r="L94" i="4" s="1"/>
  <c r="BB34" i="2"/>
  <c r="BB35" i="2" s="1"/>
  <c r="H103" i="4"/>
  <c r="H73" i="4"/>
  <c r="M73" i="4" s="1"/>
  <c r="N73" i="4" s="1"/>
  <c r="H97" i="4"/>
  <c r="K97" i="4" s="1"/>
  <c r="L97" i="4" s="1"/>
  <c r="M49" i="4"/>
  <c r="N49" i="4" s="1"/>
  <c r="M60" i="4"/>
  <c r="N60" i="4" s="1"/>
  <c r="H64" i="4"/>
  <c r="M43" i="4"/>
  <c r="N43" i="4" s="1"/>
  <c r="M48" i="4"/>
  <c r="N48" i="4" s="1"/>
  <c r="C46" i="11"/>
  <c r="H47" i="4"/>
  <c r="M47" i="4" s="1"/>
  <c r="N47" i="4" s="1"/>
  <c r="K73" i="4"/>
  <c r="L73" i="4" s="1"/>
  <c r="O73" i="4"/>
  <c r="K63" i="4"/>
  <c r="O63" i="4"/>
  <c r="K61" i="4"/>
  <c r="L61" i="4" s="1"/>
  <c r="O61" i="4"/>
  <c r="K62" i="4"/>
  <c r="L62" i="4" s="1"/>
  <c r="O62" i="4"/>
  <c r="L63" i="4"/>
  <c r="K44" i="11"/>
  <c r="L44" i="11" s="1"/>
  <c r="K45" i="11"/>
  <c r="L45" i="11" s="1"/>
  <c r="K46" i="11"/>
  <c r="L46" i="11" s="1"/>
  <c r="K47" i="11"/>
  <c r="L47" i="11" s="1"/>
  <c r="O43" i="11"/>
  <c r="R64" i="11"/>
  <c r="AD102" i="2"/>
  <c r="AD103" i="2"/>
  <c r="AD113" i="2"/>
  <c r="AD123" i="2"/>
  <c r="AD124" i="2"/>
  <c r="BH102" i="2"/>
  <c r="BH103" i="2"/>
  <c r="BH113" i="2"/>
  <c r="BH123" i="2"/>
  <c r="BH124" i="2"/>
  <c r="O46" i="11"/>
  <c r="O45" i="11"/>
  <c r="O44" i="11"/>
  <c r="O47" i="11"/>
  <c r="I42" i="11"/>
  <c r="K42" i="11" s="1"/>
  <c r="L42" i="11" s="1"/>
  <c r="K43" i="11"/>
  <c r="L43" i="11" s="1"/>
  <c r="BH13" i="2"/>
  <c r="BD21" i="2"/>
  <c r="BD26" i="2"/>
  <c r="AW21" i="2"/>
  <c r="AW26" i="2"/>
  <c r="AM21" i="2"/>
  <c r="AM26" i="2"/>
  <c r="AF21" i="2"/>
  <c r="AF26" i="2"/>
  <c r="T21" i="2"/>
  <c r="T26" i="2"/>
  <c r="L21" i="2"/>
  <c r="L26" i="2"/>
  <c r="D21" i="2"/>
  <c r="D26" i="2"/>
  <c r="BE21" i="2"/>
  <c r="BE26" i="2"/>
  <c r="AK21" i="2"/>
  <c r="AK26" i="2"/>
  <c r="M21" i="2"/>
  <c r="M26" i="2"/>
  <c r="BC21" i="2"/>
  <c r="BC26" i="2"/>
  <c r="AU21" i="2"/>
  <c r="AU26" i="2"/>
  <c r="AI21" i="2"/>
  <c r="AI26" i="2"/>
  <c r="X21" i="2"/>
  <c r="X26" i="2"/>
  <c r="O21" i="2"/>
  <c r="O26" i="2"/>
  <c r="G21" i="2"/>
  <c r="G26" i="2"/>
  <c r="AN21" i="2"/>
  <c r="AN26" i="2"/>
  <c r="I21" i="2"/>
  <c r="I26" i="2"/>
  <c r="BF21" i="2"/>
  <c r="BF26" i="2"/>
  <c r="AY21" i="2"/>
  <c r="AY26" i="2"/>
  <c r="AO21" i="2"/>
  <c r="AO26" i="2"/>
  <c r="AH21" i="2"/>
  <c r="AH26" i="2"/>
  <c r="W21" i="2"/>
  <c r="W26" i="2"/>
  <c r="N21" i="2"/>
  <c r="N26" i="2"/>
  <c r="F21" i="2"/>
  <c r="F26" i="2"/>
  <c r="AG21" i="2"/>
  <c r="AG26" i="2"/>
  <c r="AD47" i="2"/>
  <c r="AD48" i="2"/>
  <c r="BH58" i="2"/>
  <c r="BH59" i="2"/>
  <c r="AD69" i="2"/>
  <c r="AD70" i="2"/>
  <c r="BH36" i="2"/>
  <c r="BH37" i="2"/>
  <c r="AD91" i="2"/>
  <c r="AD92" i="2"/>
  <c r="BJ21" i="2"/>
  <c r="BJ26" i="2"/>
  <c r="BA21" i="2"/>
  <c r="BA26" i="2"/>
  <c r="AQ21" i="2"/>
  <c r="AQ26" i="2"/>
  <c r="AJ21" i="2"/>
  <c r="AJ26" i="2"/>
  <c r="Y21" i="2"/>
  <c r="Y26" i="2"/>
  <c r="P21" i="2"/>
  <c r="P26" i="2"/>
  <c r="H21" i="2"/>
  <c r="H26" i="2"/>
  <c r="AR21" i="2"/>
  <c r="AR26" i="2"/>
  <c r="V21" i="2"/>
  <c r="V26" i="2"/>
  <c r="E21" i="2"/>
  <c r="E26" i="2"/>
  <c r="BG21" i="2"/>
  <c r="BG26" i="2"/>
  <c r="AZ21" i="2"/>
  <c r="AZ26" i="2"/>
  <c r="AP21" i="2"/>
  <c r="AP26" i="2"/>
  <c r="AE21" i="2"/>
  <c r="AE26" i="2"/>
  <c r="S21" i="2"/>
  <c r="S26" i="2"/>
  <c r="K21" i="2"/>
  <c r="K26" i="2"/>
  <c r="C21" i="2"/>
  <c r="C26" i="2"/>
  <c r="Z21" i="2"/>
  <c r="Z26" i="2"/>
  <c r="BB21" i="2"/>
  <c r="BB26" i="2"/>
  <c r="AT21" i="2"/>
  <c r="AT26" i="2"/>
  <c r="AL21" i="2"/>
  <c r="AL26" i="2"/>
  <c r="AA21" i="2"/>
  <c r="AA26" i="2"/>
  <c r="R21" i="2"/>
  <c r="R26" i="2"/>
  <c r="J21" i="2"/>
  <c r="J26" i="2"/>
  <c r="AX21" i="2"/>
  <c r="AX26" i="2"/>
  <c r="Q21" i="2"/>
  <c r="Q26" i="2"/>
  <c r="BH47" i="2"/>
  <c r="BH48" i="2"/>
  <c r="AD13" i="2"/>
  <c r="AD58" i="2"/>
  <c r="AD59" i="2"/>
  <c r="BH69" i="2"/>
  <c r="BH70" i="2"/>
  <c r="AD36" i="2"/>
  <c r="AD37" i="2"/>
  <c r="BH91" i="2"/>
  <c r="BH92" i="2"/>
  <c r="C48" i="11"/>
  <c r="M48" i="11" s="1"/>
  <c r="N48" i="11" s="1"/>
  <c r="BH24" i="2"/>
  <c r="AD24" i="2"/>
  <c r="Q74" i="11"/>
  <c r="R72" i="11"/>
  <c r="R74" i="11" s="1"/>
  <c r="C73" i="11"/>
  <c r="M73" i="11" s="1"/>
  <c r="N73" i="11" s="1"/>
  <c r="C72" i="11"/>
  <c r="M72" i="11" s="1"/>
  <c r="N72" i="11" s="1"/>
  <c r="Q49" i="11"/>
  <c r="BH87" i="2"/>
  <c r="BH88"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M46" i="11"/>
  <c r="N46" i="11" s="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7" i="2"/>
  <c r="AD88" i="2" s="1"/>
  <c r="BH32" i="2"/>
  <c r="BH33" i="2" s="1"/>
  <c r="BI75" i="2"/>
  <c r="BH80" i="2"/>
  <c r="AD76" i="2"/>
  <c r="AD77" i="2" s="1"/>
  <c r="AD80" i="2"/>
  <c r="BH76" i="2"/>
  <c r="BH77" i="2" s="1"/>
  <c r="BI86" i="2"/>
  <c r="BI92" i="2" s="1"/>
  <c r="AD52" i="2"/>
  <c r="AD56" i="2" s="1"/>
  <c r="AD57" i="2" s="1"/>
  <c r="BH52" i="2"/>
  <c r="BH56" i="2" s="1"/>
  <c r="BH57" i="2" s="1"/>
  <c r="AD96" i="2"/>
  <c r="BH96" i="2"/>
  <c r="BH100" i="2" s="1"/>
  <c r="BH101" i="2" s="1"/>
  <c r="BH98" i="2"/>
  <c r="BH99" i="2" s="1"/>
  <c r="BH65" i="2"/>
  <c r="BH66" i="2" s="1"/>
  <c r="AD18" i="2"/>
  <c r="AD63" i="2"/>
  <c r="AD67" i="2" s="1"/>
  <c r="AD68" i="2" s="1"/>
  <c r="AE67" i="2"/>
  <c r="AE68" i="2" s="1"/>
  <c r="BH63" i="2"/>
  <c r="BH67" i="2" s="1"/>
  <c r="BH68" i="2" s="1"/>
  <c r="AD107" i="2"/>
  <c r="AE111" i="2"/>
  <c r="AE112" i="2" s="1"/>
  <c r="BH107" i="2"/>
  <c r="BH111" i="2" s="1"/>
  <c r="BH112" i="2" s="1"/>
  <c r="BI97" i="2"/>
  <c r="AD98" i="2"/>
  <c r="AD99" i="2" s="1"/>
  <c r="BH54" i="2"/>
  <c r="BH55" i="2" s="1"/>
  <c r="BI64" i="2"/>
  <c r="AD65" i="2"/>
  <c r="AD66" i="2" s="1"/>
  <c r="AE22" i="2"/>
  <c r="AE23" i="2" s="1"/>
  <c r="BH18" i="2"/>
  <c r="BH22" i="2" s="1"/>
  <c r="BH23" i="2" s="1"/>
  <c r="AD30" i="2"/>
  <c r="AD34" i="2" s="1"/>
  <c r="AD35" i="2" s="1"/>
  <c r="AE34" i="2"/>
  <c r="AE35" i="2" s="1"/>
  <c r="BH30" i="2"/>
  <c r="BH34" i="2" s="1"/>
  <c r="BH35" i="2" s="1"/>
  <c r="AD74" i="2"/>
  <c r="AE78" i="2"/>
  <c r="AE79" i="2" s="1"/>
  <c r="BH74" i="2"/>
  <c r="BH78" i="2" s="1"/>
  <c r="BH79" i="2" s="1"/>
  <c r="AD117" i="2"/>
  <c r="AE121" i="2"/>
  <c r="AE122" i="2" s="1"/>
  <c r="BH117" i="2"/>
  <c r="BH121" i="2" s="1"/>
  <c r="BH122" i="2" s="1"/>
  <c r="BH43" i="2"/>
  <c r="BH44" i="2" s="1"/>
  <c r="BH109" i="2"/>
  <c r="BH110" i="2" s="1"/>
  <c r="BI53" i="2"/>
  <c r="AD54" i="2"/>
  <c r="AD55" i="2" s="1"/>
  <c r="BH20" i="2"/>
  <c r="BH119" i="2"/>
  <c r="BH120" i="2" s="1"/>
  <c r="BI31" i="2"/>
  <c r="AD32" i="2"/>
  <c r="AD33" i="2" s="1"/>
  <c r="AD41" i="2"/>
  <c r="BH41" i="2"/>
  <c r="BH45" i="2" s="1"/>
  <c r="BH46" i="2" s="1"/>
  <c r="AD85" i="2"/>
  <c r="AE89" i="2"/>
  <c r="AE90" i="2" s="1"/>
  <c r="BH85" i="2"/>
  <c r="BH89" i="2" s="1"/>
  <c r="BH90" i="2" s="1"/>
  <c r="D48" i="5"/>
  <c r="K48" i="5" s="1"/>
  <c r="L48" i="5" s="1"/>
  <c r="BI42" i="2"/>
  <c r="AD43" i="2"/>
  <c r="AD44" i="2" s="1"/>
  <c r="BI108" i="2"/>
  <c r="AD109" i="2"/>
  <c r="AD110" i="2" s="1"/>
  <c r="BI19" i="2"/>
  <c r="BI25" i="2" s="1"/>
  <c r="AD20" i="2"/>
  <c r="BI118" i="2"/>
  <c r="AD119" i="2"/>
  <c r="AD120" i="2" s="1"/>
  <c r="D73" i="5"/>
  <c r="D72" i="5"/>
  <c r="K72" i="5" s="1"/>
  <c r="L72" i="5" s="1"/>
  <c r="D46" i="5"/>
  <c r="I82" i="5"/>
  <c r="J84" i="4"/>
  <c r="BG135" i="2"/>
  <c r="J74" i="4"/>
  <c r="K72" i="4"/>
  <c r="L72" i="4" s="1"/>
  <c r="K67" i="4"/>
  <c r="L67" i="4" s="1"/>
  <c r="I74" i="5"/>
  <c r="J64" i="4"/>
  <c r="K60" i="4"/>
  <c r="L60" i="4" s="1"/>
  <c r="I64" i="5"/>
  <c r="M64" i="5" s="1"/>
  <c r="AQ34" i="2"/>
  <c r="AQ35" i="2" s="1"/>
  <c r="AQ45" i="2"/>
  <c r="AQ46" i="2" s="1"/>
  <c r="AM67" i="2"/>
  <c r="AM68" i="2" s="1"/>
  <c r="AM100" i="2"/>
  <c r="AM101" i="2" s="1"/>
  <c r="AN22" i="2"/>
  <c r="AN23" i="2" s="1"/>
  <c r="AN67" i="2"/>
  <c r="AN68" i="2" s="1"/>
  <c r="AP78" i="2"/>
  <c r="AP79" i="2" s="1"/>
  <c r="C22" i="2"/>
  <c r="C23" i="2" s="1"/>
  <c r="C45" i="2"/>
  <c r="C46" i="2" s="1"/>
  <c r="C67" i="2"/>
  <c r="C68" i="2" s="1"/>
  <c r="C89" i="2"/>
  <c r="C90" i="2" s="1"/>
  <c r="C111" i="2"/>
  <c r="C112" i="2" s="1"/>
  <c r="C34" i="2"/>
  <c r="C35" i="2" s="1"/>
  <c r="C56" i="2"/>
  <c r="C57" i="2" s="1"/>
  <c r="C78" i="2"/>
  <c r="C79" i="2" s="1"/>
  <c r="C100" i="2"/>
  <c r="C101" i="2" s="1"/>
  <c r="C121" i="2"/>
  <c r="C122" i="2" s="1"/>
  <c r="AZ89" i="2"/>
  <c r="AZ90" i="2" s="1"/>
  <c r="AE56" i="2"/>
  <c r="AE57" i="2" s="1"/>
  <c r="AU89" i="2"/>
  <c r="AU90" i="2" s="1"/>
  <c r="AD9" i="2"/>
  <c r="AD10" i="2" s="1"/>
  <c r="AM89" i="2"/>
  <c r="AM90" i="2" s="1"/>
  <c r="BA89" i="2"/>
  <c r="BA90" i="2" s="1"/>
  <c r="BG130" i="2"/>
  <c r="BG131" i="2" s="1"/>
  <c r="AE45" i="2"/>
  <c r="AE46" i="2" s="1"/>
  <c r="AK89" i="2"/>
  <c r="AK90" i="2" s="1"/>
  <c r="AR89" i="2"/>
  <c r="AR90" i="2" s="1"/>
  <c r="BH9" i="2"/>
  <c r="BH10" i="2" s="1"/>
  <c r="K47" i="4"/>
  <c r="K45" i="4"/>
  <c r="K49" i="4"/>
  <c r="AE100" i="2"/>
  <c r="AE101"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74" i="4" l="1"/>
  <c r="H105" i="4"/>
  <c r="K105" i="4" s="1"/>
  <c r="L105" i="4" s="1"/>
  <c r="K103" i="4"/>
  <c r="L103" i="4" s="1"/>
  <c r="H95" i="4"/>
  <c r="K95" i="4" s="1"/>
  <c r="L95" i="4" s="1"/>
  <c r="K92" i="4"/>
  <c r="L92" i="4" s="1"/>
  <c r="M74" i="4"/>
  <c r="N74" i="4" s="1"/>
  <c r="H42" i="4"/>
  <c r="M64" i="4"/>
  <c r="N64" i="4" s="1"/>
  <c r="AD121" i="2"/>
  <c r="AD122" i="2" s="1"/>
  <c r="BI117" i="2"/>
  <c r="K84" i="4"/>
  <c r="L84" i="4" s="1"/>
  <c r="K64" i="4"/>
  <c r="L64" i="4" s="1"/>
  <c r="O64" i="4"/>
  <c r="K74" i="4"/>
  <c r="L74" i="4" s="1"/>
  <c r="O74" i="4"/>
  <c r="L49" i="4"/>
  <c r="L45" i="4"/>
  <c r="L48" i="4"/>
  <c r="L47" i="4"/>
  <c r="L43" i="4"/>
  <c r="L46" i="4"/>
  <c r="I49" i="11"/>
  <c r="O49" i="11" s="1"/>
  <c r="BI102" i="2"/>
  <c r="BI103" i="2"/>
  <c r="BI123" i="2"/>
  <c r="BI124" i="2"/>
  <c r="BI113" i="2"/>
  <c r="O42" i="11"/>
  <c r="BI13" i="2"/>
  <c r="AD21" i="2"/>
  <c r="AD26" i="2"/>
  <c r="BI69" i="2"/>
  <c r="BI70" i="2"/>
  <c r="BI47" i="2"/>
  <c r="BI48" i="2"/>
  <c r="BI36" i="2"/>
  <c r="BI37" i="2"/>
  <c r="BH21" i="2"/>
  <c r="BH26" i="2"/>
  <c r="BI58" i="2"/>
  <c r="BI59" i="2"/>
  <c r="BI80" i="2"/>
  <c r="BI81" i="2"/>
  <c r="BI76" i="2"/>
  <c r="BI77" i="2" s="1"/>
  <c r="BI24" i="2"/>
  <c r="C74" i="11"/>
  <c r="M74" i="11" s="1"/>
  <c r="N74" i="11" s="1"/>
  <c r="D64" i="5"/>
  <c r="K64" i="5" s="1"/>
  <c r="L64" i="5" s="1"/>
  <c r="BK75" i="2"/>
  <c r="BK81" i="2" s="1"/>
  <c r="K74" i="11"/>
  <c r="L74" i="11" s="1"/>
  <c r="M47" i="11"/>
  <c r="N47" i="11" s="1"/>
  <c r="C42" i="11"/>
  <c r="M43" i="11"/>
  <c r="N43" i="11" s="1"/>
  <c r="C64" i="11"/>
  <c r="M64" i="11" s="1"/>
  <c r="N64" i="11" s="1"/>
  <c r="K64" i="11"/>
  <c r="L64" i="11" s="1"/>
  <c r="O64" i="11"/>
  <c r="M45" i="11"/>
  <c r="N45" i="11" s="1"/>
  <c r="M44" i="11"/>
  <c r="N44" i="11" s="1"/>
  <c r="I49" i="5"/>
  <c r="M49" i="5" s="1"/>
  <c r="BI87" i="2"/>
  <c r="BI88" i="2" s="1"/>
  <c r="BI91" i="2"/>
  <c r="BK86" i="2"/>
  <c r="BI96" i="2"/>
  <c r="BK96" i="2" s="1"/>
  <c r="BM96" i="2" s="1"/>
  <c r="BI107" i="2"/>
  <c r="BK107" i="2" s="1"/>
  <c r="BM107" i="2" s="1"/>
  <c r="AD100" i="2"/>
  <c r="AD101" i="2" s="1"/>
  <c r="BI30" i="2"/>
  <c r="BK30" i="2" s="1"/>
  <c r="BM30" i="2" s="1"/>
  <c r="BI52" i="2"/>
  <c r="BK52" i="2" s="1"/>
  <c r="BM52" i="2" s="1"/>
  <c r="BI18" i="2"/>
  <c r="BK18" i="2" s="1"/>
  <c r="BM18" i="2" s="1"/>
  <c r="BK108" i="2"/>
  <c r="BI109" i="2"/>
  <c r="BI110" i="2" s="1"/>
  <c r="BI85" i="2"/>
  <c r="AD89" i="2"/>
  <c r="AD90" i="2" s="1"/>
  <c r="BK97" i="2"/>
  <c r="BK103" i="2" s="1"/>
  <c r="BI98" i="2"/>
  <c r="BI99" i="2" s="1"/>
  <c r="BK19" i="2"/>
  <c r="BK25" i="2" s="1"/>
  <c r="BI20" i="2"/>
  <c r="AD111" i="2"/>
  <c r="AD112" i="2" s="1"/>
  <c r="BK31" i="2"/>
  <c r="BK37" i="2" s="1"/>
  <c r="BI32" i="2"/>
  <c r="BI33" i="2" s="1"/>
  <c r="BK118" i="2"/>
  <c r="AD22" i="2"/>
  <c r="AD23" i="2" s="1"/>
  <c r="AD45" i="2"/>
  <c r="AD46" i="2" s="1"/>
  <c r="BI41" i="2"/>
  <c r="BK41" i="2" s="1"/>
  <c r="BM41" i="2" s="1"/>
  <c r="BI74" i="2"/>
  <c r="AD78" i="2"/>
  <c r="AD79" i="2" s="1"/>
  <c r="BK42" i="2"/>
  <c r="BK48" i="2" s="1"/>
  <c r="BI43" i="2"/>
  <c r="BI44" i="2" s="1"/>
  <c r="BK53" i="2"/>
  <c r="BK59" i="2" s="1"/>
  <c r="BI54" i="2"/>
  <c r="BI55" i="2" s="1"/>
  <c r="BK64" i="2"/>
  <c r="BI65" i="2"/>
  <c r="BI66" i="2" s="1"/>
  <c r="BI63" i="2"/>
  <c r="BK63" i="2" s="1"/>
  <c r="BM63"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6" i="2"/>
  <c r="BM76" i="2" s="1"/>
  <c r="BM77" i="2" s="1"/>
  <c r="L42" i="4"/>
  <c r="K49" i="11"/>
  <c r="L49" i="11" s="1"/>
  <c r="BM118" i="2"/>
  <c r="BK124" i="2"/>
  <c r="BI21" i="2"/>
  <c r="BI26" i="2"/>
  <c r="BM64" i="2"/>
  <c r="BK70" i="2"/>
  <c r="BM86" i="2"/>
  <c r="BK92" i="2"/>
  <c r="BK58" i="2"/>
  <c r="BM53" i="2"/>
  <c r="BK36" i="2"/>
  <c r="BM31" i="2"/>
  <c r="BK102" i="2"/>
  <c r="BM97" i="2"/>
  <c r="BK13" i="2"/>
  <c r="BM8" i="2"/>
  <c r="BM14" i="2" s="1"/>
  <c r="BI45" i="2"/>
  <c r="BI46" i="2" s="1"/>
  <c r="BK47" i="2"/>
  <c r="BM42" i="2"/>
  <c r="BK24" i="2"/>
  <c r="BM19" i="2"/>
  <c r="BM25" i="2" s="1"/>
  <c r="BK113" i="2"/>
  <c r="BM108" i="2"/>
  <c r="BK80" i="2"/>
  <c r="BM75" i="2"/>
  <c r="C49" i="11"/>
  <c r="M42" i="11"/>
  <c r="N42" i="11" s="1"/>
  <c r="BK65" i="2"/>
  <c r="BK69" i="2"/>
  <c r="BK87" i="2"/>
  <c r="BK91" i="2"/>
  <c r="BK123" i="2"/>
  <c r="BI34" i="2"/>
  <c r="BI35" i="2" s="1"/>
  <c r="BI22" i="2"/>
  <c r="BI23" i="2" s="1"/>
  <c r="BI111" i="2"/>
  <c r="BI112" i="2" s="1"/>
  <c r="BI56" i="2"/>
  <c r="BI57" i="2" s="1"/>
  <c r="BI100" i="2"/>
  <c r="BI101" i="2" s="1"/>
  <c r="BI67" i="2"/>
  <c r="BI68" i="2" s="1"/>
  <c r="BK74" i="2"/>
  <c r="BI78" i="2"/>
  <c r="BI79" i="2" s="1"/>
  <c r="BK22" i="2"/>
  <c r="BK20" i="2"/>
  <c r="BK26" i="2" s="1"/>
  <c r="BK43" i="2"/>
  <c r="BK45" i="2"/>
  <c r="BI89" i="2"/>
  <c r="BI90" i="2" s="1"/>
  <c r="BK85" i="2"/>
  <c r="BK56" i="2"/>
  <c r="BK54" i="2"/>
  <c r="BK100" i="2"/>
  <c r="BK98" i="2"/>
  <c r="AD7" i="2"/>
  <c r="BK67" i="2"/>
  <c r="BI121" i="2"/>
  <c r="BI122" i="2" s="1"/>
  <c r="BK117" i="2"/>
  <c r="BK32" i="2"/>
  <c r="BK34" i="2"/>
  <c r="BK109" i="2"/>
  <c r="BK111" i="2"/>
  <c r="D82" i="5"/>
  <c r="D49" i="5"/>
  <c r="K42" i="5"/>
  <c r="L42" i="5" s="1"/>
  <c r="C11" i="2"/>
  <c r="C12" i="2" s="1"/>
  <c r="BG132" i="2"/>
  <c r="BG133" i="2" s="1"/>
  <c r="BH7" i="2"/>
  <c r="BH11" i="2" s="1"/>
  <c r="BH12" i="2" s="1"/>
  <c r="AE11" i="2"/>
  <c r="AE12" i="2" s="1"/>
  <c r="K50" i="4"/>
  <c r="BK77" i="2" l="1"/>
  <c r="L50" i="4"/>
  <c r="BM113" i="2"/>
  <c r="BM123" i="2"/>
  <c r="BM124" i="2"/>
  <c r="BM102" i="2"/>
  <c r="BM103" i="2"/>
  <c r="BM80" i="2"/>
  <c r="BM81" i="2"/>
  <c r="BM47" i="2"/>
  <c r="BM48" i="2"/>
  <c r="BM91" i="2"/>
  <c r="BM92" i="2"/>
  <c r="BM69" i="2"/>
  <c r="BM70" i="2"/>
  <c r="BM13" i="2"/>
  <c r="BM36" i="2"/>
  <c r="BM37" i="2"/>
  <c r="BM58" i="2"/>
  <c r="BM59" i="2"/>
  <c r="BM24" i="2"/>
  <c r="BK55" i="2"/>
  <c r="BM54" i="2"/>
  <c r="BM55" i="2" s="1"/>
  <c r="BK89" i="2"/>
  <c r="BM85" i="2"/>
  <c r="BK110" i="2"/>
  <c r="BM109" i="2"/>
  <c r="BM110" i="2" s="1"/>
  <c r="BK78" i="2"/>
  <c r="BM74" i="2"/>
  <c r="BK66" i="2"/>
  <c r="BM65" i="2"/>
  <c r="BM66" i="2" s="1"/>
  <c r="BK68" i="2"/>
  <c r="BM67" i="2"/>
  <c r="BM68" i="2" s="1"/>
  <c r="BK46" i="2"/>
  <c r="BM45" i="2"/>
  <c r="BM46" i="2" s="1"/>
  <c r="BK21" i="2"/>
  <c r="BM20" i="2"/>
  <c r="BK112" i="2"/>
  <c r="BM111" i="2"/>
  <c r="BM112" i="2" s="1"/>
  <c r="BK35" i="2"/>
  <c r="BM34" i="2"/>
  <c r="BM35" i="2" s="1"/>
  <c r="BK99" i="2"/>
  <c r="BM98" i="2"/>
  <c r="BM99" i="2" s="1"/>
  <c r="BK33" i="2"/>
  <c r="BM32" i="2"/>
  <c r="BM33" i="2" s="1"/>
  <c r="BK101" i="2"/>
  <c r="BM100" i="2"/>
  <c r="BM101" i="2" s="1"/>
  <c r="BK44" i="2"/>
  <c r="BM43" i="2"/>
  <c r="BM44" i="2" s="1"/>
  <c r="BK121" i="2"/>
  <c r="BM117" i="2"/>
  <c r="BK57" i="2"/>
  <c r="BM56" i="2"/>
  <c r="BM57" i="2" s="1"/>
  <c r="BK23" i="2"/>
  <c r="BM22" i="2"/>
  <c r="BM23" i="2" s="1"/>
  <c r="BK88" i="2"/>
  <c r="BM87" i="2"/>
  <c r="BM88"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I68" i="11" l="1"/>
  <c r="Q68" i="11" s="1"/>
  <c r="J68" i="4"/>
  <c r="F77" i="11"/>
  <c r="R77" i="11" s="1"/>
  <c r="F78" i="11"/>
  <c r="K19" i="11"/>
  <c r="L19" i="11" s="1"/>
  <c r="BM21" i="2"/>
  <c r="BM26" i="2"/>
  <c r="K26" i="11"/>
  <c r="L26" i="11" s="1"/>
  <c r="K21" i="11"/>
  <c r="L21" i="11" s="1"/>
  <c r="K23" i="11"/>
  <c r="L23" i="11" s="1"/>
  <c r="K14" i="11"/>
  <c r="L14" i="11" s="1"/>
  <c r="H34" i="11"/>
  <c r="R17" i="11"/>
  <c r="R20" i="11"/>
  <c r="R22" i="11"/>
  <c r="R26" i="11"/>
  <c r="R35" i="11"/>
  <c r="R52" i="11"/>
  <c r="R56" i="11"/>
  <c r="R79" i="11"/>
  <c r="Q69" i="11"/>
  <c r="R68" i="11"/>
  <c r="R69" i="11" s="1"/>
  <c r="R14" i="11"/>
  <c r="R16" i="11"/>
  <c r="R18" i="11"/>
  <c r="R19" i="11"/>
  <c r="R21" i="11"/>
  <c r="R23" i="11"/>
  <c r="R25" i="11"/>
  <c r="R36" i="11"/>
  <c r="R53" i="11"/>
  <c r="R78" i="11"/>
  <c r="R80" i="11"/>
  <c r="R81" i="11"/>
  <c r="BK10" i="2"/>
  <c r="BM9" i="2"/>
  <c r="BM10" i="2" s="1"/>
  <c r="Q28" i="11"/>
  <c r="I34" i="11"/>
  <c r="Q34" i="11" s="1"/>
  <c r="Q54" i="11"/>
  <c r="Q83" i="11"/>
  <c r="K20" i="11"/>
  <c r="L20" i="11" s="1"/>
  <c r="BK90" i="2"/>
  <c r="BM89" i="2"/>
  <c r="BM90" i="2" s="1"/>
  <c r="K24" i="11"/>
  <c r="L24" i="11" s="1"/>
  <c r="K18" i="11"/>
  <c r="L18" i="11" s="1"/>
  <c r="K25" i="11"/>
  <c r="L25" i="11" s="1"/>
  <c r="BK122" i="2"/>
  <c r="BM121" i="2"/>
  <c r="BM122" i="2" s="1"/>
  <c r="BK79" i="2"/>
  <c r="BM78" i="2"/>
  <c r="BM79"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I69" i="11"/>
  <c r="O78"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O20" i="4" s="1"/>
  <c r="J24" i="4"/>
  <c r="O24" i="4" s="1"/>
  <c r="S130" i="2"/>
  <c r="S131" i="2" s="1"/>
  <c r="I24" i="4"/>
  <c r="J14" i="4"/>
  <c r="J18" i="4"/>
  <c r="J21" i="4"/>
  <c r="J23" i="4"/>
  <c r="O23" i="4" s="1"/>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M36" i="4" s="1"/>
  <c r="N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AE128" i="2"/>
  <c r="H34" i="4" s="1"/>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M15" i="4" s="1"/>
  <c r="N15" i="4" s="1"/>
  <c r="M17" i="4" l="1"/>
  <c r="N17" i="4" s="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M25" i="11" s="1"/>
  <c r="N25" i="11" s="1"/>
  <c r="H25" i="4"/>
  <c r="M25" i="4" s="1"/>
  <c r="N25" i="4" s="1"/>
  <c r="C21" i="11"/>
  <c r="M21" i="11" s="1"/>
  <c r="N21" i="11" s="1"/>
  <c r="H21" i="4"/>
  <c r="M21" i="4" s="1"/>
  <c r="N21" i="4" s="1"/>
  <c r="H69" i="4"/>
  <c r="M68" i="4"/>
  <c r="N68" i="4" s="1"/>
  <c r="C18" i="11"/>
  <c r="M18" i="11" s="1"/>
  <c r="N18" i="11" s="1"/>
  <c r="H18" i="4"/>
  <c r="M18" i="4" s="1"/>
  <c r="N18" i="4" s="1"/>
  <c r="C52" i="11"/>
  <c r="H53" i="4"/>
  <c r="C19" i="11"/>
  <c r="M19" i="11" s="1"/>
  <c r="N19" i="11" s="1"/>
  <c r="H19" i="4"/>
  <c r="M19" i="4" s="1"/>
  <c r="N19" i="4" s="1"/>
  <c r="H85" i="4"/>
  <c r="M79" i="4"/>
  <c r="N79" i="4" s="1"/>
  <c r="C23" i="11"/>
  <c r="M23" i="11" s="1"/>
  <c r="N23" i="11" s="1"/>
  <c r="H23" i="4"/>
  <c r="M23" i="4" s="1"/>
  <c r="N23" i="4" s="1"/>
  <c r="H37" i="4"/>
  <c r="M34" i="4"/>
  <c r="N34"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L15" i="4" s="1"/>
  <c r="I37" i="11"/>
  <c r="I85" i="11" s="1"/>
  <c r="O34" i="11"/>
  <c r="D15" i="5"/>
  <c r="K15" i="5" s="1"/>
  <c r="L15" i="5" s="1"/>
  <c r="C15" i="11"/>
  <c r="D78" i="5"/>
  <c r="K78" i="5" s="1"/>
  <c r="L78" i="5" s="1"/>
  <c r="C78" i="11"/>
  <c r="D68" i="5"/>
  <c r="D69" i="5" s="1"/>
  <c r="C68" i="11"/>
  <c r="D17" i="5"/>
  <c r="K17" i="5" s="1"/>
  <c r="L17" i="5" s="1"/>
  <c r="C17" i="11"/>
  <c r="D26" i="5"/>
  <c r="K26" i="5" s="1"/>
  <c r="L26" i="5" s="1"/>
  <c r="C26" i="11"/>
  <c r="D80" i="5"/>
  <c r="K80" i="5" s="1"/>
  <c r="L80" i="5" s="1"/>
  <c r="C80" i="11"/>
  <c r="D36" i="5"/>
  <c r="K36" i="5" s="1"/>
  <c r="L36" i="5" s="1"/>
  <c r="C36" i="11"/>
  <c r="D81" i="5"/>
  <c r="C81" i="11"/>
  <c r="BI126" i="2"/>
  <c r="F5" i="11"/>
  <c r="F37" i="11"/>
  <c r="H28" i="11"/>
  <c r="K28" i="11" s="1"/>
  <c r="L28" i="11" s="1"/>
  <c r="K13" i="11"/>
  <c r="L13" i="11" s="1"/>
  <c r="M14" i="11"/>
  <c r="N14" i="11" s="1"/>
  <c r="D16" i="5"/>
  <c r="K16" i="5" s="1"/>
  <c r="L16" i="5" s="1"/>
  <c r="C16" i="11"/>
  <c r="D77" i="5"/>
  <c r="C77" i="11"/>
  <c r="D79" i="5"/>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79" i="5"/>
  <c r="L79" i="5" s="1"/>
  <c r="K81" i="5"/>
  <c r="L81" i="5" s="1"/>
  <c r="K68" i="4"/>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K68" i="5" l="1"/>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57" i="4"/>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87" i="4"/>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<sst xmlns="http://schemas.openxmlformats.org/spreadsheetml/2006/main" count="1754" uniqueCount="355">
  <si>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</si>
  <si>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</si>
  <si>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</si>
  <si>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</si>
  <si>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</si>
  <si>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</si>
  <si>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</si>
  <si>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</si>
  <si>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</si>
  <si>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</si>
  <si>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</si>
  <si>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</si>
  <si>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</si>
  <si>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</si>
  <si>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</si>
  <si>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</si>
  <si>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</si>
  <si>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</si>
  <si>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</si>
  <si>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</si>
  <si>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</si>
  <si>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</si>
  <si>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</si>
  <si>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</si>
  <si>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</si>
  <si>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</si>
  <si>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</si>
  <si>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</si>
  <si>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</si>
  <si>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</si>
  <si>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</si>
  <si>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</si>
  <si>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</si>
  <si>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</si>
  <si>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</si>
  <si>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</si>
  <si>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</si>
  <si>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</si>
  <si>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</si>
  <si>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</si>
  <si>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</si>
  <si>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</si>
  <si>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</si>
  <si>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</si>
  <si>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</si>
  <si>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</si>
  <si>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</si>
  <si>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</si>
  <si>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</si>
  <si>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</si>
  <si>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</si>
  <si>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</si>
  <si>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</si>
  <si>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</si>
  <si>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</si>
  <si>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</si>
  <si>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</si>
  <si>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</si>
  <si>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</si>
  <si>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</si>
  <si>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</si>
  <si>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</si>
  <si>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</si>
  <si>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</si>
  <si>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</si>
  <si>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</si>
  <si>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</si>
  <si>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</si>
  <si>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</si>
  <si>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</si>
  <si>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</si>
  <si>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</si>
  <si>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</si>
  <si>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</si>
  <si>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</si>
  <si>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</si>
  <si>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</si>
  <si>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</si>
  <si>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</si>
  <si>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</si>
  <si>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</si>
  <si>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</si>
  <si>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</si>
  <si>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</si>
  <si>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</si>
  <si>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</si>
  <si>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</si>
  <si>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</si>
  <si>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</si>
  <si>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</si>
  <si>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</si>
  <si>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</si>
  <si>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</si>
  <si>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</si>
  <si>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</si>
  <si>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</si>
  <si>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</si>
  <si>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</si>
  <si>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</si>
  <si>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</si>
  <si>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</si>
  <si>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</si>
  <si>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</si>
  <si>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</si>
  <si>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</si>
  <si>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</si>
  <si>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</si>
  <si>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</si>
  <si>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</si>
  <si>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</si>
  <si>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</si>
  <si>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</si>
  <si>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</si>
  <si>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</si>
  <si>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</si>
  <si>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</si>
  <si>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</si>
  <si>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</si>
  <si>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</si>
  <si>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</si>
  <si>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</si>
  <si>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</si>
  <si>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</si>
  <si>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</si>
  <si>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</si>
  <si>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</si>
  <si>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</si>
  <si>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</si>
  <si>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</si>
  <si>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</si>
  <si>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</si>
  <si>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</si>
  <si>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</si>
  <si>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</si>
  <si>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</si>
  <si>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</si>
  <si>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</si>
  <si>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</si>
  <si>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</si>
  <si>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</si>
  <si>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</si>
  <si>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</si>
  <si>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</si>
  <si>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</si>
  <si>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</si>
  <si>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</si>
  <si>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</si>
  <si>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</si>
  <si>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</si>
  <si>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</si>
  <si>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</si>
  <si>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</si>
  <si>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</si>
  <si>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</si>
  <si>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</si>
  <si>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</si>
  <si>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</si>
  <si>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</si>
  <si>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</si>
  <si>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</si>
  <si>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</si>
  <si>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</si>
  <si>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</si>
  <si>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</si>
  <si>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</si>
  <si>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</si>
  <si>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</si>
  <si>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</si>
  <si>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</si>
  <si>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</si>
  <si>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</si>
  <si>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</si>
  <si>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</si>
  <si>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</si>
  <si>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</si>
  <si>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</si>
  <si>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</si>
  <si>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</si>
  <si>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</si>
  <si>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</si>
  <si>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</si>
  <si>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</si>
  <si>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</si>
  <si>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</si>
  <si>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</si>
  <si>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</si>
  <si>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</si>
  <si>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</si>
  <si>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</si>
  <si>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</si>
  <si>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</si>
  <si>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</si>
  <si>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</si>
  <si>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</si>
  <si>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</si>
  <si>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</si>
  <si>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</si>
  <si>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</si>
  <si>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</si>
  <si>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</si>
  <si>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</si>
  <si>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</si>
  <si>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</si>
  <si>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</si>
  <si>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</si>
  <si>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</si>
  <si>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</si>
  <si>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</si>
  <si>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</si>
  <si>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</si>
  <si>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</si>
  <si>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</si>
  <si>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</si>
  <si>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</si>
  <si>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</si>
  <si>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</si>
  <si>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</si>
  <si>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</si>
  <si>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</si>
  <si>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</si>
  <si>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</si>
  <si>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</si>
  <si>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</si>
  <si>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</si>
  <si>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</si>
  <si>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</si>
  <si>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</si>
  <si>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</si>
  <si>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</si>
  <si>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</si>
  <si>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</si>
  <si>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</si>
  <si>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</si>
  <si>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</si>
  <si>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</si>
  <si>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</si>
  <si>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</si>
  <si>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</si>
  <si>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</si>
  <si>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</si>
  <si>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</si>
  <si>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</si>
  <si>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</si>
  <si>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</si>
  <si>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</si>
  <si>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</si>
  <si>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</si>
  <si>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</si>
  <si>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</si>
  <si>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</si>
  <si>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</si>
  <si>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</si>
  <si>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</si>
  <si>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</si>
  <si>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</si>
  <si>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</si>
  <si>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</si>
  <si>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</si>
  <si>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</si>
  <si>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</si>
  <si>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</si>
  <si>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</si>
  <si>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</si>
  <si>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</si>
  <si>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</si>
  <si>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</si>
  <si>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</si>
  <si>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</si>
  <si>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</si>
  <si>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</si>
  <si>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</si>
  <si>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</si>
  <si>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</si>
  <si>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</si>
  <si>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</si>
  <si>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</si>
  <si>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</si>
  <si>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</si>
  <si>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</si>
  <si>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</si>
  <si>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</si>
  <si>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</si>
  <si>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</si>
  <si>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</si>
  <si>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</si>
  <si>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</si>
  <si>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</si>
  <si>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</si>
  <si>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</si>
  <si>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</si>
  <si>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</si>
  <si>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</si>
  <si>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</si>
  <si>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</si>
  <si>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</si>
  <si>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</si>
  <si>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</si>
  <si>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AC - FG</t>
  </si>
  <si>
    <t>Actual-FG</t>
  </si>
  <si>
    <t>ORDINARY WORKING EXPENSES PU WISE ZONAL</t>
  </si>
  <si>
    <t>% of Total FG 2020-21</t>
  </si>
  <si>
    <t xml:space="preserve">OBG(SL) 2021-22 </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</si>
  <si>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</si>
  <si>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</si>
  <si>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</si>
  <si>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</si>
  <si>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</si>
  <si>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</si>
  <si>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</si>
  <si>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</si>
  <si>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</si>
  <si>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</si>
  <si>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</si>
  <si>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</si>
  <si>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</si>
  <si>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</si>
  <si>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</si>
  <si>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</si>
  <si>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</si>
  <si>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</si>
  <si>
    <t>% of Total OWE 2020-21</t>
  </si>
  <si>
    <t xml:space="preserve"> </t>
  </si>
  <si>
    <t>PU - 74</t>
  </si>
  <si>
    <t>P U Wise  expenditure   to   end   of Aug-21 on OBG(SL) ZONAL</t>
  </si>
  <si>
    <t>BP to end  Aug-21</t>
  </si>
  <si>
    <t>Actuals upto Aug' 20</t>
  </si>
  <si>
    <t>Actuals upto Aug' 21</t>
  </si>
  <si>
    <t>FINANCE REGISTER - GRANT WISE AND PU WISE SUMMARY FROM MONTH :APRIL    20 TO AUGUST   20</t>
  </si>
  <si>
    <t>Report generated on : 01.09.2021 at 04:50:16 PM</t>
  </si>
  <si>
    <t>PU - 38</t>
  </si>
  <si>
    <t>Actual upto Aug'20</t>
  </si>
  <si>
    <t>Actual Upto Aug'21</t>
  </si>
  <si>
    <t>FINANCE REGISTER - GRANT WISE AND PU WISE SUMMARY FROM MONTH :APRIL    21 TO AUGUST   21</t>
  </si>
  <si>
    <t>Report generated on : 07.09.2021 at 12:50:44 PM</t>
  </si>
  <si>
    <t>Adjustments (PU-33)</t>
  </si>
  <si>
    <t>Carry Forward Liability (CFL)</t>
  </si>
  <si>
    <t>Var. over COPPY</t>
  </si>
  <si>
    <t xml:space="preserve">% Var.Over COPPY </t>
  </si>
  <si>
    <t>SL Utilization</t>
  </si>
  <si>
    <t>Excluding Carry Forward Liability</t>
  </si>
  <si>
    <t>Actuals upto Aug' 19</t>
  </si>
  <si>
    <t>Actual Aug 2021 excluding CFL</t>
  </si>
  <si>
    <t>Actuals upto July' 20</t>
  </si>
  <si>
    <t>BP to end  July-21</t>
  </si>
  <si>
    <t>Actuals upto July' 21</t>
  </si>
  <si>
    <t>Adjustments Dr/Cr (PU-33)</t>
  </si>
  <si>
    <t>Actuals upto June' 20</t>
  </si>
  <si>
    <t>BP to end of  June'21</t>
  </si>
  <si>
    <t>Actuals upto June' 21</t>
  </si>
  <si>
    <t>Actuals upto May' 20</t>
  </si>
  <si>
    <t>BP to end  May-2021</t>
  </si>
  <si>
    <t>Actuals upto May' 21</t>
  </si>
  <si>
    <t>Actuals upto APR' 20</t>
  </si>
  <si>
    <t>BP to end of  APR'21</t>
  </si>
  <si>
    <t>Actuals upto APR'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</si>
</sst>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b/>
      <i/>
      <sz val="10"/>
      <name val="Arial"/>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4">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4"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5" fillId="0" borderId="0" xfId="0" applyFont="1"/>
    <xf numFmtId="0" fontId="25" fillId="0" borderId="3" xfId="0" applyFont="1" applyBorder="1" applyAlignment="1">
      <alignment horizontal="center" vertical="center" wrapText="1"/>
    </xf>
    <xf numFmtId="0" fontId="25" fillId="0" borderId="3" xfId="0" applyFont="1" applyBorder="1" applyAlignment="1">
      <alignment horizontal="center"/>
    </xf>
    <xf numFmtId="1" fontId="25" fillId="0" borderId="3" xfId="0" applyNumberFormat="1" applyFont="1" applyBorder="1" applyAlignment="1">
      <alignment horizontal="right"/>
    </xf>
    <xf numFmtId="1" fontId="25" fillId="0" borderId="3" xfId="0" applyNumberFormat="1" applyFont="1" applyBorder="1"/>
    <xf numFmtId="164" fontId="25" fillId="0" borderId="3" xfId="1" applyNumberFormat="1" applyFont="1" applyBorder="1"/>
    <xf numFmtId="10" fontId="25" fillId="0" borderId="3" xfId="1" applyNumberFormat="1" applyFont="1" applyBorder="1"/>
    <xf numFmtId="0" fontId="25" fillId="0" borderId="3" xfId="0" applyFont="1" applyBorder="1"/>
    <xf numFmtId="1" fontId="25" fillId="0" borderId="3" xfId="0" applyNumberFormat="1" applyFont="1" applyFill="1" applyBorder="1" applyAlignment="1">
      <alignment horizontal="right"/>
    </xf>
    <xf numFmtId="0" fontId="26" fillId="0" borderId="0" xfId="0" applyFont="1"/>
    <xf numFmtId="1" fontId="25" fillId="0" borderId="3" xfId="0" applyNumberFormat="1" applyFont="1" applyFill="1" applyBorder="1"/>
    <xf numFmtId="0" fontId="25" fillId="0" borderId="3" xfId="0" applyFont="1" applyBorder="1" applyAlignment="1">
      <alignment horizontal="left" wrapText="1"/>
    </xf>
    <xf numFmtId="0" fontId="8" fillId="3" borderId="0" xfId="0" applyFont="1" applyFill="1"/>
    <xf numFmtId="0" fontId="27" fillId="3" borderId="3" xfId="0" applyFont="1" applyFill="1" applyBorder="1"/>
    <xf numFmtId="0" fontId="27"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7" fillId="0" borderId="3" xfId="0" applyFont="1" applyBorder="1"/>
    <xf numFmtId="2" fontId="27" fillId="0" borderId="3" xfId="0" applyNumberFormat="1" applyFont="1" applyBorder="1" applyAlignment="1">
      <alignment wrapText="1"/>
    </xf>
    <xf numFmtId="164" fontId="27" fillId="0" borderId="3" xfId="1" applyNumberFormat="1" applyFont="1" applyBorder="1"/>
    <xf numFmtId="2" fontId="27" fillId="0" borderId="3" xfId="0" applyNumberFormat="1" applyFont="1" applyBorder="1"/>
    <xf numFmtId="10" fontId="27"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7" fillId="0" borderId="3" xfId="0" applyFont="1" applyFill="1" applyBorder="1"/>
    <xf numFmtId="10" fontId="27" fillId="0" borderId="3" xfId="1" applyNumberFormat="1" applyFont="1" applyBorder="1" applyAlignment="1">
      <alignment horizontal="right"/>
    </xf>
    <xf numFmtId="0" fontId="8" fillId="0" borderId="0" xfId="0" applyFont="1" applyAlignment="1">
      <alignment wrapText="1"/>
    </xf>
    <xf numFmtId="0" fontId="27" fillId="0" borderId="3" xfId="0" applyFont="1" applyBorder="1" applyAlignment="1">
      <alignment wrapText="1"/>
    </xf>
    <xf numFmtId="0" fontId="7" fillId="3" borderId="0" xfId="0" applyFont="1" applyFill="1"/>
    <xf numFmtId="165" fontId="7" fillId="0" borderId="1" xfId="0" applyNumberFormat="1" applyFont="1" applyBorder="1" applyAlignment="1">
      <alignment horizontal="right" vertical="top"/>
    </xf>
    <xf numFmtId="0" fontId="7" fillId="0" borderId="3" xfId="0" applyFont="1" applyFill="1" applyBorder="1"/>
    <xf numFmtId="0" fontId="7" fillId="0" borderId="0" xfId="0" applyFont="1" applyBorder="1" applyAlignment="1">
      <alignment wrapText="1"/>
    </xf>
    <xf numFmtId="0" fontId="0" fillId="0" borderId="0" xfId="0"/>
    <xf numFmtId="0" fontId="0" fillId="0" borderId="0" xfId="0"/>
    <xf numFmtId="0" fontId="0" fillId="0" borderId="0" xfId="0" applyAlignment="1">
      <alignment horizontal="right"/>
    </xf>
    <xf numFmtId="0" fontId="0" fillId="3" borderId="3" xfId="0" applyFill="1" applyBorder="1" applyAlignment="1">
      <alignment wrapText="1"/>
    </xf>
    <xf numFmtId="164" fontId="0" fillId="0" borderId="3" xfId="0" applyNumberFormat="1" applyBorder="1"/>
    <xf numFmtId="10" fontId="0" fillId="0" borderId="3" xfId="0" applyNumberFormat="1" applyBorder="1"/>
    <xf numFmtId="0" fontId="0" fillId="0" borderId="3" xfId="0" applyBorder="1" applyAlignment="1">
      <alignment horizontal="right"/>
    </xf>
    <xf numFmtId="164" fontId="5" fillId="0" borderId="3" xfId="0" applyNumberFormat="1" applyFont="1" applyBorder="1"/>
    <xf numFmtId="10" fontId="5" fillId="0" borderId="3" xfId="0" applyNumberFormat="1" applyFont="1" applyBorder="1"/>
    <xf numFmtId="0" fontId="6" fillId="0" borderId="3" xfId="0" applyFont="1" applyBorder="1" applyAlignment="1">
      <alignment horizontal="left"/>
    </xf>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0" fontId="27" fillId="3" borderId="4" xfId="0" applyFont="1" applyFill="1" applyBorder="1" applyAlignment="1">
      <alignment horizontal="center" wrapText="1"/>
    </xf>
    <xf numFmtId="0" fontId="27" fillId="3" borderId="5" xfId="0" applyFont="1" applyFill="1" applyBorder="1" applyAlignment="1">
      <alignment horizontal="center" wrapText="1"/>
    </xf>
    <xf numFmtId="1" fontId="27" fillId="3" borderId="4" xfId="0" applyNumberFormat="1" applyFont="1" applyFill="1" applyBorder="1" applyAlignment="1">
      <alignment horizontal="center" wrapText="1"/>
    </xf>
    <xf numFmtId="1" fontId="27" fillId="3" borderId="5" xfId="0" applyNumberFormat="1" applyFont="1" applyFill="1" applyBorder="1" applyAlignment="1">
      <alignment horizontal="center" wrapText="1"/>
    </xf>
    <xf numFmtId="0" fontId="27" fillId="3" borderId="3" xfId="0" applyFont="1" applyFill="1" applyBorder="1" applyAlignment="1">
      <alignment horizontal="center"/>
    </xf>
    <xf numFmtId="0" fontId="27" fillId="3" borderId="3" xfId="0" applyFont="1" applyFill="1" applyBorder="1" applyAlignment="1">
      <alignment horizontal="center" wrapText="1"/>
    </xf>
    <xf numFmtId="1" fontId="27" fillId="3" borderId="4" xfId="0" applyNumberFormat="1" applyFont="1" applyFill="1" applyBorder="1" applyAlignment="1">
      <alignment horizontal="center"/>
    </xf>
    <xf numFmtId="0" fontId="27"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20"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0" fillId="0" borderId="9" xfId="0" applyFont="1" applyBorder="1" applyAlignment="1">
      <alignment horizontal="center"/>
    </xf>
    <xf numFmtId="0" fontId="20" fillId="0" borderId="10" xfId="0" applyFont="1" applyBorder="1" applyAlignment="1">
      <alignment horizontal="center"/>
    </xf>
    <xf numFmtId="1" fontId="5" fillId="3" borderId="5" xfId="0" applyNumberFormat="1" applyFont="1"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3" borderId="5" xfId="0" applyFill="1" applyBorder="1" applyAlignment="1">
      <alignment horizontal="center" wrapText="1"/>
    </xf>
    <xf numFmtId="0" fontId="0" fillId="3" borderId="3" xfId="0" applyFill="1" applyBorder="1" applyAlignment="1">
      <alignment horizontal="center" vertical="center" wrapText="1"/>
    </xf>
    <xf numFmtId="1" fontId="0" fillId="3" borderId="4" xfId="0" applyNumberFormat="1" applyFill="1" applyBorder="1" applyAlignment="1">
      <alignment horizontal="center" wrapText="1"/>
    </xf>
    <xf numFmtId="1" fontId="0" fillId="3" borderId="5" xfId="0" applyNumberFormat="1" applyFill="1" applyBorder="1" applyAlignment="1">
      <alignment horizontal="center" wrapText="1"/>
    </xf>
    <xf numFmtId="0" fontId="5" fillId="0" borderId="6" xfId="0" applyFont="1" applyBorder="1" applyAlignment="1">
      <alignment horizontal="center"/>
    </xf>
  </cellXfs>
  <cellStyles count="2">
    <cellStyle name="Normal" xfId="0" builtinId="0"/>
    <cellStyle name="Percent" xfId="1" builtinId="5"/>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9" t="s">
        <v>223</v>
      </c>
      <c r="B1" s="271"/>
      <c r="C1" s="271"/>
      <c r="D1" s="271"/>
      <c r="E1" s="271"/>
      <c r="F1" s="271"/>
      <c r="G1" s="271"/>
      <c r="H1" s="271"/>
      <c r="I1" s="271"/>
      <c r="J1" s="271"/>
      <c r="K1" s="271"/>
      <c r="L1" s="271"/>
      <c r="M1" s="271"/>
      <c r="N1" s="271"/>
      <c r="O1" s="271"/>
      <c r="P1" s="271"/>
    </row>
    <row r="3" spans="1:27" x14ac:dyDescent="0.25">
      <c r="A3" s="329" t="s">
        <v>224</v>
      </c>
      <c r="B3" s="271"/>
      <c r="C3" s="271"/>
      <c r="D3" s="271"/>
      <c r="E3" s="271"/>
      <c r="F3" s="271"/>
      <c r="G3" s="271"/>
      <c r="H3" s="271"/>
      <c r="I3" s="271"/>
      <c r="J3" s="271"/>
      <c r="K3" s="271"/>
      <c r="L3" s="271"/>
      <c r="M3" s="271"/>
      <c r="N3" s="271"/>
      <c r="O3" s="271"/>
      <c r="P3" s="271"/>
    </row>
    <row r="5" spans="1:27" ht="76.5" x14ac:dyDescent="0.25">
      <c r="A5" s="140" t="s">
        <v>225</v>
      </c>
      <c r="B5" s="140" t="s">
        <v>226</v>
      </c>
      <c r="C5" s="140" t="s">
        <v>227</v>
      </c>
      <c r="D5" s="140" t="s">
        <v>228</v>
      </c>
      <c r="E5" s="140" t="s">
        <v>229</v>
      </c>
      <c r="F5" s="140" t="s">
        <v>230</v>
      </c>
      <c r="G5" s="140" t="s">
        <v>231</v>
      </c>
      <c r="H5" s="144" t="s">
        <v>232</v>
      </c>
      <c r="I5" s="140" t="s">
        <v>233</v>
      </c>
      <c r="J5" s="140" t="s">
        <v>234</v>
      </c>
      <c r="K5" s="140" t="s">
        <v>235</v>
      </c>
      <c r="L5" s="140" t="s">
        <v>236</v>
      </c>
      <c r="M5" s="140" t="s">
        <v>237</v>
      </c>
      <c r="N5" s="140" t="s">
        <v>238</v>
      </c>
      <c r="O5" s="140" t="s">
        <v>239</v>
      </c>
      <c r="P5" s="169" t="s">
        <v>240</v>
      </c>
      <c r="Q5" s="170" t="s">
        <v>72</v>
      </c>
      <c r="R5" s="170" t="s">
        <v>290</v>
      </c>
      <c r="S5" s="141"/>
      <c r="T5" s="141"/>
      <c r="U5" s="141"/>
      <c r="V5" s="141"/>
      <c r="X5" s="141"/>
      <c r="Y5" s="141"/>
      <c r="Z5" s="141"/>
      <c r="AA5" s="141"/>
    </row>
    <row r="6" spans="1:27" x14ac:dyDescent="0.25">
      <c r="A6" s="142" t="s">
        <v>241</v>
      </c>
      <c r="B6" s="142" t="s">
        <v>242</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x14ac:dyDescent="0.25">
      <c r="A7" s="142" t="s">
        <v>241</v>
      </c>
      <c r="B7" s="142" t="s">
        <v>243</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x14ac:dyDescent="0.25">
      <c r="A8" s="142" t="s">
        <v>241</v>
      </c>
      <c r="B8" s="142" t="s">
        <v>244</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x14ac:dyDescent="0.25">
      <c r="A9" s="142" t="s">
        <v>241</v>
      </c>
      <c r="B9" s="142" t="s">
        <v>245</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x14ac:dyDescent="0.25">
      <c r="A10" s="142" t="s">
        <v>241</v>
      </c>
      <c r="B10" s="142" t="s">
        <v>246</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x14ac:dyDescent="0.25">
      <c r="A11" s="142" t="s">
        <v>241</v>
      </c>
      <c r="B11" s="142" t="s">
        <v>247</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x14ac:dyDescent="0.25">
      <c r="A12" s="142" t="s">
        <v>241</v>
      </c>
      <c r="B12" s="142" t="s">
        <v>248</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x14ac:dyDescent="0.25">
      <c r="A13" s="142" t="s">
        <v>241</v>
      </c>
      <c r="B13" s="142" t="s">
        <v>249</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x14ac:dyDescent="0.25">
      <c r="A14" s="142" t="s">
        <v>241</v>
      </c>
      <c r="B14" s="142" t="s">
        <v>250</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x14ac:dyDescent="0.25">
      <c r="A15" s="142" t="s">
        <v>241</v>
      </c>
      <c r="B15" s="142" t="s">
        <v>251</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x14ac:dyDescent="0.25">
      <c r="A16" s="142" t="s">
        <v>241</v>
      </c>
      <c r="B16" s="142" t="s">
        <v>252</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x14ac:dyDescent="0.25">
      <c r="A17" s="142" t="s">
        <v>241</v>
      </c>
      <c r="B17" s="142" t="s">
        <v>253</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x14ac:dyDescent="0.25">
      <c r="A18" s="142" t="s">
        <v>241</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4" customWidth="1"/>
    <col min="2" max="2" width="10" style="154" customWidth="1"/>
    <col min="3" max="3" width="11.7109375" style="69" customWidth="1"/>
    <col min="4" max="4" width="11.7109375" style="154" customWidth="1"/>
    <col min="5" max="5" width="2" style="154" hidden="1" customWidth="1"/>
    <col min="6" max="6" width="17.28515625" style="154" customWidth="1"/>
    <col min="7" max="7" width="13.42578125" style="154" customWidth="1"/>
    <col min="8" max="8" width="10.7109375" style="154" customWidth="1"/>
    <col min="9" max="9" width="11.7109375" style="154" customWidth="1"/>
    <col min="10" max="12" width="10.7109375" style="154" customWidth="1"/>
    <col min="13" max="13" width="11.28515625" style="154" customWidth="1"/>
    <col min="14" max="14" width="11.5703125" style="154" customWidth="1"/>
    <col min="15" max="15" width="11.140625" style="154" customWidth="1"/>
    <col min="16" max="16" width="98.28515625" style="147" customWidth="1"/>
    <col min="17" max="17" width="12.140625" style="147" customWidth="1"/>
    <col min="18" max="18" width="10.28515625" style="154" customWidth="1"/>
    <col min="19" max="16384" width="9.140625" style="154"/>
  </cols>
  <sheetData>
    <row r="1" spans="1:19" x14ac:dyDescent="0.25">
      <c r="A1" s="36" t="s">
        <v>280</v>
      </c>
      <c r="B1" s="36"/>
    </row>
    <row r="2" spans="1:19" x14ac:dyDescent="0.25">
      <c r="M2" s="36" t="s">
        <v>150</v>
      </c>
      <c r="P2" s="174" t="s">
        <v>292</v>
      </c>
    </row>
    <row r="3" spans="1:19" s="36" customFormat="1" ht="15" customHeight="1" x14ac:dyDescent="0.25">
      <c r="A3" s="278" t="s">
        <v>151</v>
      </c>
      <c r="B3" s="277" t="s">
        <v>303</v>
      </c>
      <c r="C3" s="275" t="str">
        <f>'PU Wise OWE'!$B$7</f>
        <v>Actuals upto Aug' 20</v>
      </c>
      <c r="D3" s="277" t="s">
        <v>173</v>
      </c>
      <c r="E3" s="277"/>
      <c r="F3" s="275" t="str">
        <f>'PU Wise OWE'!$B$5</f>
        <v xml:space="preserve">OBG(SL) 2021-22 </v>
      </c>
      <c r="G3" s="277" t="s">
        <v>309</v>
      </c>
      <c r="H3" s="277" t="s">
        <v>317</v>
      </c>
      <c r="I3" s="275" t="str">
        <f>'PU Wise OWE'!B8</f>
        <v>Actuals upto Aug' 21</v>
      </c>
      <c r="J3" s="277" t="s">
        <v>205</v>
      </c>
      <c r="K3" s="274" t="s">
        <v>207</v>
      </c>
      <c r="L3" s="274"/>
      <c r="M3" s="274" t="s">
        <v>147</v>
      </c>
      <c r="N3" s="274"/>
      <c r="O3" s="298" t="s">
        <v>315</v>
      </c>
      <c r="P3" s="175" t="s">
        <v>293</v>
      </c>
      <c r="Q3" s="155"/>
    </row>
    <row r="4" spans="1:19" ht="15.6" customHeight="1" x14ac:dyDescent="0.25">
      <c r="A4" s="279"/>
      <c r="B4" s="276"/>
      <c r="C4" s="276"/>
      <c r="D4" s="276"/>
      <c r="E4" s="276"/>
      <c r="F4" s="276"/>
      <c r="G4" s="276"/>
      <c r="H4" s="276"/>
      <c r="I4" s="276"/>
      <c r="J4" s="276"/>
      <c r="K4" s="19" t="s">
        <v>145</v>
      </c>
      <c r="L4" s="18" t="s">
        <v>146</v>
      </c>
      <c r="M4" s="19" t="s">
        <v>145</v>
      </c>
      <c r="N4" s="18" t="s">
        <v>146</v>
      </c>
      <c r="O4" s="298"/>
      <c r="P4" s="174" t="s">
        <v>294</v>
      </c>
      <c r="R4" s="69" t="s">
        <v>281</v>
      </c>
    </row>
    <row r="5" spans="1:19" ht="15.75" x14ac:dyDescent="0.25">
      <c r="A5" s="61" t="s">
        <v>148</v>
      </c>
      <c r="B5" s="103">
        <v>4575.6000000000004</v>
      </c>
      <c r="C5" s="70">
        <f>ROUND('PU Wise OWE'!$AD$128/10000,2)</f>
        <v>1894.92</v>
      </c>
      <c r="D5" s="66">
        <f>C5/C7</f>
        <v>0.55310466816697179</v>
      </c>
      <c r="E5" s="66"/>
      <c r="F5" s="22">
        <f>ROUND('PU Wise OWE'!$AD$126/10000,2)</f>
        <v>4962.2700000000004</v>
      </c>
      <c r="G5" s="66">
        <f>F5/F7</f>
        <v>0.59996010155966639</v>
      </c>
      <c r="H5" s="23">
        <f>ROUND('PU Wise OWE'!$AD$127/10000,2)</f>
        <v>2100.88</v>
      </c>
      <c r="I5" s="23">
        <f>ROUND('PU Wise OWE'!$AD$129/10000,2)</f>
        <v>2065.64</v>
      </c>
      <c r="J5" s="24">
        <f>I5/$I$7</f>
        <v>0.53796210690800184</v>
      </c>
      <c r="K5" s="22">
        <f>H5-I5</f>
        <v>35.240000000000236</v>
      </c>
      <c r="L5" s="24">
        <f>K5/I5</f>
        <v>1.7060087914641583E-2</v>
      </c>
      <c r="M5" s="22">
        <f>I5-C5</f>
        <v>170.7199999999998</v>
      </c>
      <c r="N5" s="52">
        <f>M5/C5</f>
        <v>9.0093513182614465E-2</v>
      </c>
      <c r="O5" s="52">
        <f>I5/F5</f>
        <v>0.41626916713520218</v>
      </c>
      <c r="P5" s="147">
        <f>10.57+1.36+2.68+11.45+3.4+9.35</f>
        <v>38.809999999999995</v>
      </c>
      <c r="Q5" s="164">
        <f>Q28+I5-I28</f>
        <v>2573.5639999999999</v>
      </c>
      <c r="R5" s="68">
        <f>Q5-F5</f>
        <v>-2388.7060000000006</v>
      </c>
      <c r="S5" s="68"/>
    </row>
    <row r="6" spans="1:19" ht="15.75" x14ac:dyDescent="0.25">
      <c r="A6" s="78" t="s">
        <v>144</v>
      </c>
      <c r="B6" s="103">
        <v>3242.41</v>
      </c>
      <c r="C6" s="70">
        <f>C7-C5</f>
        <v>1531.0499999999997</v>
      </c>
      <c r="D6" s="66">
        <f>C6/C7</f>
        <v>0.44689533183302826</v>
      </c>
      <c r="E6" s="66"/>
      <c r="F6" s="21">
        <f t="shared" ref="F6:I6" si="0">F7-F5</f>
        <v>3308.7299999999996</v>
      </c>
      <c r="G6" s="66">
        <f>F6/F7</f>
        <v>0.40003989844033366</v>
      </c>
      <c r="H6" s="21">
        <f t="shared" si="0"/>
        <v>1495.4099999999999</v>
      </c>
      <c r="I6" s="21">
        <f t="shared" si="0"/>
        <v>1774.1100000000001</v>
      </c>
      <c r="J6" s="24">
        <f t="shared" ref="J6:J7" si="1">I6/$I$7</f>
        <v>0.46203789309199822</v>
      </c>
      <c r="K6" s="22">
        <f t="shared" ref="K6:K7" si="2">H6-I6</f>
        <v>-278.70000000000027</v>
      </c>
      <c r="L6" s="24">
        <f t="shared" ref="L6:L7" si="3">K6/I6</f>
        <v>-0.15709285219067604</v>
      </c>
      <c r="M6" s="22">
        <f>I6-C6</f>
        <v>243.0600000000004</v>
      </c>
      <c r="N6" s="52">
        <f>M6/C6</f>
        <v>0.15875379641422582</v>
      </c>
      <c r="O6" s="52">
        <f>I6/F6</f>
        <v>0.53619062298827658</v>
      </c>
      <c r="P6" s="147">
        <f>26.18+9.93</f>
        <v>36.11</v>
      </c>
      <c r="Q6" s="164">
        <f>Q85+I6-I85</f>
        <v>2217.058</v>
      </c>
      <c r="R6" s="68">
        <f>Q6-F6</f>
        <v>-1091.6719999999996</v>
      </c>
      <c r="S6" s="68"/>
    </row>
    <row r="7" spans="1:19" x14ac:dyDescent="0.25">
      <c r="A7" s="27" t="s">
        <v>171</v>
      </c>
      <c r="B7" s="104">
        <f>SUM(B5:B6)</f>
        <v>7818.01</v>
      </c>
      <c r="C7" s="71">
        <f>ROUND('PU Wise OWE'!BK128/10000,2)</f>
        <v>3425.97</v>
      </c>
      <c r="D7" s="67">
        <f>SUM(D5:D6)</f>
        <v>1</v>
      </c>
      <c r="E7" s="67"/>
      <c r="F7" s="26">
        <f>ROUND('PU Wise OWE'!BK126/10000,2)</f>
        <v>8271</v>
      </c>
      <c r="G7" s="67">
        <f>SUM(G5:G6)</f>
        <v>1</v>
      </c>
      <c r="H7" s="25">
        <f>ROUND('PU Wise OWE'!BK127/10000,2)</f>
        <v>3596.29</v>
      </c>
      <c r="I7" s="25">
        <f>ROUND('PU Wise OWE'!BK129/10000,2)</f>
        <v>3839.75</v>
      </c>
      <c r="J7" s="54">
        <f t="shared" si="1"/>
        <v>1</v>
      </c>
      <c r="K7" s="26">
        <f t="shared" si="2"/>
        <v>-243.46000000000004</v>
      </c>
      <c r="L7" s="54">
        <f t="shared" si="3"/>
        <v>-6.3405169607396325E-2</v>
      </c>
      <c r="M7" s="26">
        <f>I7-C7</f>
        <v>413.7800000000002</v>
      </c>
      <c r="N7" s="55">
        <f>M7/C7</f>
        <v>0.12077747324115512</v>
      </c>
      <c r="O7" s="52">
        <f>I7/F7</f>
        <v>0.464242534155483</v>
      </c>
      <c r="Q7" s="68">
        <f>SUM(Q5:Q6)</f>
        <v>4790.6219999999994</v>
      </c>
      <c r="R7" s="68">
        <f>Q7-F7</f>
        <v>-3480.3780000000006</v>
      </c>
      <c r="S7" s="68"/>
    </row>
    <row r="8" spans="1:19" x14ac:dyDescent="0.25">
      <c r="A8" s="32"/>
      <c r="B8" s="32"/>
      <c r="C8" s="72"/>
      <c r="D8" s="33"/>
      <c r="E8" s="33"/>
      <c r="F8" s="34"/>
      <c r="G8" s="34"/>
      <c r="H8" s="34"/>
      <c r="I8" s="31"/>
      <c r="J8" s="31"/>
      <c r="K8" s="31"/>
      <c r="L8" s="31"/>
      <c r="M8" s="34"/>
      <c r="N8" s="31"/>
    </row>
    <row r="9" spans="1:19" ht="14.45" customHeight="1" x14ac:dyDescent="0.25">
      <c r="C9" s="72"/>
      <c r="D9" s="33"/>
      <c r="E9" s="33"/>
      <c r="F9" s="34"/>
      <c r="G9" s="34"/>
      <c r="H9" s="34"/>
      <c r="I9" s="31"/>
      <c r="J9" s="31"/>
      <c r="K9" s="31"/>
      <c r="L9" s="31"/>
      <c r="M9" s="34"/>
      <c r="N9" s="31"/>
    </row>
    <row r="10" spans="1:19" x14ac:dyDescent="0.25">
      <c r="A10" s="62" t="s">
        <v>172</v>
      </c>
      <c r="B10" s="62"/>
      <c r="C10" s="73"/>
      <c r="D10" s="63"/>
      <c r="E10" s="63"/>
      <c r="F10" s="63"/>
      <c r="G10" s="63"/>
      <c r="H10" s="63"/>
      <c r="I10" s="63"/>
      <c r="J10" s="63"/>
      <c r="K10" s="63"/>
      <c r="L10" s="63"/>
      <c r="M10" s="36" t="s">
        <v>150</v>
      </c>
    </row>
    <row r="11" spans="1:19" ht="15" customHeight="1" x14ac:dyDescent="0.25">
      <c r="A11" s="284"/>
      <c r="B11" s="284" t="s">
        <v>303</v>
      </c>
      <c r="C11" s="282" t="str">
        <f>'PU Wise OWE'!$B$7</f>
        <v>Actuals upto Aug' 20</v>
      </c>
      <c r="D11" s="284" t="s">
        <v>173</v>
      </c>
      <c r="E11" s="284"/>
      <c r="F11" s="325" t="str">
        <f>'PU Wise OWE'!$B$5</f>
        <v xml:space="preserve">OBG(SL) 2021-22 </v>
      </c>
      <c r="G11" s="284" t="s">
        <v>310</v>
      </c>
      <c r="H11" s="284" t="s">
        <v>317</v>
      </c>
      <c r="I11" s="282" t="str">
        <f>'PU Wise OWE'!B8</f>
        <v>Actuals upto Aug' 21</v>
      </c>
      <c r="J11" s="284" t="s">
        <v>205</v>
      </c>
      <c r="K11" s="285" t="s">
        <v>207</v>
      </c>
      <c r="L11" s="285"/>
      <c r="M11" s="285" t="s">
        <v>147</v>
      </c>
      <c r="N11" s="285"/>
      <c r="O11" s="299" t="s">
        <v>315</v>
      </c>
      <c r="P11" s="330" t="s">
        <v>268</v>
      </c>
      <c r="Q11" s="163"/>
    </row>
    <row r="12" spans="1:19" ht="17.25" customHeight="1" x14ac:dyDescent="0.25">
      <c r="A12" s="283"/>
      <c r="B12" s="283"/>
      <c r="C12" s="283"/>
      <c r="D12" s="283"/>
      <c r="E12" s="283"/>
      <c r="F12" s="326"/>
      <c r="G12" s="283"/>
      <c r="H12" s="283"/>
      <c r="I12" s="283"/>
      <c r="J12" s="283"/>
      <c r="K12" s="64" t="s">
        <v>145</v>
      </c>
      <c r="L12" s="65" t="s">
        <v>146</v>
      </c>
      <c r="M12" s="64" t="s">
        <v>145</v>
      </c>
      <c r="N12" s="65" t="s">
        <v>146</v>
      </c>
      <c r="O12" s="299"/>
      <c r="P12" s="330"/>
      <c r="Q12" s="163"/>
    </row>
    <row r="13" spans="1:19" ht="15.75" x14ac:dyDescent="0.25">
      <c r="A13" s="20" t="s">
        <v>152</v>
      </c>
      <c r="B13" s="105">
        <v>2522.8000000000002</v>
      </c>
      <c r="C13" s="70">
        <f>ROUND('PU Wise OWE'!$C$128/10000,2)</f>
        <v>1045.8</v>
      </c>
      <c r="D13" s="66">
        <f>C13/$C$7</f>
        <v>0.30525661345545935</v>
      </c>
      <c r="E13" s="21"/>
      <c r="F13" s="22">
        <f>ROUND('PU Wise OWE'!$C$126/10000,2)</f>
        <v>2509.4499999999998</v>
      </c>
      <c r="G13" s="24">
        <f>F13/$F$7</f>
        <v>0.30340345786482892</v>
      </c>
      <c r="H13" s="23">
        <f>ROUND('PU Wise OWE'!$C$127/10000,2)</f>
        <v>1104.1600000000001</v>
      </c>
      <c r="I13" s="23">
        <f>ROUND('PU Wise OWE'!$C$129/10000,2)</f>
        <v>1075.4100000000001</v>
      </c>
      <c r="J13" s="24">
        <f>I13/$I$7</f>
        <v>0.28007292141415457</v>
      </c>
      <c r="K13" s="22">
        <f>H13-I13</f>
        <v>28.75</v>
      </c>
      <c r="L13" s="24">
        <f>K13/I13</f>
        <v>2.6733989827135696E-2</v>
      </c>
      <c r="M13" s="22">
        <f t="shared" ref="M13:M28" si="4">I13-C13</f>
        <v>29.610000000000127</v>
      </c>
      <c r="N13" s="52">
        <f t="shared" ref="N13:N28" si="5">M13/C13</f>
        <v>2.8313253012048317E-2</v>
      </c>
      <c r="O13" s="52">
        <f>I13/F13</f>
        <v>0.42854410328956549</v>
      </c>
      <c r="P13" s="156"/>
      <c r="Q13" s="164">
        <f>(I13/10)*12</f>
        <v>1290.4920000000002</v>
      </c>
      <c r="R13" s="168">
        <f t="shared" ref="R13:R27" si="6">Q13-F13</f>
        <v>-1218.9579999999996</v>
      </c>
    </row>
    <row r="14" spans="1:19" ht="15.75" x14ac:dyDescent="0.25">
      <c r="A14" s="20" t="s">
        <v>153</v>
      </c>
      <c r="B14" s="105">
        <v>441.91</v>
      </c>
      <c r="C14" s="70">
        <f>ROUND('PU Wise OWE'!$D$128/10000,2)</f>
        <v>183.41</v>
      </c>
      <c r="D14" s="66">
        <f t="shared" ref="D14:D27" si="7">C14/$C$7</f>
        <v>5.3535203168737618E-2</v>
      </c>
      <c r="E14" s="21"/>
      <c r="F14" s="22">
        <f>ROUND('PU Wise OWE'!$D$126/10000,2)</f>
        <v>755.98</v>
      </c>
      <c r="G14" s="24">
        <f t="shared" ref="G14:G27" si="8">F14/$F$7</f>
        <v>9.1401281586265259E-2</v>
      </c>
      <c r="H14" s="23">
        <f>ROUND('PU Wise OWE'!$D$127/10000,2)</f>
        <v>268.79000000000002</v>
      </c>
      <c r="I14" s="23">
        <f>ROUND('PU Wise OWE'!$D$129/10000,2)</f>
        <v>239.04</v>
      </c>
      <c r="J14" s="24">
        <f t="shared" ref="J14:J28" si="9">I14/$I$7</f>
        <v>6.225405299824207E-2</v>
      </c>
      <c r="K14" s="22">
        <f t="shared" ref="K14:K28" si="10">H14-I14</f>
        <v>29.750000000000028</v>
      </c>
      <c r="L14" s="24">
        <f t="shared" ref="L14:L28" si="11">K14/I14</f>
        <v>0.12445615796519423</v>
      </c>
      <c r="M14" s="22">
        <f t="shared" si="4"/>
        <v>55.629999999999995</v>
      </c>
      <c r="N14" s="52">
        <f t="shared" si="5"/>
        <v>0.30330952510768222</v>
      </c>
      <c r="O14" s="52">
        <f t="shared" ref="O14:O27" si="12">I14/F14</f>
        <v>0.31619884123918618</v>
      </c>
      <c r="P14" s="156"/>
      <c r="Q14" s="164">
        <f>(I14/10)*12</f>
        <v>286.84800000000001</v>
      </c>
      <c r="R14" s="68">
        <f t="shared" si="6"/>
        <v>-469.13200000000001</v>
      </c>
    </row>
    <row r="15" spans="1:19" ht="15.75" x14ac:dyDescent="0.25">
      <c r="A15" s="23" t="s">
        <v>174</v>
      </c>
      <c r="B15" s="22">
        <v>98.2</v>
      </c>
      <c r="C15" s="70">
        <f>ROUND('PU Wise OWE'!$E$128/10000,2)</f>
        <v>0.62</v>
      </c>
      <c r="D15" s="66">
        <f t="shared" si="7"/>
        <v>1.8097064481008298E-4</v>
      </c>
      <c r="E15" s="21"/>
      <c r="F15" s="22">
        <f>ROUND('PU Wise OWE'!$E$126/10000,2)</f>
        <v>99.13</v>
      </c>
      <c r="G15" s="24">
        <f t="shared" si="8"/>
        <v>1.1985249667512996E-2</v>
      </c>
      <c r="H15" s="23">
        <f>ROUND('PU Wise OWE'!$E$127/10000,2)</f>
        <v>0</v>
      </c>
      <c r="I15" s="23">
        <f>ROUND('PU Wise OWE'!$E$129/10000,2)</f>
        <v>0.28000000000000003</v>
      </c>
      <c r="J15" s="24">
        <f t="shared" si="9"/>
        <v>7.2921414154567359E-5</v>
      </c>
      <c r="K15" s="22">
        <f t="shared" si="10"/>
        <v>-0.28000000000000003</v>
      </c>
      <c r="L15" s="24">
        <f t="shared" si="11"/>
        <v>-1</v>
      </c>
      <c r="M15" s="22">
        <f t="shared" si="4"/>
        <v>-0.33999999999999997</v>
      </c>
      <c r="N15" s="52">
        <f t="shared" si="5"/>
        <v>-0.54838709677419351</v>
      </c>
      <c r="O15" s="52">
        <f t="shared" si="12"/>
        <v>2.8245737919903161E-3</v>
      </c>
      <c r="P15" s="156" t="s">
        <v>269</v>
      </c>
      <c r="Q15" s="164">
        <f>F15</f>
        <v>99.13</v>
      </c>
      <c r="R15" s="68">
        <f t="shared" si="6"/>
        <v>0</v>
      </c>
    </row>
    <row r="16" spans="1:19" ht="15.75" x14ac:dyDescent="0.25">
      <c r="A16" s="23" t="s">
        <v>175</v>
      </c>
      <c r="B16" s="22">
        <v>264.85000000000002</v>
      </c>
      <c r="C16" s="70">
        <f>ROUND('PU Wise OWE'!$F$128/10000,2)</f>
        <v>109.21</v>
      </c>
      <c r="D16" s="66">
        <f t="shared" si="7"/>
        <v>3.1877103418885749E-2</v>
      </c>
      <c r="E16" s="21"/>
      <c r="F16" s="22">
        <f>ROUND('PU Wise OWE'!$F$126/10000,2)</f>
        <v>286.05</v>
      </c>
      <c r="G16" s="24">
        <f t="shared" si="8"/>
        <v>3.4584693507435621E-2</v>
      </c>
      <c r="H16" s="23">
        <f>ROUND('PU Wise OWE'!$F$127/10000,2)</f>
        <v>125.86</v>
      </c>
      <c r="I16" s="23">
        <f>ROUND('PU Wise OWE'!$F$129/10000,2)</f>
        <v>119.81</v>
      </c>
      <c r="J16" s="24">
        <f t="shared" si="9"/>
        <v>3.1202552249495412E-2</v>
      </c>
      <c r="K16" s="22">
        <f t="shared" si="10"/>
        <v>6.0499999999999972</v>
      </c>
      <c r="L16" s="24">
        <f t="shared" si="11"/>
        <v>5.0496619647775617E-2</v>
      </c>
      <c r="M16" s="22">
        <f t="shared" si="4"/>
        <v>10.600000000000009</v>
      </c>
      <c r="N16" s="52">
        <f t="shared" si="5"/>
        <v>9.7060708726307204E-2</v>
      </c>
      <c r="O16" s="52">
        <f t="shared" si="12"/>
        <v>0.41884285963992307</v>
      </c>
      <c r="P16" s="156"/>
      <c r="Q16" s="164">
        <f>(I16/10)*12</f>
        <v>143.77199999999999</v>
      </c>
      <c r="R16" s="68">
        <f t="shared" si="6"/>
        <v>-142.27800000000002</v>
      </c>
    </row>
    <row r="17" spans="1:18" ht="15.75" x14ac:dyDescent="0.25">
      <c r="A17" s="23" t="s">
        <v>176</v>
      </c>
      <c r="B17" s="22">
        <v>134.78</v>
      </c>
      <c r="C17" s="70">
        <f>ROUND('PU Wise OWE'!$G$128/10000,2)</f>
        <v>56.25</v>
      </c>
      <c r="D17" s="66">
        <f t="shared" si="7"/>
        <v>1.6418707694463176E-2</v>
      </c>
      <c r="E17" s="21"/>
      <c r="F17" s="22">
        <f>ROUND('PU Wise OWE'!$G$126/10000,2)</f>
        <v>148.21</v>
      </c>
      <c r="G17" s="24">
        <f t="shared" si="8"/>
        <v>1.7919235884415428E-2</v>
      </c>
      <c r="H17" s="23">
        <f>ROUND('PU Wise OWE'!$G$127/10000,2)</f>
        <v>65.209999999999994</v>
      </c>
      <c r="I17" s="23">
        <f>ROUND('PU Wise OWE'!$G$129/10000,2)</f>
        <v>60.23</v>
      </c>
      <c r="J17" s="24">
        <f t="shared" si="9"/>
        <v>1.5685917051891398E-2</v>
      </c>
      <c r="K17" s="22">
        <f t="shared" si="10"/>
        <v>4.9799999999999969</v>
      </c>
      <c r="L17" s="24">
        <f t="shared" si="11"/>
        <v>8.2683048314793242E-2</v>
      </c>
      <c r="M17" s="22">
        <f t="shared" si="4"/>
        <v>3.9799999999999969</v>
      </c>
      <c r="N17" s="52">
        <f t="shared" si="5"/>
        <v>7.0755555555555502E-2</v>
      </c>
      <c r="O17" s="52">
        <f t="shared" si="12"/>
        <v>0.40638283516631801</v>
      </c>
      <c r="P17" s="156"/>
      <c r="Q17" s="164">
        <f>(I17/10)*12</f>
        <v>72.275999999999996</v>
      </c>
      <c r="R17" s="68">
        <f t="shared" si="6"/>
        <v>-75.934000000000012</v>
      </c>
    </row>
    <row r="18" spans="1:18" ht="15.75" x14ac:dyDescent="0.25">
      <c r="A18" s="20" t="s">
        <v>154</v>
      </c>
      <c r="B18" s="105">
        <v>247.05</v>
      </c>
      <c r="C18" s="70">
        <f>ROUND('PU Wise OWE'!$H$128/10000,2)</f>
        <v>121.32</v>
      </c>
      <c r="D18" s="66">
        <f t="shared" si="7"/>
        <v>3.5411868755418172E-2</v>
      </c>
      <c r="E18" s="21"/>
      <c r="F18" s="22">
        <f>ROUND('PU Wise OWE'!$H$126/10000,2)</f>
        <v>289.98</v>
      </c>
      <c r="G18" s="24">
        <f t="shared" si="8"/>
        <v>3.5059847660500548E-2</v>
      </c>
      <c r="H18" s="23">
        <f>ROUND('PU Wise OWE'!$H$127/10000,2)</f>
        <v>127.59</v>
      </c>
      <c r="I18" s="23">
        <f>ROUND('PU Wise OWE'!$H$129/10000,2)</f>
        <v>133.65</v>
      </c>
      <c r="J18" s="24">
        <f t="shared" si="9"/>
        <v>3.4806953577706884E-2</v>
      </c>
      <c r="K18" s="22">
        <f t="shared" si="10"/>
        <v>-6.0600000000000023</v>
      </c>
      <c r="L18" s="24">
        <f t="shared" si="11"/>
        <v>-4.5342312008978689E-2</v>
      </c>
      <c r="M18" s="22">
        <f t="shared" si="4"/>
        <v>12.330000000000013</v>
      </c>
      <c r="N18" s="52">
        <f t="shared" si="5"/>
        <v>0.10163204747774492</v>
      </c>
      <c r="O18" s="52">
        <f t="shared" si="12"/>
        <v>0.46089385474860334</v>
      </c>
      <c r="P18" s="156"/>
      <c r="Q18" s="164">
        <f>(I18/10)*12</f>
        <v>160.38</v>
      </c>
      <c r="R18" s="68">
        <f t="shared" si="6"/>
        <v>-129.60000000000002</v>
      </c>
    </row>
    <row r="19" spans="1:18" ht="72" customHeight="1" x14ac:dyDescent="0.25">
      <c r="A19" s="56" t="s">
        <v>155</v>
      </c>
      <c r="B19" s="106">
        <v>188.24</v>
      </c>
      <c r="C19" s="70">
        <f>ROUND('PU Wise OWE'!$J$128/10000,2)</f>
        <v>73.09</v>
      </c>
      <c r="D19" s="66">
        <f t="shared" si="7"/>
        <v>2.1334103918014463E-2</v>
      </c>
      <c r="E19" s="21"/>
      <c r="F19" s="22">
        <f>ROUND('PU Wise OWE'!$J$126/10000,2)</f>
        <v>198.27</v>
      </c>
      <c r="G19" s="24">
        <f t="shared" si="8"/>
        <v>2.397170837867247E-2</v>
      </c>
      <c r="H19" s="23">
        <f>ROUND('PU Wise OWE'!$J$127/10000,2)</f>
        <v>87.24</v>
      </c>
      <c r="I19" s="23">
        <f>ROUND('PU Wise OWE'!$J$129/10000,2)</f>
        <v>91.57</v>
      </c>
      <c r="J19" s="24">
        <f t="shared" si="9"/>
        <v>2.3847906764763328E-2</v>
      </c>
      <c r="K19" s="22">
        <f t="shared" si="10"/>
        <v>-4.3299999999999983</v>
      </c>
      <c r="L19" s="24">
        <f t="shared" si="11"/>
        <v>-4.7286229114338739E-2</v>
      </c>
      <c r="M19" s="22">
        <f t="shared" si="4"/>
        <v>18.47999999999999</v>
      </c>
      <c r="N19" s="52">
        <f t="shared" si="5"/>
        <v>0.25283896565877667</v>
      </c>
      <c r="O19" s="52">
        <f t="shared" si="12"/>
        <v>0.46184495889443683</v>
      </c>
      <c r="P19" s="157" t="s">
        <v>283</v>
      </c>
      <c r="Q19" s="164">
        <f>(I19-10.57)/10*2+I19</f>
        <v>107.77</v>
      </c>
      <c r="R19" s="168">
        <f t="shared" si="6"/>
        <v>-90.500000000000014</v>
      </c>
    </row>
    <row r="20" spans="1:18" ht="48" customHeight="1" x14ac:dyDescent="0.25">
      <c r="A20" s="20" t="s">
        <v>156</v>
      </c>
      <c r="B20" s="105">
        <v>12.03</v>
      </c>
      <c r="C20" s="70">
        <f>ROUND('PU Wise OWE'!$K$128/10000,2)</f>
        <v>2.95</v>
      </c>
      <c r="D20" s="66">
        <f t="shared" si="7"/>
        <v>8.610700035318466E-4</v>
      </c>
      <c r="E20" s="21"/>
      <c r="F20" s="22">
        <f>ROUND('PU Wise OWE'!$K$126/10000,2)</f>
        <v>11.75</v>
      </c>
      <c r="G20" s="24">
        <f t="shared" si="8"/>
        <v>1.4206262846088744E-3</v>
      </c>
      <c r="H20" s="23">
        <f>ROUND('PU Wise OWE'!$K$127/10000,2)</f>
        <v>5.17</v>
      </c>
      <c r="I20" s="23">
        <f>ROUND('PU Wise OWE'!$K$129/10000,2)</f>
        <v>0.76</v>
      </c>
      <c r="J20" s="24">
        <f t="shared" si="9"/>
        <v>1.9792955270525424E-4</v>
      </c>
      <c r="K20" s="22">
        <f t="shared" si="10"/>
        <v>4.41</v>
      </c>
      <c r="L20" s="24">
        <f t="shared" si="11"/>
        <v>5.8026315789473681</v>
      </c>
      <c r="M20" s="22">
        <f t="shared" si="4"/>
        <v>-2.1900000000000004</v>
      </c>
      <c r="N20" s="52">
        <f t="shared" si="5"/>
        <v>-0.74237288135593227</v>
      </c>
      <c r="O20" s="52">
        <f t="shared" si="12"/>
        <v>6.4680851063829786E-2</v>
      </c>
      <c r="P20" s="157" t="s">
        <v>282</v>
      </c>
      <c r="Q20" s="164">
        <f>(I20-1.36)/10*2+I20</f>
        <v>0.64</v>
      </c>
      <c r="R20" s="68">
        <f t="shared" si="6"/>
        <v>-11.11</v>
      </c>
    </row>
    <row r="21" spans="1:18" ht="60" x14ac:dyDescent="0.25">
      <c r="A21" s="20" t="s">
        <v>157</v>
      </c>
      <c r="B21" s="105">
        <v>48.93</v>
      </c>
      <c r="C21" s="70">
        <f>ROUND('PU Wise OWE'!$L$128/10000,2)</f>
        <v>24.53</v>
      </c>
      <c r="D21" s="66">
        <f t="shared" si="7"/>
        <v>7.1600159954698971E-3</v>
      </c>
      <c r="E21" s="21"/>
      <c r="F21" s="22">
        <f>ROUND('PU Wise OWE'!$L$126/10000,2)</f>
        <v>52.98</v>
      </c>
      <c r="G21" s="24">
        <f t="shared" si="8"/>
        <v>6.4055132390279284E-3</v>
      </c>
      <c r="H21" s="23">
        <f>ROUND('PU Wise OWE'!$L$127/10000,2)</f>
        <v>23.31</v>
      </c>
      <c r="I21" s="23">
        <f>ROUND('PU Wise OWE'!$L$129/10000,2)</f>
        <v>16.22</v>
      </c>
      <c r="J21" s="24">
        <f t="shared" si="9"/>
        <v>4.2242333485252945E-3</v>
      </c>
      <c r="K21" s="22">
        <f t="shared" si="10"/>
        <v>7.09</v>
      </c>
      <c r="L21" s="24">
        <f t="shared" si="11"/>
        <v>0.43711467324291003</v>
      </c>
      <c r="M21" s="22">
        <f t="shared" si="4"/>
        <v>-8.3100000000000023</v>
      </c>
      <c r="N21" s="52">
        <f t="shared" si="5"/>
        <v>-0.3387688544639218</v>
      </c>
      <c r="O21" s="52">
        <f t="shared" si="12"/>
        <v>0.30615326538316345</v>
      </c>
      <c r="P21" s="157" t="s">
        <v>284</v>
      </c>
      <c r="Q21" s="164">
        <f>(I21-2.68)/10*2+I21</f>
        <v>18.927999999999997</v>
      </c>
      <c r="R21" s="68">
        <f t="shared" si="6"/>
        <v>-34.052</v>
      </c>
    </row>
    <row r="22" spans="1:18" ht="45" x14ac:dyDescent="0.25">
      <c r="A22" s="20" t="s">
        <v>179</v>
      </c>
      <c r="B22" s="105">
        <v>120.4</v>
      </c>
      <c r="C22" s="70">
        <f>ROUND('PU Wise OWE'!$M$128/10000,2)</f>
        <v>65.489999999999995</v>
      </c>
      <c r="D22" s="66">
        <f t="shared" si="7"/>
        <v>1.9115754078406991E-2</v>
      </c>
      <c r="E22" s="21"/>
      <c r="F22" s="22">
        <f>ROUND('PU Wise OWE'!$M$126/10000,2)</f>
        <v>149.94999999999999</v>
      </c>
      <c r="G22" s="24">
        <f t="shared" si="8"/>
        <v>1.8129609478902187E-2</v>
      </c>
      <c r="H22" s="23">
        <f>ROUND('PU Wise OWE'!$M$127/10000,2)</f>
        <v>65.98</v>
      </c>
      <c r="I22" s="23">
        <f>ROUND('PU Wise OWE'!$M$129/10000,2)</f>
        <v>71.37</v>
      </c>
      <c r="J22" s="24">
        <f t="shared" si="9"/>
        <v>1.858714760075526E-2</v>
      </c>
      <c r="K22" s="22">
        <f t="shared" si="10"/>
        <v>-5.3900000000000006</v>
      </c>
      <c r="L22" s="24">
        <f t="shared" si="11"/>
        <v>-7.5521927980944384E-2</v>
      </c>
      <c r="M22" s="22">
        <f t="shared" si="4"/>
        <v>5.8800000000000097</v>
      </c>
      <c r="N22" s="52">
        <f t="shared" si="5"/>
        <v>8.9784699954191638E-2</v>
      </c>
      <c r="O22" s="52">
        <f t="shared" si="12"/>
        <v>0.47595865288429484</v>
      </c>
      <c r="P22" s="157" t="s">
        <v>270</v>
      </c>
      <c r="Q22" s="164">
        <f>(I22/10)*12</f>
        <v>85.644000000000005</v>
      </c>
      <c r="R22" s="68">
        <f t="shared" si="6"/>
        <v>-64.305999999999983</v>
      </c>
    </row>
    <row r="23" spans="1:18" ht="60" x14ac:dyDescent="0.25">
      <c r="A23" s="56" t="s">
        <v>158</v>
      </c>
      <c r="B23" s="106">
        <v>88.73</v>
      </c>
      <c r="C23" s="70">
        <f>ROUND('PU Wise OWE'!$P$128/10000,2)</f>
        <v>45.07</v>
      </c>
      <c r="D23" s="66">
        <f t="shared" si="7"/>
        <v>1.3155398325145872E-2</v>
      </c>
      <c r="E23" s="21"/>
      <c r="F23" s="22">
        <f>ROUND('PU Wise OWE'!$P$126/10000,2)</f>
        <v>92.29</v>
      </c>
      <c r="G23" s="24">
        <f t="shared" si="8"/>
        <v>1.1158263813323662E-2</v>
      </c>
      <c r="H23" s="23">
        <f>ROUND('PU Wise OWE'!$P$127/10000,2)</f>
        <v>40.61</v>
      </c>
      <c r="I23" s="23">
        <f>ROUND('PU Wise OWE'!$P$129/10000,2)</f>
        <v>49.39</v>
      </c>
      <c r="J23" s="24">
        <f t="shared" si="9"/>
        <v>1.286281658962172E-2</v>
      </c>
      <c r="K23" s="22">
        <f t="shared" si="10"/>
        <v>-8.7800000000000011</v>
      </c>
      <c r="L23" s="24">
        <f t="shared" si="11"/>
        <v>-0.17776877910508201</v>
      </c>
      <c r="M23" s="22">
        <f t="shared" si="4"/>
        <v>4.32</v>
      </c>
      <c r="N23" s="52">
        <f t="shared" si="5"/>
        <v>9.5850898602174398E-2</v>
      </c>
      <c r="O23" s="52">
        <f t="shared" si="12"/>
        <v>0.53516090584028597</v>
      </c>
      <c r="P23" s="157" t="s">
        <v>291</v>
      </c>
      <c r="Q23" s="164">
        <f>(I23-11.45)/10*2+I23</f>
        <v>56.978000000000002</v>
      </c>
      <c r="R23" s="168">
        <f t="shared" si="6"/>
        <v>-35.312000000000005</v>
      </c>
    </row>
    <row r="24" spans="1:18" ht="34.15" customHeight="1" x14ac:dyDescent="0.25">
      <c r="A24" s="56" t="s">
        <v>159</v>
      </c>
      <c r="B24" s="106">
        <v>81.78</v>
      </c>
      <c r="C24" s="70">
        <f>ROUND('PU Wise OWE'!$S$128/10000,2)</f>
        <v>56.52</v>
      </c>
      <c r="D24" s="66">
        <f t="shared" si="7"/>
        <v>1.64975174913966E-2</v>
      </c>
      <c r="E24" s="21"/>
      <c r="F24" s="22">
        <f>ROUND('PU Wise OWE'!$S$126/10000,2)</f>
        <v>89.03</v>
      </c>
      <c r="G24" s="24">
        <f t="shared" si="8"/>
        <v>1.0764115584572603E-2</v>
      </c>
      <c r="H24" s="23">
        <f>ROUND('PU Wise OWE'!$S$127/10000,2)</f>
        <v>64.099999999999994</v>
      </c>
      <c r="I24" s="23">
        <f>ROUND('PU Wise OWE'!$S$129/10000,2)</f>
        <v>67.989999999999995</v>
      </c>
      <c r="J24" s="24">
        <f t="shared" si="9"/>
        <v>1.7706881958460836E-2</v>
      </c>
      <c r="K24" s="22">
        <f t="shared" si="10"/>
        <v>-3.8900000000000006</v>
      </c>
      <c r="L24" s="24">
        <f t="shared" si="11"/>
        <v>-5.7214296220032372E-2</v>
      </c>
      <c r="M24" s="22">
        <f t="shared" si="4"/>
        <v>11.469999999999992</v>
      </c>
      <c r="N24" s="52">
        <f t="shared" si="5"/>
        <v>0.20293701344656742</v>
      </c>
      <c r="O24" s="52">
        <f t="shared" si="12"/>
        <v>0.76367516567449167</v>
      </c>
      <c r="P24" s="157" t="s">
        <v>271</v>
      </c>
      <c r="Q24" s="164">
        <f>F24</f>
        <v>89.03</v>
      </c>
      <c r="R24" s="68">
        <f t="shared" si="6"/>
        <v>0</v>
      </c>
    </row>
    <row r="25" spans="1:18" ht="28.9" customHeight="1" x14ac:dyDescent="0.25">
      <c r="A25" s="56" t="s">
        <v>160</v>
      </c>
      <c r="B25" s="106">
        <v>90.5</v>
      </c>
      <c r="C25" s="70">
        <f>ROUND('PU Wise OWE'!$T$128/10000,2)</f>
        <v>38.49</v>
      </c>
      <c r="D25" s="66">
        <f t="shared" si="7"/>
        <v>1.1234774385064669E-2</v>
      </c>
      <c r="E25" s="21"/>
      <c r="F25" s="22">
        <f>ROUND('PU Wise OWE'!$T$126/10000,2)</f>
        <v>83.15</v>
      </c>
      <c r="G25" s="24">
        <f t="shared" si="8"/>
        <v>1.0053197920444928E-2</v>
      </c>
      <c r="H25" s="22">
        <f>ROUND('PU Wise OWE'!$T$127/10000,2)</f>
        <v>36.590000000000003</v>
      </c>
      <c r="I25" s="23">
        <f>ROUND('PU Wise OWE'!$T$129/10000,2)</f>
        <v>49.39</v>
      </c>
      <c r="J25" s="24">
        <f t="shared" si="9"/>
        <v>1.286281658962172E-2</v>
      </c>
      <c r="K25" s="22">
        <f t="shared" si="10"/>
        <v>-12.799999999999997</v>
      </c>
      <c r="L25" s="24">
        <f t="shared" si="11"/>
        <v>-0.25916177363838827</v>
      </c>
      <c r="M25" s="22">
        <f t="shared" si="4"/>
        <v>10.899999999999999</v>
      </c>
      <c r="N25" s="52">
        <f t="shared" si="5"/>
        <v>0.2831904390750844</v>
      </c>
      <c r="O25" s="52">
        <f t="shared" si="12"/>
        <v>0.59398677089597107</v>
      </c>
      <c r="P25" s="157" t="s">
        <v>285</v>
      </c>
      <c r="Q25" s="164">
        <f>(I25-4)/10*2+I25</f>
        <v>58.468000000000004</v>
      </c>
      <c r="R25" s="68">
        <f t="shared" si="6"/>
        <v>-24.682000000000002</v>
      </c>
    </row>
    <row r="26" spans="1:18" ht="42.6" customHeight="1" x14ac:dyDescent="0.25">
      <c r="A26" s="56" t="s">
        <v>178</v>
      </c>
      <c r="B26" s="106">
        <v>41.07</v>
      </c>
      <c r="C26" s="70">
        <f>ROUND('PU Wise OWE'!$V$128/10000,2)</f>
        <v>18.190000000000001</v>
      </c>
      <c r="D26" s="66">
        <f t="shared" si="7"/>
        <v>5.3094452082184029E-3</v>
      </c>
      <c r="E26" s="22"/>
      <c r="F26" s="22">
        <f>ROUND('PU Wise OWE'!$V$126/10000,2)</f>
        <v>34.5</v>
      </c>
      <c r="G26" s="24">
        <f t="shared" si="8"/>
        <v>4.1712005803409506E-3</v>
      </c>
      <c r="H26" s="22">
        <f>ROUND('PU Wise OWE'!$V$127/10000,2)</f>
        <v>15.18</v>
      </c>
      <c r="I26" s="23">
        <f>ROUND('PU Wise OWE'!$V$129/10000,2)</f>
        <v>18.09</v>
      </c>
      <c r="J26" s="24">
        <f t="shared" si="9"/>
        <v>4.7112442216290119E-3</v>
      </c>
      <c r="K26" s="22">
        <f t="shared" si="10"/>
        <v>-2.91</v>
      </c>
      <c r="L26" s="24">
        <f t="shared" si="11"/>
        <v>-0.16086235489220566</v>
      </c>
      <c r="M26" s="22">
        <f t="shared" si="4"/>
        <v>-0.10000000000000142</v>
      </c>
      <c r="N26" s="52">
        <f t="shared" si="5"/>
        <v>-5.4975261132491158E-3</v>
      </c>
      <c r="O26" s="52">
        <f t="shared" si="12"/>
        <v>0.52434782608695651</v>
      </c>
      <c r="P26" s="157" t="s">
        <v>288</v>
      </c>
      <c r="Q26" s="164">
        <f>(I26-3.4)/10*2+I26</f>
        <v>21.027999999999999</v>
      </c>
      <c r="R26" s="68">
        <f t="shared" si="6"/>
        <v>-13.472000000000001</v>
      </c>
    </row>
    <row r="27" spans="1:18" ht="60" customHeight="1" x14ac:dyDescent="0.25">
      <c r="A27" s="56" t="s">
        <v>177</v>
      </c>
      <c r="B27" s="106">
        <v>169.78</v>
      </c>
      <c r="C27" s="70">
        <f>ROUND('PU Wise OWE'!$AC$128/10000,2)</f>
        <v>47.13</v>
      </c>
      <c r="D27" s="66">
        <f t="shared" si="7"/>
        <v>1.3756687886934214E-2</v>
      </c>
      <c r="E27" s="22"/>
      <c r="F27" s="22">
        <f>ROUND('PU Wise OWE'!$AC$126/10000,2)</f>
        <v>133.18</v>
      </c>
      <c r="G27" s="24">
        <f t="shared" si="8"/>
        <v>1.6102043283762545E-2</v>
      </c>
      <c r="H27" s="23">
        <f>ROUND('PU Wise OWE'!$AC$127/10000,2)</f>
        <v>58.6</v>
      </c>
      <c r="I27" s="23">
        <f>ROUND('PU Wise OWE'!$AC$129/10000,2)</f>
        <v>58.05</v>
      </c>
      <c r="J27" s="24">
        <f t="shared" si="9"/>
        <v>1.5118171755973695E-2</v>
      </c>
      <c r="K27" s="22">
        <f t="shared" si="10"/>
        <v>0.55000000000000426</v>
      </c>
      <c r="L27" s="24">
        <f t="shared" si="11"/>
        <v>9.4745908699397814E-3</v>
      </c>
      <c r="M27" s="22">
        <f t="shared" si="4"/>
        <v>10.919999999999995</v>
      </c>
      <c r="N27" s="52">
        <f t="shared" si="5"/>
        <v>0.23169955442393367</v>
      </c>
      <c r="O27" s="52">
        <f t="shared" si="12"/>
        <v>0.43587625769635074</v>
      </c>
      <c r="P27" s="157" t="s">
        <v>287</v>
      </c>
      <c r="Q27" s="164">
        <f>(I27-9.35)/10*2+I27</f>
        <v>67.789999999999992</v>
      </c>
      <c r="R27" s="68">
        <f t="shared" si="6"/>
        <v>-65.390000000000015</v>
      </c>
    </row>
    <row r="28" spans="1:18" x14ac:dyDescent="0.25">
      <c r="A28" s="25" t="s">
        <v>149</v>
      </c>
      <c r="B28" s="26">
        <f>SUM(B13:B27)</f>
        <v>4551.0499999999993</v>
      </c>
      <c r="C28" s="74">
        <f>SUM(C13:C27)</f>
        <v>1888.07</v>
      </c>
      <c r="D28" s="54">
        <f>SUM(D13:D27)</f>
        <v>0.55110523442995707</v>
      </c>
      <c r="E28" s="26"/>
      <c r="F28" s="26">
        <f>F5</f>
        <v>4962.2700000000004</v>
      </c>
      <c r="G28" s="54">
        <f t="shared" ref="G28:I28" si="13">SUM(G13:G27)</f>
        <v>0.59653004473461491</v>
      </c>
      <c r="H28" s="26">
        <f>SUM(H13:H27)</f>
        <v>2088.39</v>
      </c>
      <c r="I28" s="26">
        <f t="shared" si="13"/>
        <v>2051.2500000000005</v>
      </c>
      <c r="J28" s="54">
        <f t="shared" si="9"/>
        <v>0.53421446708770115</v>
      </c>
      <c r="K28" s="26">
        <f t="shared" si="10"/>
        <v>37.139999999999418</v>
      </c>
      <c r="L28" s="54">
        <f t="shared" si="11"/>
        <v>1.810603290676388E-2</v>
      </c>
      <c r="M28" s="26">
        <f t="shared" si="4"/>
        <v>163.18000000000052</v>
      </c>
      <c r="N28" s="55">
        <f t="shared" si="5"/>
        <v>8.6426880359308983E-2</v>
      </c>
      <c r="Q28" s="74">
        <f>SUM(Q13:Q27)</f>
        <v>2559.174</v>
      </c>
      <c r="R28" s="74">
        <f>SUM(R13:R27)</f>
        <v>-2374.7259999999997</v>
      </c>
    </row>
    <row r="29" spans="1:18" x14ac:dyDescent="0.25">
      <c r="I29" s="68"/>
      <c r="J29" s="68"/>
      <c r="K29" s="68"/>
      <c r="L29" s="68"/>
      <c r="Q29" s="165"/>
    </row>
    <row r="30" spans="1:18" x14ac:dyDescent="0.25">
      <c r="Q30" s="165"/>
    </row>
    <row r="31" spans="1:18" x14ac:dyDescent="0.25">
      <c r="A31" s="75" t="s">
        <v>180</v>
      </c>
      <c r="B31" s="75"/>
      <c r="C31" s="76"/>
      <c r="D31" s="77"/>
      <c r="M31" s="154" t="s">
        <v>150</v>
      </c>
      <c r="Q31" s="165"/>
    </row>
    <row r="32" spans="1:18" ht="15" customHeight="1" x14ac:dyDescent="0.25">
      <c r="A32" s="292"/>
      <c r="B32" s="291" t="s">
        <v>303</v>
      </c>
      <c r="C32" s="288" t="str">
        <f>'PU Wise OWE'!$B$7</f>
        <v>Actuals upto Aug' 20</v>
      </c>
      <c r="D32" s="291" t="s">
        <v>173</v>
      </c>
      <c r="E32" s="291"/>
      <c r="F32" s="322" t="str">
        <f>'PU Wise OWE'!$B$5</f>
        <v xml:space="preserve">OBG(SL) 2021-22 </v>
      </c>
      <c r="G32" s="291" t="s">
        <v>310</v>
      </c>
      <c r="H32" s="291" t="s">
        <v>317</v>
      </c>
      <c r="I32" s="288" t="str">
        <f>'PU Wise OWE'!B8</f>
        <v>Actuals upto Aug' 21</v>
      </c>
      <c r="J32" s="291" t="s">
        <v>205</v>
      </c>
      <c r="K32" s="290" t="s">
        <v>207</v>
      </c>
      <c r="L32" s="290"/>
      <c r="M32" s="290" t="s">
        <v>147</v>
      </c>
      <c r="N32" s="290"/>
      <c r="O32" s="292" t="s">
        <v>315</v>
      </c>
      <c r="P32" s="330" t="s">
        <v>268</v>
      </c>
      <c r="Q32" s="166"/>
    </row>
    <row r="33" spans="1:18" ht="17.25" customHeight="1" x14ac:dyDescent="0.25">
      <c r="A33" s="292"/>
      <c r="B33" s="289"/>
      <c r="C33" s="289"/>
      <c r="D33" s="289"/>
      <c r="E33" s="289"/>
      <c r="F33" s="323"/>
      <c r="G33" s="289"/>
      <c r="H33" s="289"/>
      <c r="I33" s="289"/>
      <c r="J33" s="289"/>
      <c r="K33" s="79" t="s">
        <v>145</v>
      </c>
      <c r="L33" s="80" t="s">
        <v>146</v>
      </c>
      <c r="M33" s="79" t="s">
        <v>145</v>
      </c>
      <c r="N33" s="80" t="s">
        <v>146</v>
      </c>
      <c r="O33" s="292"/>
      <c r="P33" s="330"/>
      <c r="Q33" s="166"/>
    </row>
    <row r="34" spans="1:18" ht="15" customHeight="1" x14ac:dyDescent="0.25">
      <c r="A34" s="84" t="s">
        <v>181</v>
      </c>
      <c r="B34" s="107">
        <v>10.44</v>
      </c>
      <c r="C34" s="70">
        <f>ROUND(('PU Wise OWE'!$AE$128+'PU Wise OWE'!$AF$128)/10000,2)</f>
        <v>4.97</v>
      </c>
      <c r="D34" s="85">
        <f>C34/$C$7</f>
        <v>1.4506840398485685E-3</v>
      </c>
      <c r="E34" s="21"/>
      <c r="F34" s="22">
        <f>ROUND(('PU Wise OWE'!$AE$126+'PU Wise OWE'!$AF$126)/10000,2)</f>
        <v>9.56</v>
      </c>
      <c r="G34" s="24">
        <f t="shared" ref="G34:G37" si="14">F34/$F$7</f>
        <v>1.1558457260307097E-3</v>
      </c>
      <c r="H34" s="23">
        <f>ROUND(('PU Wise OWE'!$AE$127+'PU Wise OWE'!$AF$127)/10000,2)</f>
        <v>4.21</v>
      </c>
      <c r="I34" s="23">
        <f>ROUND(('PU Wise OWE'!$AE$129+'PU Wise OWE'!$AF$129)/10000,2)</f>
        <v>3.16</v>
      </c>
      <c r="J34" s="24">
        <f t="shared" ref="J34:J37" si="15">I34/$I$7</f>
        <v>8.2297024545868876E-4</v>
      </c>
      <c r="K34" s="22">
        <f t="shared" ref="K34" si="16">H34-I34</f>
        <v>1.0499999999999998</v>
      </c>
      <c r="L34" s="24">
        <f t="shared" ref="L34" si="17">K34/I34</f>
        <v>0.33227848101265817</v>
      </c>
      <c r="M34" s="22">
        <f>I34-C34</f>
        <v>-1.8099999999999996</v>
      </c>
      <c r="N34" s="52">
        <f>M34/C34</f>
        <v>-0.36418511066398385</v>
      </c>
      <c r="O34" s="52">
        <f t="shared" ref="O34:O37" si="18">I34/F34</f>
        <v>0.33054393305439328</v>
      </c>
      <c r="P34" s="331" t="s">
        <v>279</v>
      </c>
      <c r="Q34" s="164">
        <f>(I34/10)*12</f>
        <v>3.7919999999999998</v>
      </c>
      <c r="R34" s="68">
        <f>Q34-F34</f>
        <v>-5.7680000000000007</v>
      </c>
    </row>
    <row r="35" spans="1:18" ht="16.5" customHeight="1" x14ac:dyDescent="0.25">
      <c r="A35" s="84" t="s">
        <v>182</v>
      </c>
      <c r="B35" s="107">
        <v>21.76</v>
      </c>
      <c r="C35" s="70">
        <f>ROUND('PU Wise OWE'!$AG$128/10000,2)</f>
        <v>9.92</v>
      </c>
      <c r="D35" s="85">
        <f t="shared" ref="D35:D37" si="19">C35/$C$7</f>
        <v>2.8955303169613277E-3</v>
      </c>
      <c r="E35" s="21"/>
      <c r="F35" s="22">
        <f>ROUND('PU Wise OWE'!$AG$126/10000,2)</f>
        <v>7.15</v>
      </c>
      <c r="G35" s="24">
        <f t="shared" si="14"/>
        <v>8.6446620723008101E-4</v>
      </c>
      <c r="H35" s="23">
        <f>ROUND('PU Wise OWE'!$AG$127/10000,2)</f>
        <v>3.19</v>
      </c>
      <c r="I35" s="23">
        <f>ROUND('PU Wise OWE'!$AG$129/10000,2)</f>
        <v>8.14</v>
      </c>
      <c r="J35" s="24">
        <f t="shared" si="15"/>
        <v>2.1199296829220652E-3</v>
      </c>
      <c r="K35" s="22">
        <f t="shared" ref="K35:K37" si="20">H35-I35</f>
        <v>-4.9500000000000011</v>
      </c>
      <c r="L35" s="24">
        <f t="shared" ref="L35:L37" si="21">K35/I35</f>
        <v>-0.60810810810810823</v>
      </c>
      <c r="M35" s="22">
        <f>I35-C35</f>
        <v>-1.7799999999999994</v>
      </c>
      <c r="N35" s="52">
        <f>M35/C35</f>
        <v>-0.17943548387096767</v>
      </c>
      <c r="O35" s="52">
        <f t="shared" si="18"/>
        <v>1.1384615384615384</v>
      </c>
      <c r="P35" s="332"/>
      <c r="Q35" s="164">
        <f>(I35/10)*12+6</f>
        <v>15.768000000000001</v>
      </c>
      <c r="R35" s="168">
        <f>Q35-F35</f>
        <v>8.6180000000000003</v>
      </c>
    </row>
    <row r="36" spans="1:18" ht="15.75" customHeight="1" x14ac:dyDescent="0.25">
      <c r="A36" s="84" t="s">
        <v>183</v>
      </c>
      <c r="B36" s="107">
        <v>2.4700000000000002</v>
      </c>
      <c r="C36" s="70">
        <f>ROUND('PU Wise OWE'!$AJ$128/10000,2)</f>
        <v>1.1200000000000001</v>
      </c>
      <c r="D36" s="85">
        <f t="shared" si="19"/>
        <v>3.2691471320531125E-4</v>
      </c>
      <c r="E36" s="21"/>
      <c r="F36" s="22">
        <f>ROUND('PU Wise OWE'!$AJ$126/10000,2)</f>
        <v>2.23</v>
      </c>
      <c r="G36" s="24">
        <f t="shared" si="14"/>
        <v>2.6961673316406725E-4</v>
      </c>
      <c r="H36" s="23">
        <f>ROUND('PU Wise OWE'!$AJ$127/10000,2)</f>
        <v>0.98</v>
      </c>
      <c r="I36" s="23">
        <f>ROUND('PU Wise OWE'!$AJ$129/10000,2)</f>
        <v>0.88</v>
      </c>
      <c r="J36" s="24">
        <f t="shared" si="15"/>
        <v>2.2918158734292596E-4</v>
      </c>
      <c r="K36" s="22">
        <f t="shared" si="20"/>
        <v>9.9999999999999978E-2</v>
      </c>
      <c r="L36" s="24">
        <f t="shared" si="21"/>
        <v>0.1136363636363636</v>
      </c>
      <c r="M36" s="22">
        <f>I36-C36</f>
        <v>-0.2400000000000001</v>
      </c>
      <c r="N36" s="52">
        <f>M36/C36</f>
        <v>-0.21428571428571436</v>
      </c>
      <c r="O36" s="52">
        <f t="shared" si="18"/>
        <v>0.39461883408071752</v>
      </c>
      <c r="P36" s="332"/>
      <c r="Q36" s="164">
        <f>(I36/10)*12</f>
        <v>1.056</v>
      </c>
      <c r="R36" s="68">
        <f>Q36-F36</f>
        <v>-1.1739999999999999</v>
      </c>
    </row>
    <row r="37" spans="1:18" x14ac:dyDescent="0.25">
      <c r="A37" s="25" t="s">
        <v>149</v>
      </c>
      <c r="B37" s="26">
        <v>34.619999999999997</v>
      </c>
      <c r="C37" s="74">
        <f>SUM(C34:C36)</f>
        <v>16.010000000000002</v>
      </c>
      <c r="D37" s="86">
        <f t="shared" si="19"/>
        <v>4.6731290700152079E-3</v>
      </c>
      <c r="E37" s="26"/>
      <c r="F37" s="74">
        <f t="shared" ref="F37:I37" si="22">SUM(F34:F36)</f>
        <v>18.940000000000001</v>
      </c>
      <c r="G37" s="54">
        <f t="shared" si="14"/>
        <v>2.2899286664248581E-3</v>
      </c>
      <c r="H37" s="74">
        <f t="shared" si="22"/>
        <v>8.3800000000000008</v>
      </c>
      <c r="I37" s="74">
        <f t="shared" si="22"/>
        <v>12.180000000000001</v>
      </c>
      <c r="J37" s="54">
        <f t="shared" si="15"/>
        <v>3.1720815157236801E-3</v>
      </c>
      <c r="K37" s="26">
        <f t="shared" si="20"/>
        <v>-3.8000000000000007</v>
      </c>
      <c r="L37" s="54">
        <f t="shared" si="21"/>
        <v>-0.31198686371100165</v>
      </c>
      <c r="M37" s="26">
        <f>I37-C37</f>
        <v>-3.83</v>
      </c>
      <c r="N37" s="55">
        <f>M37/C37</f>
        <v>-0.2392254840724547</v>
      </c>
      <c r="O37" s="52">
        <f t="shared" si="18"/>
        <v>0.64308342133051744</v>
      </c>
      <c r="P37" s="333"/>
      <c r="Q37" s="74">
        <f>SUM(Q34:Q36)</f>
        <v>20.616000000000003</v>
      </c>
      <c r="R37" s="74">
        <f>SUM(R34:R36)</f>
        <v>1.6759999999999997</v>
      </c>
    </row>
    <row r="38" spans="1:18" x14ac:dyDescent="0.25">
      <c r="Q38" s="165"/>
    </row>
    <row r="39" spans="1:18" ht="15.75" thickBot="1" x14ac:dyDescent="0.3">
      <c r="A39" s="82"/>
      <c r="B39" s="82"/>
      <c r="C39" s="83"/>
      <c r="D39" s="82"/>
      <c r="M39" s="154" t="s">
        <v>150</v>
      </c>
      <c r="Q39" s="165"/>
    </row>
    <row r="40" spans="1:18" ht="15" customHeight="1" x14ac:dyDescent="0.25">
      <c r="A40" s="292" t="s">
        <v>164</v>
      </c>
      <c r="B40" s="291" t="s">
        <v>303</v>
      </c>
      <c r="C40" s="288" t="str">
        <f>'PU Wise OWE'!$B$7</f>
        <v>Actuals upto Aug' 20</v>
      </c>
      <c r="D40" s="291" t="s">
        <v>173</v>
      </c>
      <c r="E40" s="291"/>
      <c r="F40" s="322" t="str">
        <f>'PU Wise OWE'!$B$5</f>
        <v xml:space="preserve">OBG(SL) 2021-22 </v>
      </c>
      <c r="G40" s="291" t="s">
        <v>310</v>
      </c>
      <c r="H40" s="291" t="s">
        <v>317</v>
      </c>
      <c r="I40" s="288" t="str">
        <f>'PU Wise OWE'!B8</f>
        <v>Actuals upto Aug' 21</v>
      </c>
      <c r="J40" s="291" t="s">
        <v>205</v>
      </c>
      <c r="K40" s="290" t="s">
        <v>207</v>
      </c>
      <c r="L40" s="290"/>
      <c r="M40" s="290" t="s">
        <v>147</v>
      </c>
      <c r="N40" s="290"/>
      <c r="O40" s="292" t="s">
        <v>315</v>
      </c>
      <c r="P40" s="334" t="s">
        <v>268</v>
      </c>
      <c r="Q40" s="166"/>
    </row>
    <row r="41" spans="1:18" ht="30" x14ac:dyDescent="0.25">
      <c r="A41" s="292"/>
      <c r="B41" s="289"/>
      <c r="C41" s="289"/>
      <c r="D41" s="289"/>
      <c r="E41" s="289"/>
      <c r="F41" s="323"/>
      <c r="G41" s="289"/>
      <c r="H41" s="289"/>
      <c r="I41" s="289"/>
      <c r="J41" s="289"/>
      <c r="K41" s="79" t="s">
        <v>145</v>
      </c>
      <c r="L41" s="80" t="s">
        <v>146</v>
      </c>
      <c r="M41" s="79" t="s">
        <v>145</v>
      </c>
      <c r="N41" s="80" t="s">
        <v>146</v>
      </c>
      <c r="O41" s="292"/>
      <c r="P41" s="335"/>
      <c r="Q41" s="166"/>
    </row>
    <row r="42" spans="1:18" ht="15.75" x14ac:dyDescent="0.25">
      <c r="A42" s="27" t="s">
        <v>165</v>
      </c>
      <c r="B42" s="104">
        <v>273.47000000000003</v>
      </c>
      <c r="C42" s="70">
        <f>SUM(C43:C47)</f>
        <v>118.19</v>
      </c>
      <c r="D42" s="85">
        <f t="shared" ref="D42:D49" si="23">C42/$C$7</f>
        <v>3.4498258887264044E-2</v>
      </c>
      <c r="E42" s="97"/>
      <c r="F42" s="21">
        <f>SUM(F43:F47)</f>
        <v>213.87</v>
      </c>
      <c r="G42" s="24">
        <f t="shared" ref="G42:G49" si="24">F42/$F$7</f>
        <v>2.5857816467174465E-2</v>
      </c>
      <c r="H42" s="21">
        <f>SUM(H43:H47)</f>
        <v>94.100000000000009</v>
      </c>
      <c r="I42" s="21">
        <f>SUM(I43:I47)</f>
        <v>196.72</v>
      </c>
      <c r="J42" s="24">
        <f t="shared" ref="J42:J49" si="25">I42/$I$7</f>
        <v>5.1232502116023176E-2</v>
      </c>
      <c r="K42" s="22">
        <f>H42-I42</f>
        <v>-102.61999999999999</v>
      </c>
      <c r="L42" s="24">
        <f>K42/I42</f>
        <v>-0.52165514436762905</v>
      </c>
      <c r="M42" s="22">
        <f t="shared" ref="M42:M49" si="26">I42-C42</f>
        <v>78.53</v>
      </c>
      <c r="N42" s="52">
        <f t="shared" ref="N42:N49" si="27">M42/C42</f>
        <v>0.66443861578813779</v>
      </c>
      <c r="O42" s="52">
        <f t="shared" ref="O42:O49" si="28">I42/F42</f>
        <v>0.91981110020105672</v>
      </c>
      <c r="P42" s="158"/>
      <c r="Q42" s="164">
        <v>266.16000000000003</v>
      </c>
      <c r="R42" s="68">
        <f t="shared" ref="R42:R48" si="29">Q42-F42</f>
        <v>52.29000000000002</v>
      </c>
    </row>
    <row r="43" spans="1:18" ht="15.75" x14ac:dyDescent="0.25">
      <c r="A43" s="57" t="s">
        <v>161</v>
      </c>
      <c r="B43" s="21">
        <v>19.690000000000001</v>
      </c>
      <c r="C43" s="70">
        <f>ROUND('PU Wise OWE'!$AK$85/10000,2)</f>
        <v>5.18</v>
      </c>
      <c r="D43" s="85">
        <f t="shared" si="23"/>
        <v>1.5119805485745643E-3</v>
      </c>
      <c r="E43" s="97"/>
      <c r="F43" s="21">
        <f>ROUND('PU Wise OWE'!$AK$83/10000,2)</f>
        <v>14.25</v>
      </c>
      <c r="G43" s="24">
        <f t="shared" si="24"/>
        <v>1.7228871962277838E-3</v>
      </c>
      <c r="H43" s="21">
        <f>ROUND('PU Wise OWE'!$AK$84/10000,2)</f>
        <v>6.27</v>
      </c>
      <c r="I43" s="21">
        <f>ROUND('PU Wise OWE'!$AK$86/10000,2)</f>
        <v>20.89</v>
      </c>
      <c r="J43" s="24">
        <f t="shared" si="25"/>
        <v>5.4404583631746861E-3</v>
      </c>
      <c r="K43" s="22">
        <f t="shared" ref="K43:K49" si="30">H43-I43</f>
        <v>-14.620000000000001</v>
      </c>
      <c r="L43" s="24">
        <f t="shared" ref="L43:L49" si="31">K43/I43</f>
        <v>-0.69985639061752036</v>
      </c>
      <c r="M43" s="22">
        <f t="shared" si="26"/>
        <v>15.71</v>
      </c>
      <c r="N43" s="52">
        <f t="shared" si="27"/>
        <v>3.0328185328185331</v>
      </c>
      <c r="O43" s="52">
        <f t="shared" si="28"/>
        <v>1.4659649122807017</v>
      </c>
      <c r="P43" s="158"/>
      <c r="Q43" s="164">
        <f>(I43/10)*12</f>
        <v>25.067999999999998</v>
      </c>
      <c r="R43" s="68">
        <f t="shared" si="29"/>
        <v>10.817999999999998</v>
      </c>
    </row>
    <row r="44" spans="1:18" ht="15.75" x14ac:dyDescent="0.25">
      <c r="A44" s="58" t="s">
        <v>168</v>
      </c>
      <c r="B44" s="108">
        <v>114.4</v>
      </c>
      <c r="C44" s="70">
        <f>ROUND('PU Wise OWE'!$AR$85/10000,2)</f>
        <v>49.17</v>
      </c>
      <c r="D44" s="85">
        <f t="shared" si="23"/>
        <v>1.4352139685986743E-2</v>
      </c>
      <c r="E44" s="97"/>
      <c r="F44" s="21">
        <f>ROUND('PU Wise OWE'!$AR$83/10000,2)</f>
        <v>78.95</v>
      </c>
      <c r="G44" s="24">
        <f t="shared" si="24"/>
        <v>9.5453995889251599E-3</v>
      </c>
      <c r="H44" s="21">
        <f>ROUND('PU Wise OWE'!$AR$84/10000,2)</f>
        <v>34.74</v>
      </c>
      <c r="I44" s="21">
        <f>ROUND('PU Wise OWE'!$AR$86/10000,2)</f>
        <v>26.3</v>
      </c>
      <c r="J44" s="24">
        <f t="shared" si="25"/>
        <v>6.8494042580897196E-3</v>
      </c>
      <c r="K44" s="22">
        <f t="shared" si="30"/>
        <v>8.4400000000000013</v>
      </c>
      <c r="L44" s="24">
        <f t="shared" si="31"/>
        <v>0.32091254752851717</v>
      </c>
      <c r="M44" s="22">
        <f t="shared" si="26"/>
        <v>-22.87</v>
      </c>
      <c r="N44" s="52">
        <f t="shared" si="27"/>
        <v>-0.46512100874516982</v>
      </c>
      <c r="O44" s="52">
        <f t="shared" si="28"/>
        <v>0.33312222925902468</v>
      </c>
      <c r="P44" s="158"/>
      <c r="Q44" s="164">
        <f>(I44/10)*12</f>
        <v>31.56</v>
      </c>
      <c r="R44" s="68">
        <f t="shared" si="29"/>
        <v>-47.39</v>
      </c>
    </row>
    <row r="45" spans="1:18" ht="15.75" x14ac:dyDescent="0.25">
      <c r="A45" s="58" t="s">
        <v>169</v>
      </c>
      <c r="B45" s="108">
        <v>46.69</v>
      </c>
      <c r="C45" s="70">
        <f>ROUND('PU Wise OWE'!$AU$85/10000,2)</f>
        <v>18.61</v>
      </c>
      <c r="D45" s="85">
        <f t="shared" si="23"/>
        <v>5.432038225670394E-3</v>
      </c>
      <c r="E45" s="97"/>
      <c r="F45" s="21">
        <f>ROUND('PU Wise OWE'!$AU$83/10000,2)</f>
        <v>34.83</v>
      </c>
      <c r="G45" s="24">
        <f t="shared" si="24"/>
        <v>4.2110990206746463E-3</v>
      </c>
      <c r="H45" s="21">
        <f>ROUND('PU Wise OWE'!$AU$84/10000,2)</f>
        <v>15.32</v>
      </c>
      <c r="I45" s="21">
        <f>ROUND('PU Wise OWE'!$AU$86/10000,2)</f>
        <v>11.1</v>
      </c>
      <c r="J45" s="24">
        <f t="shared" si="25"/>
        <v>2.8908132039846342E-3</v>
      </c>
      <c r="K45" s="22">
        <f t="shared" si="30"/>
        <v>4.2200000000000006</v>
      </c>
      <c r="L45" s="24">
        <f t="shared" si="31"/>
        <v>0.38018018018018024</v>
      </c>
      <c r="M45" s="22">
        <f t="shared" si="26"/>
        <v>-7.51</v>
      </c>
      <c r="N45" s="52">
        <f t="shared" si="27"/>
        <v>-0.40354648038688878</v>
      </c>
      <c r="O45" s="52">
        <f t="shared" si="28"/>
        <v>0.31869078380706289</v>
      </c>
      <c r="P45" s="158"/>
      <c r="Q45" s="164">
        <f>(I45/10)*12</f>
        <v>13.319999999999999</v>
      </c>
      <c r="R45" s="68">
        <f t="shared" si="29"/>
        <v>-21.509999999999998</v>
      </c>
    </row>
    <row r="46" spans="1:18" ht="15.75" x14ac:dyDescent="0.25">
      <c r="A46" s="57" t="s">
        <v>166</v>
      </c>
      <c r="B46" s="21">
        <v>54.55</v>
      </c>
      <c r="C46" s="70">
        <f>ROUND('PU Wise OWE'!$AZ$85/10000,2)</f>
        <v>12.5</v>
      </c>
      <c r="D46" s="85">
        <f t="shared" si="23"/>
        <v>3.6486017098807054E-3</v>
      </c>
      <c r="E46" s="97"/>
      <c r="F46" s="21">
        <f>ROUND('PU Wise OWE'!$AZ$83/10000,2)</f>
        <v>31.73</v>
      </c>
      <c r="G46" s="24">
        <f t="shared" si="24"/>
        <v>3.8362954902671988E-3</v>
      </c>
      <c r="H46" s="21">
        <f>ROUND('PU Wise OWE'!$AZ$84/10000,2)</f>
        <v>13.96</v>
      </c>
      <c r="I46" s="21">
        <f>ROUND('PU Wise OWE'!$AZ$86/10000,2)</f>
        <v>47.51</v>
      </c>
      <c r="J46" s="24">
        <f t="shared" si="25"/>
        <v>1.2373201380298196E-2</v>
      </c>
      <c r="K46" s="22">
        <f t="shared" si="30"/>
        <v>-33.549999999999997</v>
      </c>
      <c r="L46" s="24">
        <f t="shared" si="31"/>
        <v>-0.70616712271100823</v>
      </c>
      <c r="M46" s="22">
        <f t="shared" si="26"/>
        <v>35.01</v>
      </c>
      <c r="N46" s="52">
        <f t="shared" si="27"/>
        <v>2.8007999999999997</v>
      </c>
      <c r="O46" s="52">
        <f t="shared" si="28"/>
        <v>1.4973211471793255</v>
      </c>
      <c r="P46" s="158"/>
      <c r="Q46" s="164">
        <f>(I46/10)*12</f>
        <v>57.011999999999993</v>
      </c>
      <c r="R46" s="168">
        <f t="shared" si="29"/>
        <v>25.281999999999993</v>
      </c>
    </row>
    <row r="47" spans="1:18" ht="15.75" x14ac:dyDescent="0.25">
      <c r="A47" s="58" t="s">
        <v>167</v>
      </c>
      <c r="B47" s="108">
        <v>38.14</v>
      </c>
      <c r="C47" s="70">
        <f>ROUND('PU Wise OWE'!$BA$85/10000,2)</f>
        <v>32.729999999999997</v>
      </c>
      <c r="D47" s="85">
        <f t="shared" si="23"/>
        <v>9.553498717151639E-3</v>
      </c>
      <c r="E47" s="97"/>
      <c r="F47" s="21">
        <f>ROUND('PU Wise OWE'!$BA$83/10000,2)</f>
        <v>54.11</v>
      </c>
      <c r="G47" s="24">
        <f t="shared" si="24"/>
        <v>6.5421351710796757E-3</v>
      </c>
      <c r="H47" s="21">
        <f>ROUND('PU Wise OWE'!$BA$84/10000,2)</f>
        <v>23.81</v>
      </c>
      <c r="I47" s="21">
        <f>ROUND('PU Wise OWE'!$BA$86/10000,2)</f>
        <v>90.92</v>
      </c>
      <c r="J47" s="24">
        <f t="shared" si="25"/>
        <v>2.3678624910475943E-2</v>
      </c>
      <c r="K47" s="22">
        <f t="shared" si="30"/>
        <v>-67.11</v>
      </c>
      <c r="L47" s="24">
        <f t="shared" si="31"/>
        <v>-0.73812142542894854</v>
      </c>
      <c r="M47" s="22">
        <f t="shared" si="26"/>
        <v>58.190000000000005</v>
      </c>
      <c r="N47" s="52">
        <f t="shared" si="27"/>
        <v>1.7778796211426828</v>
      </c>
      <c r="O47" s="52">
        <f t="shared" si="28"/>
        <v>1.680280909258917</v>
      </c>
      <c r="P47" s="158"/>
      <c r="Q47" s="164">
        <f>(I47/10)*12</f>
        <v>109.10400000000001</v>
      </c>
      <c r="R47" s="68">
        <f t="shared" si="29"/>
        <v>54.994000000000014</v>
      </c>
    </row>
    <row r="48" spans="1:18" ht="15.75" x14ac:dyDescent="0.25">
      <c r="A48" s="59" t="s">
        <v>170</v>
      </c>
      <c r="B48" s="103">
        <v>663.48</v>
      </c>
      <c r="C48" s="70">
        <f>ROUND('PU Wise OWE'!$AM$85/10000,2)-ROUND('PU Wise OWE'!$BJ$85/10000,2)</f>
        <v>256.52999999999997</v>
      </c>
      <c r="D48" s="85">
        <f t="shared" si="23"/>
        <v>7.4878063730855787E-2</v>
      </c>
      <c r="E48" s="97"/>
      <c r="F48" s="21">
        <f>ROUND('PU Wise OWE'!$AM$83/10000,2)-ROUND('PU Wise OWE'!$BJ$83/10000,2)</f>
        <v>637.38</v>
      </c>
      <c r="G48" s="24">
        <f t="shared" si="24"/>
        <v>7.7062023939064195E-2</v>
      </c>
      <c r="H48" s="21">
        <f>ROUND('PU Wise OWE'!$AM$84/10000,2)-ROUND('PU Wise OWE'!$BJ$84/10000,2)</f>
        <v>281.56</v>
      </c>
      <c r="I48" s="21">
        <f>ROUND('PU Wise OWE'!$AM$86/10000,2)-ROUND('PU Wise OWE'!$BJ$86/10000,2)</f>
        <v>379</v>
      </c>
      <c r="J48" s="24">
        <f t="shared" si="25"/>
        <v>9.870434273064653E-2</v>
      </c>
      <c r="K48" s="22">
        <f t="shared" si="30"/>
        <v>-97.44</v>
      </c>
      <c r="L48" s="24">
        <f t="shared" si="31"/>
        <v>-0.25709762532981528</v>
      </c>
      <c r="M48" s="22">
        <f t="shared" si="26"/>
        <v>122.47000000000003</v>
      </c>
      <c r="N48" s="52">
        <f t="shared" si="27"/>
        <v>0.47741004950688043</v>
      </c>
      <c r="O48" s="52">
        <f t="shared" si="28"/>
        <v>0.59462173271831564</v>
      </c>
      <c r="P48" s="158"/>
      <c r="Q48" s="164">
        <v>670.28</v>
      </c>
      <c r="R48" s="68">
        <f t="shared" si="29"/>
        <v>32.899999999999977</v>
      </c>
    </row>
    <row r="49" spans="1:18" s="36" customFormat="1" ht="15.75" thickBot="1" x14ac:dyDescent="0.3">
      <c r="A49" s="60" t="s">
        <v>130</v>
      </c>
      <c r="B49" s="74">
        <f>B42+B48</f>
        <v>936.95</v>
      </c>
      <c r="C49" s="74">
        <f>C42+C48</f>
        <v>374.71999999999997</v>
      </c>
      <c r="D49" s="86">
        <f t="shared" si="23"/>
        <v>0.10937632261811983</v>
      </c>
      <c r="E49" s="98"/>
      <c r="F49" s="26">
        <f>F42+F48</f>
        <v>851.25</v>
      </c>
      <c r="G49" s="54">
        <f t="shared" si="24"/>
        <v>0.10291984040623867</v>
      </c>
      <c r="H49" s="26">
        <f>H42+H48</f>
        <v>375.66</v>
      </c>
      <c r="I49" s="26">
        <f>I42+I48</f>
        <v>575.72</v>
      </c>
      <c r="J49" s="54">
        <f t="shared" si="25"/>
        <v>0.14993684484666972</v>
      </c>
      <c r="K49" s="26">
        <f t="shared" si="30"/>
        <v>-200.06</v>
      </c>
      <c r="L49" s="54">
        <f t="shared" si="31"/>
        <v>-0.34749531022024593</v>
      </c>
      <c r="M49" s="26">
        <f t="shared" si="26"/>
        <v>201.00000000000006</v>
      </c>
      <c r="N49" s="55">
        <f t="shared" si="27"/>
        <v>0.53640051238257913</v>
      </c>
      <c r="O49" s="52">
        <f t="shared" si="28"/>
        <v>0.6763230543318649</v>
      </c>
      <c r="P49" s="159"/>
      <c r="Q49" s="74">
        <f>Q42+Q48</f>
        <v>936.44</v>
      </c>
      <c r="R49" s="74">
        <f>R42+R48</f>
        <v>85.19</v>
      </c>
    </row>
    <row r="50" spans="1:18" x14ac:dyDescent="0.25">
      <c r="Q50" s="165"/>
    </row>
    <row r="51" spans="1:18" x14ac:dyDescent="0.25">
      <c r="A51" s="75" t="s">
        <v>184</v>
      </c>
      <c r="B51" s="75"/>
      <c r="Q51" s="165"/>
    </row>
    <row r="52" spans="1:18" ht="30" customHeight="1" x14ac:dyDescent="0.25">
      <c r="A52" s="81" t="s">
        <v>185</v>
      </c>
      <c r="B52" s="109">
        <v>188.88</v>
      </c>
      <c r="C52" s="70">
        <f>ROUND('PU Wise OWE'!$AK$128/10000,2)-C43</f>
        <v>63.82</v>
      </c>
      <c r="D52" s="85">
        <f t="shared" ref="D52:D56" si="32">C52/$C$7</f>
        <v>1.862830088996693E-2</v>
      </c>
      <c r="E52" s="305"/>
      <c r="F52" s="22">
        <f>ROUND('PU Wise OWE'!$AK$126/10000,2)-F43</f>
        <v>121.82</v>
      </c>
      <c r="G52" s="24">
        <f t="shared" ref="G52:G54" si="33">F52/$F$7</f>
        <v>1.4728569701366219E-2</v>
      </c>
      <c r="H52" s="22">
        <f>ROUND('PU Wise OWE'!$AK$127/10000,2)-H43</f>
        <v>53.599999999999994</v>
      </c>
      <c r="I52" s="22">
        <f>ROUND('PU Wise OWE'!$AK$129/10000,2)-I43</f>
        <v>54.94</v>
      </c>
      <c r="J52" s="24">
        <f t="shared" ref="J52:J56" si="34">I52/$I$7</f>
        <v>1.4308223191614037E-2</v>
      </c>
      <c r="K52" s="22">
        <f>H52-I52</f>
        <v>-1.3400000000000034</v>
      </c>
      <c r="L52" s="24">
        <f>K52/I52</f>
        <v>-2.4390243902439088E-2</v>
      </c>
      <c r="M52" s="22">
        <f>I52-C52</f>
        <v>-8.8800000000000026</v>
      </c>
      <c r="N52" s="52">
        <f>M52/C52</f>
        <v>-0.13914133500470077</v>
      </c>
      <c r="O52" s="52">
        <f t="shared" ref="O52:O54" si="35">I52/F52</f>
        <v>0.45099326875718271</v>
      </c>
      <c r="P52" s="157" t="s">
        <v>272</v>
      </c>
      <c r="Q52" s="164">
        <f>(I52/10)*12</f>
        <v>65.927999999999997</v>
      </c>
      <c r="R52" s="168">
        <f>Q52-F52</f>
        <v>-55.891999999999996</v>
      </c>
    </row>
    <row r="53" spans="1:18" ht="15.75" x14ac:dyDescent="0.25">
      <c r="A53" s="20" t="s">
        <v>162</v>
      </c>
      <c r="B53" s="105">
        <v>121.46</v>
      </c>
      <c r="C53" s="70">
        <f>ROUND('PU Wise OWE'!$AL$128/10000,2)</f>
        <v>49.04</v>
      </c>
      <c r="D53" s="85">
        <f t="shared" si="32"/>
        <v>1.4314194228203984E-2</v>
      </c>
      <c r="E53" s="306"/>
      <c r="F53" s="22">
        <f>ROUND('PU Wise OWE'!$AL$126/10000,2)</f>
        <v>109.58</v>
      </c>
      <c r="G53" s="24">
        <f t="shared" si="33"/>
        <v>1.3248700278080039E-2</v>
      </c>
      <c r="H53" s="23">
        <f>ROUND('PU Wise OWE'!$AL$127/10000,2)</f>
        <v>48.22</v>
      </c>
      <c r="I53" s="23">
        <f>ROUND('PU Wise OWE'!$AL$129/10000,2)</f>
        <v>35.659999999999997</v>
      </c>
      <c r="J53" s="24">
        <f t="shared" si="34"/>
        <v>9.2870629598281133E-3</v>
      </c>
      <c r="K53" s="22">
        <f t="shared" ref="K53:K54" si="36">H53-I53</f>
        <v>12.560000000000002</v>
      </c>
      <c r="L53" s="24">
        <f t="shared" ref="L53:L54" si="37">K53/I53</f>
        <v>0.35221536735838482</v>
      </c>
      <c r="M53" s="22">
        <f>I53-C53</f>
        <v>-13.380000000000003</v>
      </c>
      <c r="N53" s="52">
        <f>M53/C53</f>
        <v>-0.27283849918433939</v>
      </c>
      <c r="O53" s="52">
        <f t="shared" si="35"/>
        <v>0.32542434750866944</v>
      </c>
      <c r="P53" s="156" t="s">
        <v>273</v>
      </c>
      <c r="Q53" s="164">
        <f>(I53/10)*12</f>
        <v>42.792000000000002</v>
      </c>
      <c r="R53" s="68">
        <f>Q53-F53</f>
        <v>-66.787999999999997</v>
      </c>
    </row>
    <row r="54" spans="1:18" s="36" customFormat="1" x14ac:dyDescent="0.25">
      <c r="A54" s="25" t="s">
        <v>130</v>
      </c>
      <c r="B54" s="26">
        <f>SUM(B52:B53)</f>
        <v>310.33999999999997</v>
      </c>
      <c r="C54" s="74">
        <f>SUM(C52:C53)</f>
        <v>112.86</v>
      </c>
      <c r="D54" s="86">
        <f t="shared" si="32"/>
        <v>3.2942495118170913E-2</v>
      </c>
      <c r="E54" s="307"/>
      <c r="F54" s="74">
        <f t="shared" ref="F54:I54" si="38">SUM(F52:F53)</f>
        <v>231.39999999999998</v>
      </c>
      <c r="G54" s="54">
        <f t="shared" si="33"/>
        <v>2.7977269979446256E-2</v>
      </c>
      <c r="H54" s="74">
        <f t="shared" si="38"/>
        <v>101.82</v>
      </c>
      <c r="I54" s="74">
        <f t="shared" si="38"/>
        <v>90.6</v>
      </c>
      <c r="J54" s="54">
        <f t="shared" si="34"/>
        <v>2.3595286151442151E-2</v>
      </c>
      <c r="K54" s="26">
        <f t="shared" si="36"/>
        <v>11.219999999999999</v>
      </c>
      <c r="L54" s="54">
        <f t="shared" si="37"/>
        <v>0.123841059602649</v>
      </c>
      <c r="M54" s="26">
        <f>I54-C54</f>
        <v>-22.260000000000005</v>
      </c>
      <c r="N54" s="102">
        <f>M54/C54</f>
        <v>-0.19723551302498676</v>
      </c>
      <c r="O54" s="52">
        <f t="shared" si="35"/>
        <v>0.39152981849611063</v>
      </c>
      <c r="P54" s="155"/>
      <c r="Q54" s="74">
        <f>SUM(Q52:Q53)</f>
        <v>108.72</v>
      </c>
      <c r="R54" s="74">
        <f>SUM(R52:R53)</f>
        <v>-122.67999999999999</v>
      </c>
    </row>
    <row r="55" spans="1:18" x14ac:dyDescent="0.25">
      <c r="Q55" s="165"/>
    </row>
    <row r="56" spans="1:18" s="36" customFormat="1" ht="38.450000000000003" customHeight="1" x14ac:dyDescent="0.25">
      <c r="A56" s="78" t="s">
        <v>163</v>
      </c>
      <c r="B56" s="110">
        <v>348.19</v>
      </c>
      <c r="C56" s="71">
        <f>ROUND('PU Wise OWE'!$AO$128/10000,2)</f>
        <v>151.16</v>
      </c>
      <c r="D56" s="86">
        <f t="shared" si="32"/>
        <v>4.4121810757245396E-2</v>
      </c>
      <c r="E56" s="53"/>
      <c r="F56" s="26">
        <f>ROUND('PU Wise OWE'!$AO$126/10000,2)</f>
        <v>304.54000000000002</v>
      </c>
      <c r="G56" s="54">
        <f t="shared" ref="G56" si="39">F56/$F$7</f>
        <v>3.6820215209769074E-2</v>
      </c>
      <c r="H56" s="25">
        <f>ROUND('PU Wise OWE'!$AO$127/10000,2)</f>
        <v>134</v>
      </c>
      <c r="I56" s="25">
        <f>ROUND('PU Wise OWE'!$AO$129/10000,2)</f>
        <v>141.69</v>
      </c>
      <c r="J56" s="54">
        <f t="shared" si="34"/>
        <v>3.690083989843089E-2</v>
      </c>
      <c r="K56" s="26">
        <f>H56-I56</f>
        <v>-7.6899999999999977</v>
      </c>
      <c r="L56" s="54">
        <f>K56/I56</f>
        <v>-5.4273413790669758E-2</v>
      </c>
      <c r="M56" s="26">
        <f>I56-C56</f>
        <v>-9.4699999999999989</v>
      </c>
      <c r="N56" s="55">
        <f>M56/C56</f>
        <v>-6.2648848901825871E-2</v>
      </c>
      <c r="O56" s="52">
        <f t="shared" ref="O56" si="40">I56/F56</f>
        <v>0.46525907926709131</v>
      </c>
      <c r="P56" s="157" t="s">
        <v>286</v>
      </c>
      <c r="Q56" s="164">
        <f>(I56-26.18)/10*2+I56</f>
        <v>164.792</v>
      </c>
      <c r="R56" s="168">
        <f>Q56-F56</f>
        <v>-139.74800000000002</v>
      </c>
    </row>
    <row r="57" spans="1:18" s="36" customFormat="1" x14ac:dyDescent="0.25">
      <c r="A57" s="116"/>
      <c r="B57" s="117"/>
      <c r="C57" s="113"/>
      <c r="D57" s="114"/>
      <c r="E57" s="115"/>
      <c r="F57" s="91"/>
      <c r="G57" s="90"/>
      <c r="H57" s="90"/>
      <c r="I57" s="88"/>
      <c r="J57" s="90"/>
      <c r="K57" s="90"/>
      <c r="L57" s="90"/>
      <c r="M57" s="26"/>
      <c r="N57" s="55"/>
      <c r="O57" s="100"/>
      <c r="P57" s="160"/>
      <c r="Q57" s="167"/>
    </row>
    <row r="58" spans="1:18" x14ac:dyDescent="0.25">
      <c r="B58" s="291" t="s">
        <v>303</v>
      </c>
      <c r="C58" s="288" t="str">
        <f>'PU Wise OWE'!$B$7</f>
        <v>Actuals upto Aug' 20</v>
      </c>
      <c r="D58" s="291" t="s">
        <v>173</v>
      </c>
      <c r="E58" s="291"/>
      <c r="F58" s="322" t="str">
        <f>'PU Wise OWE'!$B$5</f>
        <v xml:space="preserve">OBG(SL) 2021-22 </v>
      </c>
      <c r="G58" s="291" t="s">
        <v>310</v>
      </c>
      <c r="H58" s="291" t="s">
        <v>317</v>
      </c>
      <c r="I58" s="288" t="str">
        <f>'PU Wise OWE'!B8</f>
        <v>Actuals upto Aug' 21</v>
      </c>
      <c r="J58" s="291" t="s">
        <v>205</v>
      </c>
      <c r="K58" s="290" t="s">
        <v>207</v>
      </c>
      <c r="L58" s="290"/>
      <c r="M58" s="290" t="s">
        <v>147</v>
      </c>
      <c r="N58" s="290"/>
      <c r="O58" s="292" t="s">
        <v>315</v>
      </c>
      <c r="P58" s="330" t="s">
        <v>268</v>
      </c>
      <c r="Q58" s="166"/>
    </row>
    <row r="59" spans="1:18" ht="30" x14ac:dyDescent="0.25">
      <c r="A59" s="75" t="s">
        <v>186</v>
      </c>
      <c r="B59" s="289"/>
      <c r="C59" s="289"/>
      <c r="D59" s="289"/>
      <c r="E59" s="289"/>
      <c r="F59" s="323"/>
      <c r="G59" s="289"/>
      <c r="H59" s="289"/>
      <c r="I59" s="289"/>
      <c r="J59" s="289"/>
      <c r="K59" s="79" t="s">
        <v>145</v>
      </c>
      <c r="L59" s="80" t="s">
        <v>146</v>
      </c>
      <c r="M59" s="79" t="s">
        <v>145</v>
      </c>
      <c r="N59" s="80" t="s">
        <v>146</v>
      </c>
      <c r="O59" s="292"/>
      <c r="P59" s="330"/>
      <c r="Q59" s="166"/>
    </row>
    <row r="60" spans="1:18" ht="15.75" x14ac:dyDescent="0.25">
      <c r="A60" s="23" t="s">
        <v>187</v>
      </c>
      <c r="B60" s="22">
        <v>80.099999999999994</v>
      </c>
      <c r="C60" s="70">
        <f>ROUND('PU Wise OWE'!$AM$63/10000,2)</f>
        <v>32.619999999999997</v>
      </c>
      <c r="D60" s="85">
        <f t="shared" ref="D60:D64" si="41">C60/$C$7</f>
        <v>9.5213910221046884E-3</v>
      </c>
      <c r="E60" s="302"/>
      <c r="F60" s="22">
        <f>ROUND('PU Wise OWE'!$AM$61/10000,2)</f>
        <v>67.81</v>
      </c>
      <c r="G60" s="24">
        <f t="shared" ref="G60:G64" si="42">F60/$F$7</f>
        <v>8.1985249667512992E-3</v>
      </c>
      <c r="H60" s="23">
        <f>ROUND('PU Wise OWE'!$AM$62/10000,2)</f>
        <v>29.83</v>
      </c>
      <c r="I60" s="23">
        <f>ROUND('PU Wise OWE'!$AM$64/10000,2)</f>
        <v>36.61</v>
      </c>
      <c r="J60" s="94">
        <f t="shared" ref="J60:J64" si="43">I60/$I$7</f>
        <v>9.5344749007096816E-3</v>
      </c>
      <c r="K60" s="22">
        <f>H60-I60</f>
        <v>-6.7800000000000011</v>
      </c>
      <c r="L60" s="24">
        <f>K60/I60</f>
        <v>-0.18519530183010111</v>
      </c>
      <c r="M60" s="22">
        <f>I60-C60</f>
        <v>3.990000000000002</v>
      </c>
      <c r="N60" s="52">
        <f>M60/C60</f>
        <v>0.12231759656652368</v>
      </c>
      <c r="O60" s="52">
        <f t="shared" ref="O60:O64" si="44">I60/F60</f>
        <v>0.5398908715528683</v>
      </c>
      <c r="P60" s="157"/>
      <c r="Q60" s="164">
        <f>(I60/10)*12</f>
        <v>43.932000000000002</v>
      </c>
      <c r="R60" s="68">
        <f>Q60-F60</f>
        <v>-23.878</v>
      </c>
    </row>
    <row r="61" spans="1:18" ht="46.15" customHeight="1" x14ac:dyDescent="0.25">
      <c r="A61" s="23" t="s">
        <v>188</v>
      </c>
      <c r="B61" s="22">
        <v>21.26</v>
      </c>
      <c r="C61" s="70">
        <f>ROUND('PU Wise OWE'!$AM$96/10000,2)</f>
        <v>7.44</v>
      </c>
      <c r="D61" s="85">
        <f t="shared" si="41"/>
        <v>2.1716477377209959E-3</v>
      </c>
      <c r="E61" s="303"/>
      <c r="F61" s="22">
        <f>ROUND('PU Wise OWE'!$AM$94/10000,2)</f>
        <v>16.309999999999999</v>
      </c>
      <c r="G61" s="24">
        <f t="shared" si="42"/>
        <v>1.9719501874017652E-3</v>
      </c>
      <c r="H61" s="23">
        <f>ROUND('PU Wise OWE'!$AM$95/10000,2)</f>
        <v>7.18</v>
      </c>
      <c r="I61" s="23">
        <f>ROUND('PU Wise OWE'!$AM$97/10000,2)</f>
        <v>7.02</v>
      </c>
      <c r="J61" s="94">
        <f t="shared" si="43"/>
        <v>1.8282440263037956E-3</v>
      </c>
      <c r="K61" s="22">
        <f t="shared" ref="K61:K64" si="45">H61-I61</f>
        <v>0.16000000000000014</v>
      </c>
      <c r="L61" s="24">
        <f t="shared" ref="L61:L64" si="46">K61/I61</f>
        <v>2.2792022792022814E-2</v>
      </c>
      <c r="M61" s="22">
        <f>I61-C61</f>
        <v>-0.42000000000000082</v>
      </c>
      <c r="N61" s="52">
        <f>M61/C61</f>
        <v>-5.6451612903225916E-2</v>
      </c>
      <c r="O61" s="52">
        <f t="shared" si="44"/>
        <v>0.43041079092581241</v>
      </c>
      <c r="P61" s="157" t="s">
        <v>277</v>
      </c>
      <c r="Q61" s="164">
        <f>(I61/10)*12</f>
        <v>8.4239999999999995</v>
      </c>
      <c r="R61" s="68">
        <f>Q61-F61</f>
        <v>-7.8859999999999992</v>
      </c>
    </row>
    <row r="62" spans="1:18" ht="43.15" customHeight="1" x14ac:dyDescent="0.25">
      <c r="A62" s="23" t="s">
        <v>189</v>
      </c>
      <c r="B62" s="22">
        <v>9.89</v>
      </c>
      <c r="C62" s="70">
        <f>ROUND('PU Wise OWE'!$AN$18/10000,2)</f>
        <v>6.38</v>
      </c>
      <c r="D62" s="85">
        <f t="shared" si="41"/>
        <v>1.8622463127231121E-3</v>
      </c>
      <c r="E62" s="303"/>
      <c r="F62" s="22">
        <f>ROUND('PU Wise OWE'!$AN$16/10000,2)</f>
        <v>10.1</v>
      </c>
      <c r="G62" s="24">
        <f>F62/$F$7</f>
        <v>1.2211340829403942E-3</v>
      </c>
      <c r="H62" s="23">
        <f>ROUND('PU Wise OWE'!$AN$17/10000,2)</f>
        <v>4.45</v>
      </c>
      <c r="I62" s="23">
        <f>ROUND('PU Wise OWE'!$AN$19/10000,2)</f>
        <v>7.54</v>
      </c>
      <c r="J62" s="94">
        <f t="shared" si="43"/>
        <v>1.9636695097337066E-3</v>
      </c>
      <c r="K62" s="22">
        <f t="shared" si="45"/>
        <v>-3.09</v>
      </c>
      <c r="L62" s="24">
        <f t="shared" si="46"/>
        <v>-0.40981432360742703</v>
      </c>
      <c r="M62" s="22">
        <f>I62-C62</f>
        <v>1.1600000000000001</v>
      </c>
      <c r="N62" s="52">
        <f>M62/C62</f>
        <v>0.18181818181818185</v>
      </c>
      <c r="O62" s="52">
        <f t="shared" si="44"/>
        <v>0.74653465346534653</v>
      </c>
      <c r="P62" s="157" t="s">
        <v>274</v>
      </c>
      <c r="Q62" s="164">
        <f>(I62/10)*12</f>
        <v>9.048</v>
      </c>
      <c r="R62" s="68">
        <f>Q62-F62</f>
        <v>-1.0519999999999996</v>
      </c>
    </row>
    <row r="63" spans="1:18" ht="15.75" x14ac:dyDescent="0.25">
      <c r="A63" s="23" t="s">
        <v>190</v>
      </c>
      <c r="B63" s="22">
        <v>1.64</v>
      </c>
      <c r="C63" s="70">
        <f>ROUND('PU Wise OWE'!$AN$63/10000,2)</f>
        <v>0.48</v>
      </c>
      <c r="D63" s="85">
        <f t="shared" si="41"/>
        <v>1.4010630565941908E-4</v>
      </c>
      <c r="E63" s="303"/>
      <c r="F63" s="22">
        <f>ROUND('PU Wise OWE'!$AN$61/10000,2)</f>
        <v>1.46</v>
      </c>
      <c r="G63" s="24">
        <f>F63/$F$7</f>
        <v>1.7652037238544312E-4</v>
      </c>
      <c r="H63" s="23">
        <f>ROUND('PU Wise OWE'!$AN$62/10000,2)</f>
        <v>0.64</v>
      </c>
      <c r="I63" s="23">
        <f>ROUND('PU Wise OWE'!$AN$64/10000,2)</f>
        <v>1.63</v>
      </c>
      <c r="J63" s="94">
        <f t="shared" si="43"/>
        <v>4.245068038283742E-4</v>
      </c>
      <c r="K63" s="22">
        <f t="shared" si="45"/>
        <v>-0.98999999999999988</v>
      </c>
      <c r="L63" s="24">
        <f t="shared" si="46"/>
        <v>-0.60736196319018398</v>
      </c>
      <c r="M63" s="22">
        <f>I63-C63</f>
        <v>1.1499999999999999</v>
      </c>
      <c r="N63" s="52">
        <f>M63/C63</f>
        <v>2.395833333333333</v>
      </c>
      <c r="O63" s="52">
        <f t="shared" si="44"/>
        <v>1.1164383561643836</v>
      </c>
      <c r="P63" s="156"/>
      <c r="Q63" s="164">
        <f>(I63/10)*12</f>
        <v>1.9559999999999997</v>
      </c>
      <c r="R63" s="68">
        <f>Q63-F63</f>
        <v>0.49599999999999977</v>
      </c>
    </row>
    <row r="64" spans="1:18" s="36" customFormat="1" x14ac:dyDescent="0.25">
      <c r="A64" s="25" t="s">
        <v>130</v>
      </c>
      <c r="B64" s="26">
        <f>SUM(B60:B63)</f>
        <v>112.89</v>
      </c>
      <c r="C64" s="74">
        <f>SUM(C60:C63)</f>
        <v>46.919999999999995</v>
      </c>
      <c r="D64" s="86">
        <f t="shared" si="41"/>
        <v>1.3695391378208214E-2</v>
      </c>
      <c r="E64" s="304"/>
      <c r="F64" s="26">
        <f>SUM(F60:F63)</f>
        <v>95.679999999999993</v>
      </c>
      <c r="G64" s="54">
        <f t="shared" si="42"/>
        <v>1.1568129609478901E-2</v>
      </c>
      <c r="H64" s="26">
        <f>SUM(H60:H63)</f>
        <v>42.1</v>
      </c>
      <c r="I64" s="26">
        <f>SUM(I60:I63)</f>
        <v>52.8</v>
      </c>
      <c r="J64" s="54">
        <f t="shared" si="43"/>
        <v>1.3750895240575557E-2</v>
      </c>
      <c r="K64" s="26">
        <f t="shared" si="45"/>
        <v>-10.699999999999996</v>
      </c>
      <c r="L64" s="54">
        <f t="shared" si="46"/>
        <v>-0.20265151515151508</v>
      </c>
      <c r="M64" s="26">
        <f>I64-C64</f>
        <v>5.8800000000000026</v>
      </c>
      <c r="N64" s="55">
        <f>M64/C64</f>
        <v>0.12531969309462923</v>
      </c>
      <c r="O64" s="52">
        <f t="shared" si="44"/>
        <v>0.55183946488294311</v>
      </c>
      <c r="P64" s="155"/>
      <c r="Q64" s="74">
        <f>SUM(Q60:Q63)</f>
        <v>63.360000000000007</v>
      </c>
      <c r="R64" s="74">
        <f>SUM(R60:R63)</f>
        <v>-32.32</v>
      </c>
    </row>
    <row r="65" spans="1:18" x14ac:dyDescent="0.25">
      <c r="Q65" s="165"/>
    </row>
    <row r="66" spans="1:18" x14ac:dyDescent="0.25">
      <c r="A66" s="75" t="s">
        <v>191</v>
      </c>
      <c r="B66" s="75"/>
      <c r="Q66" s="165"/>
    </row>
    <row r="67" spans="1:18" ht="27.6" customHeight="1" x14ac:dyDescent="0.25">
      <c r="A67" s="23" t="s">
        <v>192</v>
      </c>
      <c r="B67" s="22">
        <v>1117.51</v>
      </c>
      <c r="C67" s="70">
        <f>ROUND('PU Wise OWE'!$AP$74/10000,2)</f>
        <v>679.64</v>
      </c>
      <c r="D67" s="85">
        <f t="shared" ref="D67:D69" si="47">C67/$C$7</f>
        <v>0.19837885328826582</v>
      </c>
      <c r="E67" s="23"/>
      <c r="F67" s="22">
        <f>ROUND('PU Wise OWE'!$AP$72/10000,2)</f>
        <v>1543.31</v>
      </c>
      <c r="G67" s="24">
        <f t="shared" ref="G67:G69" si="48">F67/$F$7</f>
        <v>0.18659291500423164</v>
      </c>
      <c r="H67" s="23">
        <f>ROUND('PU Wise OWE'!$AP$73/10000,2)</f>
        <v>719.64</v>
      </c>
      <c r="I67" s="23">
        <f>ROUND('PU Wise OWE'!$AP$75/10000,2)</f>
        <v>698.64</v>
      </c>
      <c r="J67" s="94">
        <f t="shared" ref="J67:J69" si="49">I67/$I$7</f>
        <v>0.18194934566052476</v>
      </c>
      <c r="K67" s="22">
        <f>H67-I67</f>
        <v>21</v>
      </c>
      <c r="L67" s="24">
        <f>K67/I67</f>
        <v>3.0058399175541053E-2</v>
      </c>
      <c r="M67" s="22">
        <f>I67-C67</f>
        <v>19</v>
      </c>
      <c r="N67" s="52">
        <f>M67/C67</f>
        <v>2.795597669354364E-2</v>
      </c>
      <c r="O67" s="52">
        <f t="shared" ref="O67:O68" si="50">I67/F67</f>
        <v>0.45268934951500345</v>
      </c>
      <c r="P67" s="157" t="s">
        <v>278</v>
      </c>
      <c r="Q67" s="164">
        <f>(I67-256.76-544.78)/10*2+I67</f>
        <v>678.06</v>
      </c>
      <c r="R67" s="68">
        <f>Q67-F67</f>
        <v>-865.25</v>
      </c>
    </row>
    <row r="68" spans="1:18" ht="15.75" x14ac:dyDescent="0.25">
      <c r="A68" s="87" t="s">
        <v>193</v>
      </c>
      <c r="B68" s="111">
        <v>38.520000000000003</v>
      </c>
      <c r="C68" s="70">
        <f>ROUND('PU Wise OWE'!$AP$128/10000,2)-C67</f>
        <v>21.690000000000055</v>
      </c>
      <c r="D68" s="85">
        <f t="shared" si="47"/>
        <v>6.3310536869850163E-3</v>
      </c>
      <c r="E68" s="23"/>
      <c r="F68" s="22">
        <f>ROUND('PU Wise OWE'!$AP$126/10000,2)-F67</f>
        <v>35.230000000000018</v>
      </c>
      <c r="G68" s="24">
        <f t="shared" si="48"/>
        <v>4.2594607665336738E-3</v>
      </c>
      <c r="H68" s="23">
        <f>ROUND('PU Wise OWE'!$AP$127/10000,2)-H67</f>
        <v>15.509999999999991</v>
      </c>
      <c r="I68" s="23">
        <f>ROUND('PU Wise OWE'!$AP$129/10000,2)-I67</f>
        <v>85.639999999999986</v>
      </c>
      <c r="J68" s="94">
        <f t="shared" si="49"/>
        <v>2.2303535386418383E-2</v>
      </c>
      <c r="K68" s="22">
        <f t="shared" ref="K68:K69" si="51">H68-I68</f>
        <v>-70.13</v>
      </c>
      <c r="L68" s="24">
        <f t="shared" ref="L68:L69" si="52">K68/I68</f>
        <v>-0.81889304063521728</v>
      </c>
      <c r="M68" s="22">
        <f>I68-C68</f>
        <v>63.949999999999932</v>
      </c>
      <c r="N68" s="52">
        <f>M68/C68</f>
        <v>2.948363301060386</v>
      </c>
      <c r="O68" s="52">
        <f t="shared" si="50"/>
        <v>2.4308827703661637</v>
      </c>
      <c r="P68" s="156"/>
      <c r="Q68" s="164">
        <f>(I68/10)*12</f>
        <v>102.76799999999997</v>
      </c>
      <c r="R68" s="68">
        <f>Q68-F68</f>
        <v>67.537999999999954</v>
      </c>
    </row>
    <row r="69" spans="1:18" s="36" customFormat="1" x14ac:dyDescent="0.25">
      <c r="A69" s="25" t="s">
        <v>130</v>
      </c>
      <c r="B69" s="26">
        <f>SUM(B67:B68)</f>
        <v>1156.03</v>
      </c>
      <c r="C69" s="74">
        <f>SUM(C67:C68)</f>
        <v>701.33</v>
      </c>
      <c r="D69" s="86">
        <f t="shared" si="47"/>
        <v>0.20470990697525082</v>
      </c>
      <c r="E69" s="88"/>
      <c r="F69" s="89">
        <f>SUM(F67:F68)</f>
        <v>1578.54</v>
      </c>
      <c r="G69" s="90">
        <f t="shared" si="48"/>
        <v>0.19085237577076533</v>
      </c>
      <c r="H69" s="89">
        <f>SUM(H67:H68)</f>
        <v>735.15</v>
      </c>
      <c r="I69" s="89">
        <f>SUM(I67:I68)</f>
        <v>784.28</v>
      </c>
      <c r="J69" s="54">
        <f t="shared" si="49"/>
        <v>0.20425288104694314</v>
      </c>
      <c r="K69" s="22">
        <f t="shared" si="51"/>
        <v>-49.129999999999995</v>
      </c>
      <c r="L69" s="24">
        <f t="shared" si="52"/>
        <v>-6.2643443668077725E-2</v>
      </c>
      <c r="M69" s="91">
        <f>I69-C69</f>
        <v>82.949999999999932</v>
      </c>
      <c r="N69" s="101">
        <f>M69/C69</f>
        <v>0.11827527697374977</v>
      </c>
      <c r="P69" s="161"/>
      <c r="Q69" s="74">
        <f>SUM(Q67:Q68)</f>
        <v>780.82799999999997</v>
      </c>
      <c r="R69" s="74">
        <f>SUM(R67:R68)</f>
        <v>-797.71199999999999</v>
      </c>
    </row>
    <row r="70" spans="1:18" x14ac:dyDescent="0.25">
      <c r="E70" s="31"/>
      <c r="F70" s="34"/>
      <c r="G70" s="34"/>
      <c r="H70" s="34"/>
      <c r="I70" s="31"/>
      <c r="J70" s="31"/>
      <c r="K70" s="31"/>
      <c r="L70" s="31"/>
      <c r="M70" s="34"/>
      <c r="N70" s="92"/>
      <c r="Q70" s="165"/>
    </row>
    <row r="71" spans="1:18" x14ac:dyDescent="0.25">
      <c r="A71" s="75" t="s">
        <v>195</v>
      </c>
      <c r="B71" s="75"/>
      <c r="E71" s="31"/>
      <c r="F71" s="34"/>
      <c r="G71" s="34"/>
      <c r="H71" s="34"/>
      <c r="I71" s="31"/>
      <c r="J71" s="31"/>
      <c r="K71" s="31"/>
      <c r="L71" s="31"/>
      <c r="M71" s="34"/>
      <c r="N71" s="92"/>
      <c r="Q71" s="165"/>
    </row>
    <row r="72" spans="1:18" ht="38.450000000000003" customHeight="1" x14ac:dyDescent="0.25">
      <c r="A72" s="23" t="s">
        <v>194</v>
      </c>
      <c r="B72" s="22">
        <v>12.31</v>
      </c>
      <c r="C72" s="70">
        <f>ROUND('PU Wise OWE'!$AQ$30/10000,2)+ROUND('PU Wise OWE'!$BB$30/10000,2)</f>
        <v>8.84</v>
      </c>
      <c r="D72" s="85">
        <f t="shared" ref="D72:D74" si="53">C72/$C$7</f>
        <v>2.5802911292276349E-3</v>
      </c>
      <c r="E72" s="23"/>
      <c r="F72" s="70">
        <f>ROUND('PU Wise OWE'!$AQ$28/10000,2)+ROUND('PU Wise OWE'!$BB$28/10000,2)</f>
        <v>11.17</v>
      </c>
      <c r="G72" s="24">
        <f t="shared" ref="G72:G74" si="54">F72/$F$7</f>
        <v>1.3505017531132873E-3</v>
      </c>
      <c r="H72" s="70">
        <f>ROUND('PU Wise OWE'!$AQ$29/10000,2)+ROUND('PU Wise OWE'!$BB$29/10000,2)</f>
        <v>4.91</v>
      </c>
      <c r="I72" s="70">
        <f>ROUND('PU Wise OWE'!$AQ$31/10000,2)+ROUND('PU Wise OWE'!$BB$31/10000,2)</f>
        <v>11.41</v>
      </c>
      <c r="J72" s="94">
        <f t="shared" ref="J72:J74" si="55">I72/$I$7</f>
        <v>2.9715476267986197E-3</v>
      </c>
      <c r="K72" s="22">
        <f>H72-I72</f>
        <v>-6.5</v>
      </c>
      <c r="L72" s="24">
        <f>K72/I72</f>
        <v>-0.56967572304995617</v>
      </c>
      <c r="M72" s="22">
        <f>I72-C72</f>
        <v>2.5700000000000003</v>
      </c>
      <c r="N72" s="52">
        <f>M72/C72</f>
        <v>0.29072398190045251</v>
      </c>
      <c r="O72" s="52">
        <f t="shared" ref="O72:O73" si="56">I72/F72</f>
        <v>1.0214861235452104</v>
      </c>
      <c r="P72" s="157" t="s">
        <v>289</v>
      </c>
      <c r="Q72" s="164">
        <f>(I72/10)*12</f>
        <v>13.692</v>
      </c>
      <c r="R72" s="68">
        <f>Q72-F72</f>
        <v>2.5220000000000002</v>
      </c>
    </row>
    <row r="73" spans="1:18" ht="52.9" customHeight="1" x14ac:dyDescent="0.25">
      <c r="A73" s="23" t="s">
        <v>196</v>
      </c>
      <c r="B73" s="22">
        <v>114.52</v>
      </c>
      <c r="C73" s="70">
        <f>ROUND('PU Wise OWE'!$AQ$41/10000,2)+ROUND('PU Wise OWE'!$BB$41/10000,2)</f>
        <v>28.400000000000002</v>
      </c>
      <c r="D73" s="85">
        <f t="shared" si="53"/>
        <v>8.2896230848489641E-3</v>
      </c>
      <c r="E73" s="23"/>
      <c r="F73" s="70">
        <f>ROUND('PU Wise OWE'!$AQ$39/10000,2)+ROUND('PU Wise OWE'!$BB$39/10000,2)</f>
        <v>79.58</v>
      </c>
      <c r="G73" s="24">
        <f t="shared" si="54"/>
        <v>9.6215693386531246E-3</v>
      </c>
      <c r="H73" s="70">
        <f>ROUND('PU Wise OWE'!$AQ$40/10000,2)+ROUND('PU Wise OWE'!$BB$40/10000,2)</f>
        <v>35.01</v>
      </c>
      <c r="I73" s="70">
        <f>ROUND('PU Wise OWE'!$AQ$42/10000,2)+ROUND('PU Wise OWE'!$BB$42/10000,2)</f>
        <v>60.629999999999995</v>
      </c>
      <c r="J73" s="94">
        <f t="shared" si="55"/>
        <v>1.5790090500683637E-2</v>
      </c>
      <c r="K73" s="22">
        <f t="shared" ref="K73:K74" si="57">H73-I73</f>
        <v>-25.619999999999997</v>
      </c>
      <c r="L73" s="24">
        <f t="shared" ref="L73:L74" si="58">K73/I73</f>
        <v>-0.42256308758040573</v>
      </c>
      <c r="M73" s="22">
        <f>I73-C73</f>
        <v>32.22999999999999</v>
      </c>
      <c r="N73" s="52">
        <f>M73/C73</f>
        <v>1.134859154929577</v>
      </c>
      <c r="O73" s="52">
        <f t="shared" si="56"/>
        <v>0.76187484292535812</v>
      </c>
      <c r="P73" s="157" t="s">
        <v>275</v>
      </c>
      <c r="Q73" s="164">
        <f>(I73/10)*12</f>
        <v>72.756</v>
      </c>
      <c r="R73" s="68">
        <f>Q73-F73</f>
        <v>-6.8239999999999981</v>
      </c>
    </row>
    <row r="74" spans="1:18" s="36" customFormat="1" x14ac:dyDescent="0.25">
      <c r="A74" s="25" t="s">
        <v>130</v>
      </c>
      <c r="B74" s="26">
        <v>126.83</v>
      </c>
      <c r="C74" s="74">
        <f>SUM(C72:C73)</f>
        <v>37.24</v>
      </c>
      <c r="D74" s="86">
        <f t="shared" si="53"/>
        <v>1.0869914214076598E-2</v>
      </c>
      <c r="E74" s="25"/>
      <c r="F74" s="74">
        <f>SUM(F72:F73)</f>
        <v>90.75</v>
      </c>
      <c r="G74" s="54">
        <f t="shared" si="54"/>
        <v>1.0972071091766412E-2</v>
      </c>
      <c r="H74" s="74">
        <f t="shared" ref="H74:I74" si="59">SUM(H72:H73)</f>
        <v>39.92</v>
      </c>
      <c r="I74" s="74">
        <f t="shared" si="59"/>
        <v>72.039999999999992</v>
      </c>
      <c r="J74" s="54">
        <f t="shared" si="55"/>
        <v>1.8761638127482255E-2</v>
      </c>
      <c r="K74" s="26">
        <f t="shared" si="57"/>
        <v>-32.11999999999999</v>
      </c>
      <c r="L74" s="54">
        <f t="shared" si="58"/>
        <v>-0.44586340921710155</v>
      </c>
      <c r="M74" s="26">
        <f>I74-C74</f>
        <v>34.79999999999999</v>
      </c>
      <c r="N74" s="55">
        <f>M74/C74</f>
        <v>0.93447905477980631</v>
      </c>
      <c r="P74" s="161"/>
      <c r="Q74" s="74">
        <f>SUM(Q72:Q73)</f>
        <v>86.448000000000008</v>
      </c>
      <c r="R74" s="74">
        <f>SUM(R72:R73)</f>
        <v>-4.3019999999999978</v>
      </c>
    </row>
    <row r="75" spans="1:18" x14ac:dyDescent="0.25">
      <c r="D75" s="31"/>
      <c r="E75" s="31"/>
      <c r="F75" s="34"/>
      <c r="G75" s="34"/>
      <c r="H75" s="34"/>
      <c r="I75" s="31"/>
      <c r="J75" s="31"/>
      <c r="K75" s="31"/>
      <c r="L75" s="31"/>
      <c r="M75" s="34"/>
      <c r="N75" s="92"/>
      <c r="Q75" s="165"/>
    </row>
    <row r="76" spans="1:18" x14ac:dyDescent="0.25">
      <c r="A76" s="75" t="s">
        <v>197</v>
      </c>
      <c r="B76" s="75"/>
      <c r="D76" s="31"/>
      <c r="E76" s="31"/>
      <c r="F76" s="34"/>
      <c r="G76" s="34"/>
      <c r="H76" s="34"/>
      <c r="I76" s="31"/>
      <c r="J76" s="31"/>
      <c r="K76" s="31"/>
      <c r="L76" s="31"/>
      <c r="M76" s="34"/>
      <c r="N76" s="92"/>
      <c r="Q76" s="165"/>
    </row>
    <row r="77" spans="1:18" ht="15.75" x14ac:dyDescent="0.25">
      <c r="A77" s="23" t="s">
        <v>199</v>
      </c>
      <c r="B77" s="22">
        <v>2</v>
      </c>
      <c r="C77" s="70">
        <f>ROUND('PU Wise OWE'!$AW$128/10000,2)</f>
        <v>0.6</v>
      </c>
      <c r="D77" s="85">
        <f t="shared" ref="D77:D83" si="60">C77/$C$7</f>
        <v>1.7513288207427386E-4</v>
      </c>
      <c r="E77" s="23"/>
      <c r="F77" s="22">
        <f>ROUND('PU Wise OWE'!$AW$126/10000,2)</f>
        <v>2.65</v>
      </c>
      <c r="G77" s="24">
        <f t="shared" ref="G77:G83" si="61">F77/$F$7</f>
        <v>3.20396566316044E-4</v>
      </c>
      <c r="H77" s="23">
        <f>ROUND('PU Wise OWE'!$AW$127/10000,2)</f>
        <v>1.17</v>
      </c>
      <c r="I77" s="23">
        <f>ROUND('PU Wise OWE'!$AW$129/10000,2)</f>
        <v>0.65</v>
      </c>
      <c r="J77" s="94">
        <f t="shared" ref="J77:J85" si="62">I77/$I$7</f>
        <v>1.6928185428738852E-4</v>
      </c>
      <c r="K77" s="22">
        <f>H77-I77</f>
        <v>0.51999999999999991</v>
      </c>
      <c r="L77" s="24">
        <f>K77/I77</f>
        <v>0.79999999999999982</v>
      </c>
      <c r="M77" s="22">
        <f t="shared" ref="M77:M83" si="63">I77-C77</f>
        <v>5.0000000000000044E-2</v>
      </c>
      <c r="N77" s="52">
        <f t="shared" ref="N77:N83" si="64">M77/C77</f>
        <v>8.3333333333333412E-2</v>
      </c>
      <c r="O77" s="52">
        <f t="shared" ref="O77:O82" si="65">I77/F77</f>
        <v>0.24528301886792456</v>
      </c>
      <c r="P77" s="156"/>
      <c r="Q77" s="164">
        <f t="shared" ref="Q77:Q82" si="66">(I77/10)*12</f>
        <v>0.78</v>
      </c>
      <c r="R77" s="68">
        <f t="shared" ref="R77:R82" si="67">Q77-F77</f>
        <v>-1.8699999999999999</v>
      </c>
    </row>
    <row r="78" spans="1:18" ht="15.75" x14ac:dyDescent="0.25">
      <c r="A78" s="23" t="s">
        <v>198</v>
      </c>
      <c r="B78" s="22">
        <v>1.66</v>
      </c>
      <c r="C78" s="70">
        <f>ROUND('PU Wise OWE'!$AX$128/10000,2)</f>
        <v>0.67</v>
      </c>
      <c r="D78" s="85">
        <f t="shared" si="60"/>
        <v>1.9556505164960582E-4</v>
      </c>
      <c r="E78" s="23"/>
      <c r="F78" s="22">
        <f>ROUND('PU Wise OWE'!$AW$126/10000,2)</f>
        <v>2.65</v>
      </c>
      <c r="G78" s="24">
        <f t="shared" si="61"/>
        <v>3.20396566316044E-4</v>
      </c>
      <c r="H78" s="23">
        <f>ROUND('PU Wise OWE'!$AX$127/10000,2)</f>
        <v>0.8</v>
      </c>
      <c r="I78" s="23">
        <f>ROUND('PU Wise OWE'!$AX$129/10000,2)</f>
        <v>0.72</v>
      </c>
      <c r="J78" s="94">
        <f t="shared" si="62"/>
        <v>1.8751220782603034E-4</v>
      </c>
      <c r="K78" s="22">
        <f t="shared" ref="K78:K83" si="68">H78-I78</f>
        <v>8.0000000000000071E-2</v>
      </c>
      <c r="L78" s="24">
        <f t="shared" ref="L78:L83" si="69">K78/I78</f>
        <v>0.11111111111111122</v>
      </c>
      <c r="M78" s="22">
        <f t="shared" si="63"/>
        <v>4.9999999999999933E-2</v>
      </c>
      <c r="N78" s="52">
        <f t="shared" si="64"/>
        <v>7.4626865671641687E-2</v>
      </c>
      <c r="O78" s="52">
        <f t="shared" si="65"/>
        <v>0.27169811320754716</v>
      </c>
      <c r="P78" s="156"/>
      <c r="Q78" s="164">
        <f t="shared" si="66"/>
        <v>0.86399999999999988</v>
      </c>
      <c r="R78" s="68">
        <f t="shared" si="67"/>
        <v>-1.786</v>
      </c>
    </row>
    <row r="79" spans="1:18" ht="34.15" customHeight="1" x14ac:dyDescent="0.25">
      <c r="A79" s="23" t="s">
        <v>200</v>
      </c>
      <c r="B79" s="22">
        <v>16.940000000000001</v>
      </c>
      <c r="C79" s="70">
        <f>ROUND('PU Wise OWE'!$BC$128/10000,2)</f>
        <v>7.21</v>
      </c>
      <c r="D79" s="85">
        <f t="shared" si="60"/>
        <v>2.1045134662591911E-3</v>
      </c>
      <c r="E79" s="23"/>
      <c r="F79" s="22">
        <f>ROUND('PU Wise OWE'!$BC$126/10000,2)</f>
        <v>14.88</v>
      </c>
      <c r="G79" s="24">
        <f t="shared" si="61"/>
        <v>1.7990569459557491E-3</v>
      </c>
      <c r="H79" s="23">
        <f>ROUND('PU Wise OWE'!$BC$127/10000,2)</f>
        <v>6.55</v>
      </c>
      <c r="I79" s="23">
        <f>ROUND('PU Wise OWE'!$BC$129/10000,2)</f>
        <v>6.82</v>
      </c>
      <c r="J79" s="94">
        <f t="shared" si="62"/>
        <v>1.7761573019076764E-3</v>
      </c>
      <c r="K79" s="22">
        <f t="shared" si="68"/>
        <v>-0.27000000000000046</v>
      </c>
      <c r="L79" s="24">
        <f t="shared" si="69"/>
        <v>-3.9589442815249336E-2</v>
      </c>
      <c r="M79" s="22">
        <f t="shared" si="63"/>
        <v>-0.38999999999999968</v>
      </c>
      <c r="N79" s="52">
        <f t="shared" si="64"/>
        <v>-5.4091539528432687E-2</v>
      </c>
      <c r="O79" s="52">
        <f t="shared" si="65"/>
        <v>0.45833333333333331</v>
      </c>
      <c r="P79" s="157" t="s">
        <v>276</v>
      </c>
      <c r="Q79" s="164">
        <f t="shared" si="66"/>
        <v>8.1840000000000011</v>
      </c>
      <c r="R79" s="68">
        <f t="shared" si="67"/>
        <v>-6.6959999999999997</v>
      </c>
    </row>
    <row r="80" spans="1:18" ht="52.9" customHeight="1" x14ac:dyDescent="0.25">
      <c r="A80" s="23" t="s">
        <v>201</v>
      </c>
      <c r="B80" s="22">
        <v>16.95</v>
      </c>
      <c r="C80" s="70">
        <f>ROUND('PU Wise OWE'!$BD$128/10000,2)</f>
        <v>7.21</v>
      </c>
      <c r="D80" s="85">
        <f t="shared" si="60"/>
        <v>2.1045134662591911E-3</v>
      </c>
      <c r="E80" s="23"/>
      <c r="F80" s="22">
        <f>ROUND('PU Wise OWE'!$BD$126/10000,2)</f>
        <v>14.88</v>
      </c>
      <c r="G80" s="24">
        <f t="shared" si="61"/>
        <v>1.7990569459557491E-3</v>
      </c>
      <c r="H80" s="23">
        <f>ROUND('PU Wise OWE'!$BD$127/10000,2)</f>
        <v>6.55</v>
      </c>
      <c r="I80" s="23">
        <f>ROUND('PU Wise OWE'!$BD$129/10000,2)</f>
        <v>6.79</v>
      </c>
      <c r="J80" s="94">
        <f t="shared" si="62"/>
        <v>1.7683442932482584E-3</v>
      </c>
      <c r="K80" s="22">
        <f t="shared" si="68"/>
        <v>-0.24000000000000021</v>
      </c>
      <c r="L80" s="24">
        <f t="shared" si="69"/>
        <v>-3.5346097201767339E-2</v>
      </c>
      <c r="M80" s="22">
        <f t="shared" si="63"/>
        <v>-0.41999999999999993</v>
      </c>
      <c r="N80" s="52">
        <f t="shared" si="64"/>
        <v>-5.8252427184466007E-2</v>
      </c>
      <c r="O80" s="52">
        <f t="shared" si="65"/>
        <v>0.45631720430107525</v>
      </c>
      <c r="P80" s="157" t="s">
        <v>276</v>
      </c>
      <c r="Q80" s="164">
        <f t="shared" si="66"/>
        <v>8.1479999999999997</v>
      </c>
      <c r="R80" s="68">
        <f t="shared" si="67"/>
        <v>-6.7320000000000011</v>
      </c>
    </row>
    <row r="81" spans="1:18" ht="43.9" customHeight="1" x14ac:dyDescent="0.25">
      <c r="A81" s="23" t="s">
        <v>202</v>
      </c>
      <c r="B81" s="22">
        <v>17.329999999999998</v>
      </c>
      <c r="C81" s="70">
        <f>ROUND('PU Wise OWE'!$BF$128/10000,2)</f>
        <v>7.42</v>
      </c>
      <c r="D81" s="85">
        <f t="shared" si="60"/>
        <v>2.1658099749851866E-3</v>
      </c>
      <c r="E81" s="23"/>
      <c r="F81" s="22">
        <f>ROUND('PU Wise OWE'!$BF$126/10000,2)</f>
        <v>12.96</v>
      </c>
      <c r="G81" s="24">
        <f t="shared" si="61"/>
        <v>1.5669205658324266E-3</v>
      </c>
      <c r="H81" s="23">
        <f>ROUND('PU Wise OWE'!$BF$127/10000,2)</f>
        <v>5.7</v>
      </c>
      <c r="I81" s="23">
        <f>ROUND('PU Wise OWE'!$BF$129/10000,2)</f>
        <v>7.22</v>
      </c>
      <c r="J81" s="94">
        <f t="shared" si="62"/>
        <v>1.8803307506999154E-3</v>
      </c>
      <c r="K81" s="22">
        <f t="shared" si="68"/>
        <v>-1.5199999999999996</v>
      </c>
      <c r="L81" s="24">
        <f t="shared" si="69"/>
        <v>-0.21052631578947364</v>
      </c>
      <c r="M81" s="22">
        <f t="shared" si="63"/>
        <v>-0.20000000000000018</v>
      </c>
      <c r="N81" s="52">
        <f t="shared" si="64"/>
        <v>-2.695417789757415E-2</v>
      </c>
      <c r="O81" s="52">
        <f t="shared" si="65"/>
        <v>0.55709876543209869</v>
      </c>
      <c r="P81" s="157" t="s">
        <v>276</v>
      </c>
      <c r="Q81" s="164">
        <f t="shared" si="66"/>
        <v>8.6639999999999997</v>
      </c>
      <c r="R81" s="68">
        <f t="shared" si="67"/>
        <v>-4.2960000000000012</v>
      </c>
    </row>
    <row r="82" spans="1:18" ht="15.75" x14ac:dyDescent="0.25">
      <c r="A82" s="23" t="s">
        <v>203</v>
      </c>
      <c r="B82" s="22">
        <v>166.71</v>
      </c>
      <c r="C82" s="70">
        <f>ROUND('PU Wise OWE'!$BG$128/10000,2)-ROUND('PU Wise OWE'!$BG$117/10000,2)</f>
        <v>67.929999999999836</v>
      </c>
      <c r="D82" s="85">
        <f t="shared" si="60"/>
        <v>1.9827961132175657E-2</v>
      </c>
      <c r="E82" s="23"/>
      <c r="F82" s="22">
        <f>ROUND('PU Wise OWE'!$BG$126/10000,2)-ROUND('PU Wise OWE'!$BG$115/10000,2)</f>
        <v>127.09000000000015</v>
      </c>
      <c r="G82" s="24">
        <f t="shared" si="61"/>
        <v>1.5365735703058898E-2</v>
      </c>
      <c r="H82" s="23">
        <f>ROUND('PU Wise OWE'!$BG$127/10000,2)-ROUND('PU Wise OWE'!$BG$116/10000,2)</f>
        <v>54.050000000000004</v>
      </c>
      <c r="I82" s="23">
        <f>ROUND('PU Wise OWE'!$BG$129/10000,2)-ROUND('PU Wise OWE'!$BG$118/10000,2)</f>
        <v>33.070000000000164</v>
      </c>
      <c r="J82" s="94">
        <f t="shared" si="62"/>
        <v>8.6125398788984078E-3</v>
      </c>
      <c r="K82" s="22">
        <f t="shared" si="68"/>
        <v>20.979999999999841</v>
      </c>
      <c r="L82" s="24">
        <f t="shared" si="69"/>
        <v>0.63441185364377795</v>
      </c>
      <c r="M82" s="22">
        <f t="shared" si="63"/>
        <v>-34.859999999999673</v>
      </c>
      <c r="N82" s="52">
        <f t="shared" si="64"/>
        <v>-0.51317532754305539</v>
      </c>
      <c r="O82" s="52">
        <f t="shared" si="65"/>
        <v>0.26020930049571267</v>
      </c>
      <c r="P82" s="157"/>
      <c r="Q82" s="164">
        <f t="shared" si="66"/>
        <v>39.684000000000196</v>
      </c>
      <c r="R82" s="168">
        <f t="shared" si="67"/>
        <v>-87.405999999999949</v>
      </c>
    </row>
    <row r="83" spans="1:18" s="36" customFormat="1" x14ac:dyDescent="0.25">
      <c r="A83" s="25" t="s">
        <v>130</v>
      </c>
      <c r="B83" s="26">
        <f>SUM(B77:B82)</f>
        <v>221.59</v>
      </c>
      <c r="C83" s="74">
        <f>SUM(C77:C82)</f>
        <v>91.039999999999836</v>
      </c>
      <c r="D83" s="86">
        <f t="shared" si="60"/>
        <v>2.6573495973403107E-2</v>
      </c>
      <c r="E83" s="25"/>
      <c r="F83" s="74">
        <f>SUM(F77:F82)</f>
        <v>175.11000000000016</v>
      </c>
      <c r="G83" s="54">
        <f t="shared" si="61"/>
        <v>2.1171563293434913E-2</v>
      </c>
      <c r="H83" s="74">
        <f>SUM(H77:H82)</f>
        <v>74.820000000000007</v>
      </c>
      <c r="I83" s="74">
        <f>SUM(I77:I82)</f>
        <v>55.270000000000167</v>
      </c>
      <c r="J83" s="54">
        <f t="shared" si="62"/>
        <v>1.4394166286867679E-2</v>
      </c>
      <c r="K83" s="26">
        <f t="shared" si="68"/>
        <v>19.549999999999841</v>
      </c>
      <c r="L83" s="54">
        <f t="shared" si="69"/>
        <v>0.35371811109100382</v>
      </c>
      <c r="M83" s="26">
        <f t="shared" si="63"/>
        <v>-35.769999999999669</v>
      </c>
      <c r="N83" s="55">
        <f t="shared" si="64"/>
        <v>-0.39290421792618335</v>
      </c>
      <c r="O83" s="25"/>
      <c r="P83" s="155"/>
      <c r="Q83" s="74">
        <f>SUM(Q77:Q82)</f>
        <v>66.324000000000197</v>
      </c>
      <c r="R83" s="74">
        <f>SUM(R77:R82)</f>
        <v>-108.78599999999994</v>
      </c>
    </row>
    <row r="84" spans="1:18" x14ac:dyDescent="0.25">
      <c r="Q84" s="165"/>
    </row>
    <row r="85" spans="1:18" s="36" customFormat="1" ht="30" x14ac:dyDescent="0.25">
      <c r="A85" s="93" t="s">
        <v>204</v>
      </c>
      <c r="B85" s="112">
        <v>5247.44</v>
      </c>
      <c r="C85" s="74">
        <f>C37+C49+C54+C56+C64+C69+C74+C83</f>
        <v>1531.2799999999997</v>
      </c>
      <c r="D85" s="86">
        <f t="shared" ref="D85" si="70">C85/$C$7</f>
        <v>0.44696246610449009</v>
      </c>
      <c r="E85" s="25"/>
      <c r="F85" s="74">
        <f>F37+F49+F54+F56+F64+F69+F74+F83</f>
        <v>3346.2100000000005</v>
      </c>
      <c r="G85" s="54">
        <f t="shared" ref="G85" si="71">F85/$F$7</f>
        <v>0.40457139402732445</v>
      </c>
      <c r="H85" s="74">
        <f>H37+H49+H54+H56+H64+H69+H74+H83</f>
        <v>1511.8500000000001</v>
      </c>
      <c r="I85" s="74">
        <f>I37+I49+I54+I56+I64+I69+I74+I83</f>
        <v>1784.5800000000002</v>
      </c>
      <c r="J85" s="54">
        <f t="shared" si="62"/>
        <v>0.46476463311413507</v>
      </c>
      <c r="K85" s="26">
        <f t="shared" ref="K85" si="72">H85-I85</f>
        <v>-272.73</v>
      </c>
      <c r="L85" s="54">
        <f t="shared" ref="L85" si="73">K85/I85</f>
        <v>-0.15282587499579733</v>
      </c>
      <c r="M85" s="26">
        <f>I85-C85</f>
        <v>253.30000000000041</v>
      </c>
      <c r="N85" s="55">
        <f>M85/C85</f>
        <v>0.16541716733713002</v>
      </c>
      <c r="O85" s="52">
        <f t="shared" ref="O85" si="74">I85/F85</f>
        <v>0.53331380875677259</v>
      </c>
      <c r="P85" s="155"/>
      <c r="Q85" s="74">
        <f>Q37+Q49+Q54+Q56+Q64+Q69+Q74+Q83</f>
        <v>2227.5279999999998</v>
      </c>
      <c r="R85" s="168">
        <f>Q85-F85</f>
        <v>-1118.6820000000007</v>
      </c>
    </row>
    <row r="86" spans="1:18" x14ac:dyDescent="0.25">
      <c r="Q86" s="165"/>
    </row>
    <row r="87" spans="1:18" s="147" customFormat="1" x14ac:dyDescent="0.25">
      <c r="A87" s="77"/>
      <c r="B87" s="291" t="s">
        <v>303</v>
      </c>
      <c r="C87" s="288" t="s">
        <v>312</v>
      </c>
      <c r="D87" s="291" t="s">
        <v>173</v>
      </c>
      <c r="E87" s="291"/>
      <c r="F87" s="322" t="s">
        <v>314</v>
      </c>
      <c r="G87" s="291" t="s">
        <v>316</v>
      </c>
      <c r="H87" s="152"/>
      <c r="I87" s="288" t="s">
        <v>313</v>
      </c>
      <c r="J87" s="291" t="s">
        <v>205</v>
      </c>
      <c r="K87" s="152"/>
      <c r="L87" s="152"/>
      <c r="M87" s="290" t="s">
        <v>147</v>
      </c>
      <c r="N87" s="290"/>
      <c r="O87" s="292" t="s">
        <v>315</v>
      </c>
      <c r="Q87" s="165"/>
    </row>
    <row r="88" spans="1:18" s="147" customFormat="1" x14ac:dyDescent="0.25">
      <c r="A88" s="133" t="s">
        <v>254</v>
      </c>
      <c r="B88" s="289"/>
      <c r="C88" s="289"/>
      <c r="D88" s="289"/>
      <c r="E88" s="289"/>
      <c r="F88" s="323"/>
      <c r="G88" s="289"/>
      <c r="H88" s="153"/>
      <c r="I88" s="336"/>
      <c r="J88" s="289"/>
      <c r="K88" s="153"/>
      <c r="L88" s="153"/>
      <c r="M88" s="79" t="s">
        <v>145</v>
      </c>
      <c r="N88" s="80" t="s">
        <v>146</v>
      </c>
      <c r="O88" s="292"/>
      <c r="Q88" s="165"/>
    </row>
    <row r="89" spans="1:18" s="147" customFormat="1" ht="15.75" x14ac:dyDescent="0.25">
      <c r="A89" s="23" t="s">
        <v>255</v>
      </c>
      <c r="B89" s="23">
        <v>0</v>
      </c>
      <c r="C89" s="148">
        <v>0</v>
      </c>
      <c r="D89" s="85">
        <f t="shared" ref="D89:D102" si="75">C89/$C$7</f>
        <v>0</v>
      </c>
      <c r="E89" s="23"/>
      <c r="F89" s="22">
        <v>0.69</v>
      </c>
      <c r="G89" s="24">
        <f t="shared" ref="G89:G102" si="76">F89/$F$7</f>
        <v>8.3424011606819001E-5</v>
      </c>
      <c r="H89" s="24"/>
      <c r="I89" s="23">
        <v>0</v>
      </c>
      <c r="J89" s="94">
        <f t="shared" ref="J89:J102" si="77">I89/$I$7</f>
        <v>0</v>
      </c>
      <c r="K89" s="94"/>
      <c r="L89" s="94"/>
      <c r="M89" s="22">
        <f>I89-C89</f>
        <v>0</v>
      </c>
      <c r="N89" s="52">
        <v>0</v>
      </c>
      <c r="O89" s="52">
        <f t="shared" ref="O89:O102" si="78">I89/F89</f>
        <v>0</v>
      </c>
      <c r="Q89" s="164"/>
    </row>
    <row r="90" spans="1:18" s="147" customFormat="1" ht="15.75" x14ac:dyDescent="0.25">
      <c r="A90" s="23" t="s">
        <v>256</v>
      </c>
      <c r="B90" s="23">
        <v>33.630000000000003</v>
      </c>
      <c r="C90" s="149">
        <v>1.86</v>
      </c>
      <c r="D90" s="85">
        <f t="shared" si="75"/>
        <v>5.4291193443024898E-4</v>
      </c>
      <c r="E90" s="23"/>
      <c r="F90" s="22">
        <v>33.28</v>
      </c>
      <c r="G90" s="24">
        <f t="shared" si="76"/>
        <v>4.0236972554709228E-3</v>
      </c>
      <c r="H90" s="24"/>
      <c r="I90" s="22">
        <v>2.77</v>
      </c>
      <c r="J90" s="94">
        <f t="shared" si="77"/>
        <v>7.2140113288625559E-4</v>
      </c>
      <c r="K90" s="94"/>
      <c r="L90" s="94"/>
      <c r="M90" s="22">
        <f t="shared" ref="M90:M102" si="79">I90-C90</f>
        <v>0.90999999999999992</v>
      </c>
      <c r="N90" s="52">
        <f t="shared" ref="N90:N102" si="80">M90/C90</f>
        <v>0.48924731182795694</v>
      </c>
      <c r="O90" s="52">
        <f t="shared" si="78"/>
        <v>8.3233173076923073E-2</v>
      </c>
      <c r="Q90" s="164"/>
    </row>
    <row r="91" spans="1:18" s="147" customFormat="1" ht="15.75" x14ac:dyDescent="0.25">
      <c r="A91" s="23" t="s">
        <v>266</v>
      </c>
      <c r="B91" s="23">
        <v>7.44</v>
      </c>
      <c r="C91" s="149">
        <v>0.04</v>
      </c>
      <c r="D91" s="85">
        <f t="shared" si="75"/>
        <v>1.1675525471618259E-5</v>
      </c>
      <c r="E91" s="23"/>
      <c r="F91" s="22">
        <v>0.53</v>
      </c>
      <c r="G91" s="24">
        <f t="shared" si="76"/>
        <v>6.4079313263208811E-5</v>
      </c>
      <c r="H91" s="24"/>
      <c r="I91" s="22">
        <v>0</v>
      </c>
      <c r="J91" s="94">
        <f t="shared" si="77"/>
        <v>0</v>
      </c>
      <c r="K91" s="94"/>
      <c r="L91" s="94"/>
      <c r="M91" s="22">
        <f t="shared" si="79"/>
        <v>-0.04</v>
      </c>
      <c r="N91" s="52">
        <f t="shared" si="80"/>
        <v>-1</v>
      </c>
      <c r="O91" s="52">
        <f t="shared" si="78"/>
        <v>0</v>
      </c>
      <c r="Q91" s="164"/>
    </row>
    <row r="92" spans="1:18" s="147" customFormat="1" ht="15.75" x14ac:dyDescent="0.25">
      <c r="A92" s="150" t="s">
        <v>257</v>
      </c>
      <c r="B92" s="25">
        <f>SUM(B89:B91)</f>
        <v>41.07</v>
      </c>
      <c r="C92" s="25">
        <f>SUM(C89:C91)</f>
        <v>1.9000000000000001</v>
      </c>
      <c r="D92" s="86">
        <f t="shared" si="75"/>
        <v>5.5458745990186729E-4</v>
      </c>
      <c r="E92" s="25">
        <f t="shared" ref="E92:F92" si="81">SUM(E89:E90)</f>
        <v>0</v>
      </c>
      <c r="F92" s="26">
        <f t="shared" si="81"/>
        <v>33.97</v>
      </c>
      <c r="G92" s="54">
        <f t="shared" si="76"/>
        <v>4.107121267077741E-3</v>
      </c>
      <c r="H92" s="54"/>
      <c r="I92" s="26">
        <f>SUM(I89:I91)</f>
        <v>2.77</v>
      </c>
      <c r="J92" s="54">
        <f t="shared" si="77"/>
        <v>7.2140113288625559E-4</v>
      </c>
      <c r="K92" s="54"/>
      <c r="L92" s="54"/>
      <c r="M92" s="26">
        <f t="shared" si="79"/>
        <v>0.86999999999999988</v>
      </c>
      <c r="N92" s="55">
        <f t="shared" si="80"/>
        <v>0.45789473684210519</v>
      </c>
      <c r="O92" s="55">
        <f t="shared" si="78"/>
        <v>8.1542537533117465E-2</v>
      </c>
      <c r="Q92" s="164"/>
    </row>
    <row r="93" spans="1:18" s="147" customFormat="1" ht="15.75" x14ac:dyDescent="0.25">
      <c r="A93" s="23" t="s">
        <v>258</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75" x14ac:dyDescent="0.25">
      <c r="A94" s="23" t="s">
        <v>259</v>
      </c>
      <c r="B94" s="25">
        <v>13.17</v>
      </c>
      <c r="C94" s="149">
        <v>0.17</v>
      </c>
      <c r="D94" s="85">
        <f t="shared" si="75"/>
        <v>4.9620983254377599E-5</v>
      </c>
      <c r="E94" s="23"/>
      <c r="F94" s="22">
        <v>14.55</v>
      </c>
      <c r="G94" s="24">
        <f t="shared" si="76"/>
        <v>1.7591585056220529E-3</v>
      </c>
      <c r="H94" s="24"/>
      <c r="I94" s="22">
        <v>3.38</v>
      </c>
      <c r="J94" s="94">
        <f t="shared" si="77"/>
        <v>8.8026564229442021E-4</v>
      </c>
      <c r="K94" s="94"/>
      <c r="L94" s="94"/>
      <c r="M94" s="22">
        <f t="shared" si="79"/>
        <v>3.21</v>
      </c>
      <c r="N94" s="52">
        <f t="shared" si="80"/>
        <v>18.882352941176467</v>
      </c>
      <c r="O94" s="52">
        <f t="shared" si="78"/>
        <v>0.23230240549828177</v>
      </c>
      <c r="Q94" s="164"/>
    </row>
    <row r="95" spans="1:18" s="147" customFormat="1" ht="15.75" x14ac:dyDescent="0.25">
      <c r="A95" s="23" t="s">
        <v>267</v>
      </c>
      <c r="B95" s="25">
        <v>-0.3</v>
      </c>
      <c r="C95" s="149">
        <v>0</v>
      </c>
      <c r="D95" s="85">
        <f t="shared" si="75"/>
        <v>0</v>
      </c>
      <c r="E95" s="23"/>
      <c r="F95" s="22">
        <v>0.05</v>
      </c>
      <c r="G95" s="24">
        <f t="shared" si="76"/>
        <v>6.0452182323781894E-6</v>
      </c>
      <c r="H95" s="24"/>
      <c r="I95" s="22">
        <v>0</v>
      </c>
      <c r="J95" s="94">
        <f t="shared" si="77"/>
        <v>0</v>
      </c>
      <c r="K95" s="94"/>
      <c r="L95" s="94"/>
      <c r="M95" s="22">
        <f t="shared" si="79"/>
        <v>0</v>
      </c>
      <c r="N95" s="52">
        <v>0</v>
      </c>
      <c r="O95" s="52">
        <f t="shared" si="78"/>
        <v>0</v>
      </c>
      <c r="Q95" s="164"/>
    </row>
    <row r="96" spans="1:18" s="147" customFormat="1" ht="15.75" x14ac:dyDescent="0.25">
      <c r="A96" s="150" t="s">
        <v>260</v>
      </c>
      <c r="B96" s="25">
        <f>SUM(B93:B95)</f>
        <v>12.87</v>
      </c>
      <c r="C96" s="25">
        <f>SUM(C93:C95)</f>
        <v>0.17</v>
      </c>
      <c r="D96" s="86">
        <f t="shared" si="75"/>
        <v>4.9620983254377599E-5</v>
      </c>
      <c r="E96" s="25">
        <f t="shared" ref="E96" si="82">SUM(E93:E94)</f>
        <v>0</v>
      </c>
      <c r="F96" s="26">
        <f>SUM(F93:F95)</f>
        <v>14.600000000000001</v>
      </c>
      <c r="G96" s="54">
        <f t="shared" si="76"/>
        <v>1.7652037238544314E-3</v>
      </c>
      <c r="H96" s="54"/>
      <c r="I96" s="26">
        <f>SUM(I93:I95)</f>
        <v>3.38</v>
      </c>
      <c r="J96" s="54">
        <f t="shared" si="77"/>
        <v>8.8026564229442021E-4</v>
      </c>
      <c r="K96" s="54"/>
      <c r="L96" s="54"/>
      <c r="M96" s="26">
        <f t="shared" si="79"/>
        <v>3.21</v>
      </c>
      <c r="N96" s="55">
        <f t="shared" si="80"/>
        <v>18.882352941176467</v>
      </c>
      <c r="O96" s="55">
        <f t="shared" si="78"/>
        <v>0.23150684931506846</v>
      </c>
      <c r="Q96" s="164"/>
    </row>
    <row r="97" spans="1:17" s="147" customFormat="1" ht="15.75" x14ac:dyDescent="0.25">
      <c r="A97" s="23" t="s">
        <v>261</v>
      </c>
      <c r="B97" s="26">
        <v>24.12</v>
      </c>
      <c r="C97" s="149">
        <v>1.61</v>
      </c>
      <c r="D97" s="85">
        <f t="shared" si="75"/>
        <v>4.6993990023263491E-4</v>
      </c>
      <c r="E97" s="23"/>
      <c r="F97" s="22">
        <v>17.600000000000001</v>
      </c>
      <c r="G97" s="24">
        <f t="shared" si="76"/>
        <v>2.1279168177971227E-3</v>
      </c>
      <c r="H97" s="24"/>
      <c r="I97" s="22">
        <v>0.15</v>
      </c>
      <c r="J97" s="94">
        <f t="shared" si="77"/>
        <v>3.9065043297089654E-5</v>
      </c>
      <c r="K97" s="94"/>
      <c r="L97" s="94"/>
      <c r="M97" s="22">
        <f t="shared" si="79"/>
        <v>-1.4600000000000002</v>
      </c>
      <c r="N97" s="52">
        <f t="shared" si="80"/>
        <v>-0.90683229813664601</v>
      </c>
      <c r="O97" s="52">
        <f t="shared" si="78"/>
        <v>8.5227272727272721E-3</v>
      </c>
      <c r="Q97" s="164"/>
    </row>
    <row r="98" spans="1:17" s="147" customFormat="1" ht="15.75" x14ac:dyDescent="0.25">
      <c r="A98" s="23" t="s">
        <v>262</v>
      </c>
      <c r="B98" s="25">
        <v>145.66</v>
      </c>
      <c r="C98" s="149">
        <v>4.3499999999999996</v>
      </c>
      <c r="D98" s="85">
        <f t="shared" si="75"/>
        <v>1.2697133950384854E-3</v>
      </c>
      <c r="E98" s="23"/>
      <c r="F98" s="22">
        <v>11.56</v>
      </c>
      <c r="G98" s="24">
        <f t="shared" si="76"/>
        <v>1.3976544553258373E-3</v>
      </c>
      <c r="H98" s="24"/>
      <c r="I98" s="22">
        <v>6.27</v>
      </c>
      <c r="J98" s="94">
        <f t="shared" si="77"/>
        <v>1.6329188098183475E-3</v>
      </c>
      <c r="K98" s="94"/>
      <c r="L98" s="94"/>
      <c r="M98" s="22">
        <f t="shared" si="79"/>
        <v>1.92</v>
      </c>
      <c r="N98" s="52">
        <f t="shared" si="80"/>
        <v>0.44137931034482758</v>
      </c>
      <c r="O98" s="52">
        <f t="shared" si="78"/>
        <v>0.54238754325259508</v>
      </c>
      <c r="Q98" s="164"/>
    </row>
    <row r="99" spans="1:17" s="147" customFormat="1" ht="15.75" x14ac:dyDescent="0.25">
      <c r="A99" s="150" t="s">
        <v>263</v>
      </c>
      <c r="B99" s="25">
        <f t="shared" ref="B99:I102" si="83">SUM(B97:B98)</f>
        <v>169.78</v>
      </c>
      <c r="C99" s="26">
        <f t="shared" si="83"/>
        <v>5.96</v>
      </c>
      <c r="D99" s="86">
        <f t="shared" si="75"/>
        <v>1.7396532952711203E-3</v>
      </c>
      <c r="E99" s="25">
        <f t="shared" si="83"/>
        <v>0</v>
      </c>
      <c r="F99" s="26">
        <f t="shared" si="83"/>
        <v>29.160000000000004</v>
      </c>
      <c r="G99" s="54">
        <f t="shared" si="76"/>
        <v>3.5255712731229604E-3</v>
      </c>
      <c r="H99" s="54"/>
      <c r="I99" s="26">
        <f t="shared" si="83"/>
        <v>6.42</v>
      </c>
      <c r="J99" s="54">
        <f t="shared" si="77"/>
        <v>1.6719838531154372E-3</v>
      </c>
      <c r="K99" s="54"/>
      <c r="L99" s="54"/>
      <c r="M99" s="26">
        <f t="shared" si="79"/>
        <v>0.45999999999999996</v>
      </c>
      <c r="N99" s="55">
        <f t="shared" si="80"/>
        <v>7.7181208053691275E-2</v>
      </c>
      <c r="O99" s="55">
        <f t="shared" si="78"/>
        <v>0.22016460905349791</v>
      </c>
      <c r="Q99" s="164"/>
    </row>
    <row r="100" spans="1:17" s="147" customFormat="1" ht="15.75" x14ac:dyDescent="0.25">
      <c r="A100" s="23" t="s">
        <v>264</v>
      </c>
      <c r="B100" s="26">
        <v>12.31</v>
      </c>
      <c r="C100" s="149">
        <v>4.28</v>
      </c>
      <c r="D100" s="85">
        <f t="shared" si="75"/>
        <v>1.2492812254631537E-3</v>
      </c>
      <c r="E100" s="23"/>
      <c r="F100" s="22">
        <v>13.17</v>
      </c>
      <c r="G100" s="24">
        <f t="shared" si="76"/>
        <v>1.5923104824084149E-3</v>
      </c>
      <c r="H100" s="24"/>
      <c r="I100" s="22">
        <v>1.93</v>
      </c>
      <c r="J100" s="94">
        <f t="shared" si="77"/>
        <v>5.026368904225535E-4</v>
      </c>
      <c r="K100" s="94"/>
      <c r="L100" s="94"/>
      <c r="M100" s="22">
        <f t="shared" si="79"/>
        <v>-2.3500000000000005</v>
      </c>
      <c r="N100" s="52">
        <f t="shared" si="80"/>
        <v>-0.54906542056074781</v>
      </c>
      <c r="O100" s="52">
        <f t="shared" si="78"/>
        <v>0.14654517843583903</v>
      </c>
      <c r="Q100" s="164"/>
    </row>
    <row r="101" spans="1:17" s="147" customFormat="1" ht="15.75" x14ac:dyDescent="0.25">
      <c r="A101" s="23" t="s">
        <v>265</v>
      </c>
      <c r="B101" s="25">
        <v>101.34</v>
      </c>
      <c r="C101" s="149">
        <v>1.64</v>
      </c>
      <c r="D101" s="85">
        <f t="shared" si="75"/>
        <v>4.7869654433634854E-4</v>
      </c>
      <c r="E101" s="23"/>
      <c r="F101" s="22">
        <v>65.03</v>
      </c>
      <c r="G101" s="24">
        <f t="shared" si="76"/>
        <v>7.8624108330310732E-3</v>
      </c>
      <c r="H101" s="24"/>
      <c r="I101" s="22">
        <v>5.95</v>
      </c>
      <c r="J101" s="94">
        <f t="shared" si="77"/>
        <v>1.5495800507845563E-3</v>
      </c>
      <c r="K101" s="94"/>
      <c r="L101" s="94"/>
      <c r="M101" s="22">
        <f t="shared" si="79"/>
        <v>4.3100000000000005</v>
      </c>
      <c r="N101" s="52">
        <f t="shared" si="80"/>
        <v>2.6280487804878052</v>
      </c>
      <c r="O101" s="52">
        <f t="shared" si="78"/>
        <v>9.1496232508073191E-2</v>
      </c>
      <c r="Q101" s="164"/>
    </row>
    <row r="102" spans="1:17" s="147" customFormat="1" ht="15.75" x14ac:dyDescent="0.25">
      <c r="A102" s="150" t="s">
        <v>295</v>
      </c>
      <c r="B102" s="25">
        <f t="shared" si="83"/>
        <v>113.65</v>
      </c>
      <c r="C102" s="26">
        <f t="shared" si="83"/>
        <v>5.92</v>
      </c>
      <c r="D102" s="86">
        <f t="shared" si="75"/>
        <v>1.727977769799502E-3</v>
      </c>
      <c r="E102" s="25">
        <f t="shared" si="83"/>
        <v>0</v>
      </c>
      <c r="F102" s="26">
        <f t="shared" si="83"/>
        <v>78.2</v>
      </c>
      <c r="G102" s="54">
        <f t="shared" si="76"/>
        <v>9.454721315439488E-3</v>
      </c>
      <c r="H102" s="54"/>
      <c r="I102" s="26">
        <f t="shared" si="83"/>
        <v>7.88</v>
      </c>
      <c r="J102" s="54">
        <f t="shared" si="77"/>
        <v>2.05221694120711E-3</v>
      </c>
      <c r="K102" s="54"/>
      <c r="L102" s="54"/>
      <c r="M102" s="26">
        <f t="shared" si="79"/>
        <v>1.96</v>
      </c>
      <c r="N102" s="55">
        <f t="shared" si="80"/>
        <v>0.33108108108108109</v>
      </c>
      <c r="O102" s="55">
        <f t="shared" si="78"/>
        <v>0.10076726342710997</v>
      </c>
      <c r="Q102" s="164"/>
    </row>
    <row r="103" spans="1:17" x14ac:dyDescent="0.25">
      <c r="Q103" s="165"/>
    </row>
    <row r="104" spans="1:17" x14ac:dyDescent="0.25">
      <c r="A104" s="77"/>
      <c r="B104" s="291" t="s">
        <v>303</v>
      </c>
      <c r="C104" s="288" t="str">
        <f>'PU Wise OWE'!$B$7</f>
        <v>Actuals upto Aug' 20</v>
      </c>
      <c r="D104" s="291" t="s">
        <v>173</v>
      </c>
      <c r="E104" s="291"/>
      <c r="F104" s="322" t="str">
        <f>'PU Wise OWE'!$B$5</f>
        <v xml:space="preserve">OBG(SL) 2021-22 </v>
      </c>
      <c r="G104" s="291" t="s">
        <v>316</v>
      </c>
      <c r="H104" s="152"/>
      <c r="I104" s="288" t="str">
        <f>I40</f>
        <v>Actuals upto Aug' 21</v>
      </c>
      <c r="J104" s="291" t="s">
        <v>205</v>
      </c>
      <c r="K104" s="152"/>
      <c r="L104" s="152"/>
      <c r="M104" s="290" t="s">
        <v>147</v>
      </c>
      <c r="N104" s="290"/>
      <c r="O104" s="292" t="s">
        <v>315</v>
      </c>
      <c r="Q104" s="165"/>
    </row>
    <row r="105" spans="1:17" x14ac:dyDescent="0.25">
      <c r="A105" s="133" t="s">
        <v>191</v>
      </c>
      <c r="B105" s="289"/>
      <c r="C105" s="289"/>
      <c r="D105" s="289"/>
      <c r="E105" s="289"/>
      <c r="F105" s="323"/>
      <c r="G105" s="289"/>
      <c r="H105" s="153"/>
      <c r="I105" s="289"/>
      <c r="J105" s="289"/>
      <c r="K105" s="153"/>
      <c r="L105" s="153"/>
      <c r="M105" s="79" t="s">
        <v>145</v>
      </c>
      <c r="N105" s="80" t="s">
        <v>146</v>
      </c>
      <c r="O105" s="292"/>
      <c r="Q105" s="165"/>
    </row>
    <row r="106" spans="1:17" ht="15.75" x14ac:dyDescent="0.25">
      <c r="A106" s="23" t="s">
        <v>218</v>
      </c>
      <c r="B106" s="23">
        <v>305.92</v>
      </c>
      <c r="C106" s="109">
        <v>19.18</v>
      </c>
      <c r="D106" s="85">
        <f t="shared" ref="D106:D109" si="84">C106/$C$7</f>
        <v>5.5984144636409541E-3</v>
      </c>
      <c r="E106" s="23"/>
      <c r="F106" s="20">
        <v>115.89</v>
      </c>
      <c r="G106" s="24">
        <f t="shared" ref="G106:G109" si="85">F106/$F$7</f>
        <v>1.4011606819006166E-2</v>
      </c>
      <c r="H106" s="24"/>
      <c r="I106" s="105">
        <v>28.26</v>
      </c>
      <c r="J106" s="94">
        <f t="shared" ref="J106:J109" si="86">I106/$I$7</f>
        <v>7.3598541571716913E-3</v>
      </c>
      <c r="K106" s="94"/>
      <c r="L106" s="94"/>
      <c r="M106" s="22">
        <f>I106-C106</f>
        <v>9.0800000000000018</v>
      </c>
      <c r="N106" s="52">
        <f>M106/C106</f>
        <v>0.47340980187695525</v>
      </c>
      <c r="O106" s="52">
        <f t="shared" ref="O106:O109" si="87">I106/F106</f>
        <v>0.24385192855293814</v>
      </c>
      <c r="Q106" s="164"/>
    </row>
    <row r="107" spans="1:17" ht="15.75" x14ac:dyDescent="0.25">
      <c r="A107" s="23" t="s">
        <v>217</v>
      </c>
      <c r="B107" s="23">
        <v>266.58999999999997</v>
      </c>
      <c r="C107" s="81">
        <v>27.95</v>
      </c>
      <c r="D107" s="85">
        <f t="shared" si="84"/>
        <v>8.158273423293257E-3</v>
      </c>
      <c r="E107" s="23"/>
      <c r="F107" s="105">
        <v>750</v>
      </c>
      <c r="G107" s="24">
        <f t="shared" si="85"/>
        <v>9.0678273485672839E-2</v>
      </c>
      <c r="H107" s="24"/>
      <c r="I107" s="105">
        <v>40.58</v>
      </c>
      <c r="J107" s="94">
        <f t="shared" si="86"/>
        <v>1.0568396379972655E-2</v>
      </c>
      <c r="K107" s="94"/>
      <c r="L107" s="94"/>
      <c r="M107" s="22">
        <f t="shared" ref="M107:M109" si="88">I107-C107</f>
        <v>12.629999999999999</v>
      </c>
      <c r="N107" s="52">
        <f t="shared" ref="N107:N109" si="89">M107/C107</f>
        <v>0.45187835420393557</v>
      </c>
      <c r="O107" s="52">
        <f t="shared" si="87"/>
        <v>5.4106666666666664E-2</v>
      </c>
      <c r="Q107" s="164"/>
    </row>
    <row r="108" spans="1:17" ht="15.75" x14ac:dyDescent="0.25">
      <c r="A108" s="87" t="s">
        <v>216</v>
      </c>
      <c r="B108" s="23">
        <v>544.78</v>
      </c>
      <c r="C108" s="81">
        <v>165.44</v>
      </c>
      <c r="D108" s="85">
        <f t="shared" si="84"/>
        <v>4.8289973350613115E-2</v>
      </c>
      <c r="E108" s="23"/>
      <c r="F108" s="105">
        <v>676.5</v>
      </c>
      <c r="G108" s="24">
        <f t="shared" si="85"/>
        <v>8.1791802684076889E-2</v>
      </c>
      <c r="H108" s="24"/>
      <c r="I108" s="20">
        <v>301.26</v>
      </c>
      <c r="J108" s="94">
        <f t="shared" si="86"/>
        <v>7.8458232957874866E-2</v>
      </c>
      <c r="K108" s="94"/>
      <c r="L108" s="94"/>
      <c r="M108" s="22">
        <f t="shared" si="88"/>
        <v>135.82</v>
      </c>
      <c r="N108" s="52">
        <f t="shared" si="89"/>
        <v>0.82096228239845259</v>
      </c>
      <c r="O108" s="52">
        <f t="shared" si="87"/>
        <v>0.44532150776053214</v>
      </c>
      <c r="Q108" s="164"/>
    </row>
    <row r="109" spans="1:17" ht="15.75" x14ac:dyDescent="0.25">
      <c r="A109" s="25" t="s">
        <v>130</v>
      </c>
      <c r="B109" s="25">
        <f>SUM(B106:B108)</f>
        <v>1117.29</v>
      </c>
      <c r="C109" s="139">
        <f>+C106+C107+C108</f>
        <v>212.57</v>
      </c>
      <c r="D109" s="86">
        <f t="shared" si="84"/>
        <v>6.2046661237547325E-2</v>
      </c>
      <c r="E109" s="25"/>
      <c r="F109" s="139">
        <f>+F106+F107+F108</f>
        <v>1542.3899999999999</v>
      </c>
      <c r="G109" s="54">
        <f t="shared" si="85"/>
        <v>0.18648168298875589</v>
      </c>
      <c r="H109" s="54"/>
      <c r="I109" s="104">
        <f>SUM(I106:I108)</f>
        <v>370.1</v>
      </c>
      <c r="J109" s="54">
        <f t="shared" si="86"/>
        <v>9.6386483495019215E-2</v>
      </c>
      <c r="K109" s="54"/>
      <c r="L109" s="54"/>
      <c r="M109" s="26">
        <f t="shared" si="88"/>
        <v>157.53000000000003</v>
      </c>
      <c r="N109" s="55">
        <f t="shared" si="89"/>
        <v>0.74107352871995125</v>
      </c>
      <c r="O109" s="55">
        <f t="shared" si="87"/>
        <v>0.23995228184830039</v>
      </c>
      <c r="Q109" s="164"/>
    </row>
    <row r="110" spans="1:17" x14ac:dyDescent="0.25">
      <c r="C110" s="137"/>
      <c r="Q110" s="165"/>
    </row>
    <row r="111" spans="1:17" x14ac:dyDescent="0.25">
      <c r="A111" s="133" t="s">
        <v>219</v>
      </c>
      <c r="B111" s="23"/>
      <c r="C111" s="81"/>
      <c r="D111" s="23"/>
      <c r="E111" s="23"/>
      <c r="F111" s="23"/>
      <c r="G111" s="23"/>
      <c r="H111" s="23"/>
      <c r="I111" s="23"/>
      <c r="J111" s="23"/>
      <c r="K111" s="23"/>
      <c r="L111" s="23"/>
      <c r="M111" s="23"/>
      <c r="N111" s="23"/>
      <c r="O111" s="23"/>
      <c r="Q111" s="165"/>
    </row>
    <row r="112" spans="1:17" ht="15.75" x14ac:dyDescent="0.25">
      <c r="A112" s="23" t="s">
        <v>220</v>
      </c>
      <c r="B112" s="22">
        <v>28.69</v>
      </c>
      <c r="C112" s="109">
        <v>5.63</v>
      </c>
      <c r="D112" s="85">
        <f t="shared" ref="D112:D115" si="90">C112/$C$7</f>
        <v>1.6433302101302697E-3</v>
      </c>
      <c r="E112" s="23"/>
      <c r="F112" s="22">
        <v>27.91</v>
      </c>
      <c r="G112" s="24">
        <f t="shared" ref="G112:G115" si="91">F112/$F$7</f>
        <v>3.3744408173135049E-3</v>
      </c>
      <c r="H112" s="24"/>
      <c r="I112" s="23">
        <v>0.22</v>
      </c>
      <c r="J112" s="94">
        <f t="shared" ref="J112:J115" si="92">I112/$I$7</f>
        <v>5.7295396835731491E-5</v>
      </c>
      <c r="K112" s="94"/>
      <c r="L112" s="94"/>
      <c r="M112" s="22">
        <f>I112-C112</f>
        <v>-5.41</v>
      </c>
      <c r="N112" s="52">
        <f>M112/C112</f>
        <v>-0.96092362344582594</v>
      </c>
      <c r="O112" s="52">
        <f t="shared" ref="O112:O115" si="93">I112/F112</f>
        <v>7.8824793980652088E-3</v>
      </c>
      <c r="Q112" s="164"/>
    </row>
    <row r="113" spans="1:17" ht="15.75" x14ac:dyDescent="0.25">
      <c r="A113" s="23" t="s">
        <v>221</v>
      </c>
      <c r="B113" s="22">
        <v>38.6</v>
      </c>
      <c r="C113" s="81">
        <v>2.54</v>
      </c>
      <c r="D113" s="85">
        <f t="shared" si="90"/>
        <v>7.413958674477594E-4</v>
      </c>
      <c r="E113" s="23"/>
      <c r="F113" s="23">
        <v>33.72</v>
      </c>
      <c r="G113" s="24">
        <f t="shared" si="91"/>
        <v>4.0768951759158501E-3</v>
      </c>
      <c r="H113" s="24"/>
      <c r="I113" s="22">
        <v>0.11</v>
      </c>
      <c r="J113" s="94">
        <f t="shared" si="92"/>
        <v>2.8647698417865745E-5</v>
      </c>
      <c r="K113" s="94"/>
      <c r="L113" s="94"/>
      <c r="M113" s="22">
        <f t="shared" ref="M113:M115" si="94">I113-C113</f>
        <v>-2.4300000000000002</v>
      </c>
      <c r="N113" s="52">
        <f t="shared" ref="N113:N115" si="95">M113/C113</f>
        <v>-0.95669291338582685</v>
      </c>
      <c r="O113" s="52">
        <f t="shared" si="93"/>
        <v>3.2621589561091344E-3</v>
      </c>
      <c r="Q113" s="164"/>
    </row>
    <row r="114" spans="1:17" ht="15.75" x14ac:dyDescent="0.25">
      <c r="A114" s="87" t="s">
        <v>222</v>
      </c>
      <c r="B114" s="23">
        <v>33.32</v>
      </c>
      <c r="C114" s="81">
        <v>2.81</v>
      </c>
      <c r="D114" s="85">
        <f t="shared" si="90"/>
        <v>8.2020566438118262E-4</v>
      </c>
      <c r="E114" s="23"/>
      <c r="F114" s="23">
        <v>33.19</v>
      </c>
      <c r="G114" s="24">
        <f t="shared" si="91"/>
        <v>4.0128158626526415E-3</v>
      </c>
      <c r="H114" s="24"/>
      <c r="I114" s="22">
        <v>3.03</v>
      </c>
      <c r="J114" s="94">
        <f t="shared" si="92"/>
        <v>7.8911387460121093E-4</v>
      </c>
      <c r="K114" s="94"/>
      <c r="L114" s="94"/>
      <c r="M114" s="22">
        <f t="shared" si="94"/>
        <v>0.21999999999999975</v>
      </c>
      <c r="N114" s="52">
        <f t="shared" si="95"/>
        <v>7.8291814946619132E-2</v>
      </c>
      <c r="O114" s="52">
        <f t="shared" si="93"/>
        <v>9.1292557999397408E-2</v>
      </c>
      <c r="Q114" s="164"/>
    </row>
    <row r="115" spans="1:17" ht="15.75" x14ac:dyDescent="0.25">
      <c r="A115" s="25" t="s">
        <v>130</v>
      </c>
      <c r="B115" s="26">
        <f>SUM(B112:B114)</f>
        <v>100.61000000000001</v>
      </c>
      <c r="C115" s="146">
        <f>SUM(C112:C114)</f>
        <v>10.98</v>
      </c>
      <c r="D115" s="86">
        <f t="shared" si="90"/>
        <v>3.2049317419592118E-3</v>
      </c>
      <c r="E115" s="25"/>
      <c r="F115" s="25">
        <f>SUM(F112:F114)</f>
        <v>94.82</v>
      </c>
      <c r="G115" s="54">
        <f t="shared" si="91"/>
        <v>1.1464151855881996E-2</v>
      </c>
      <c r="H115" s="54"/>
      <c r="I115" s="25">
        <f>SUM(I112:I114)</f>
        <v>3.36</v>
      </c>
      <c r="J115" s="54">
        <f t="shared" si="92"/>
        <v>8.7505696985480826E-4</v>
      </c>
      <c r="K115" s="54"/>
      <c r="L115" s="54"/>
      <c r="M115" s="26">
        <f t="shared" si="94"/>
        <v>-7.620000000000001</v>
      </c>
      <c r="N115" s="55">
        <f t="shared" si="95"/>
        <v>-0.69398907103825147</v>
      </c>
      <c r="O115" s="55">
        <f t="shared" si="93"/>
        <v>3.543556211769669E-2</v>
      </c>
      <c r="Q115" s="164"/>
    </row>
    <row r="118" spans="1:17" x14ac:dyDescent="0.25">
      <c r="B118" s="34"/>
      <c r="C118" s="138"/>
      <c r="D118" s="31"/>
      <c r="E118" s="31"/>
      <c r="F118" s="31"/>
    </row>
    <row r="119" spans="1:17" x14ac:dyDescent="0.25">
      <c r="B119" s="31"/>
      <c r="C119" s="138"/>
      <c r="D119" s="31"/>
      <c r="E119" s="31"/>
      <c r="F119" s="31"/>
    </row>
    <row r="120" spans="1:17" x14ac:dyDescent="0.25">
      <c r="B120" s="31"/>
      <c r="C120" s="138"/>
      <c r="D120" s="31"/>
      <c r="E120" s="31"/>
      <c r="F120" s="31"/>
    </row>
    <row r="121" spans="1:17" x14ac:dyDescent="0.25">
      <c r="B121" s="31"/>
      <c r="C121" s="138"/>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3" priority="12" operator="greaterThan">
      <formula>0.42</formula>
    </cfRule>
  </conditionalFormatting>
  <conditionalFormatting sqref="O34:O37 O42:O49 O52:O54 O60:O64 O67:O68 O72:O73 O77:O82 O56 O106:O109 O112:O115">
    <cfRule type="cellIs" dxfId="2" priority="11" operator="greaterThan">
      <formula>0.5</formula>
    </cfRule>
  </conditionalFormatting>
  <conditionalFormatting sqref="O89:O102">
    <cfRule type="cellIs" dxfId="1"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0BC3-44F0-479C-A54D-8C28DE0B8186}">
  <dimension ref="B3:R14"/>
  <sheetViews>
    <sheetView workbookViewId="0">
      <selection activeCell="O18" sqref="O18"/>
    </sheetView>
  </sheetViews>
  <sheetFormatPr defaultRowHeight="15" x14ac:dyDescent="0.25"/>
  <cols>
    <col min="2" max="2" width="22.42578125" bestFit="1" customWidth="1"/>
    <col min="3" max="3" width="10" customWidth="1"/>
    <col min="8" max="8" width="9" customWidth="1"/>
    <col min="9" max="9" width="10.7109375" customWidth="1"/>
    <col min="10" max="10" width="9.140625" customWidth="1"/>
    <col min="11" max="11" width="10.85546875" customWidth="1"/>
    <col min="12" max="12" width="10" customWidth="1"/>
    <col min="13" max="13" width="8.5703125" style="261" customWidth="1"/>
    <col min="14" max="14" width="9.42578125" customWidth="1"/>
    <col min="15" max="15" width="9.5703125" style="261" customWidth="1"/>
    <col min="16" max="16" width="9" customWidth="1"/>
    <col min="17" max="17" width="10.85546875" customWidth="1"/>
    <col min="18" max="18" width="9.85546875" customWidth="1"/>
  </cols>
  <sheetData>
    <row r="3" spans="2:18" ht="15" customHeight="1" x14ac:dyDescent="0.25">
      <c r="D3" s="261"/>
      <c r="E3" s="261"/>
      <c r="F3" s="261"/>
      <c r="G3" s="261"/>
      <c r="H3" s="261"/>
      <c r="I3" s="261"/>
      <c r="J3" s="261" t="s">
        <v>150</v>
      </c>
      <c r="K3" s="261"/>
      <c r="L3" s="261"/>
    </row>
    <row r="4" spans="2:18" s="69" customFormat="1" ht="29.25" customHeight="1" x14ac:dyDescent="0.25">
      <c r="B4" s="338" t="s">
        <v>164</v>
      </c>
      <c r="C4" s="338" t="s">
        <v>303</v>
      </c>
      <c r="D4" s="341" t="s">
        <v>301</v>
      </c>
      <c r="E4" s="341" t="s">
        <v>325</v>
      </c>
      <c r="F4" s="341" t="s">
        <v>324</v>
      </c>
      <c r="G4" s="341" t="s">
        <v>326</v>
      </c>
      <c r="H4" s="340" t="s">
        <v>207</v>
      </c>
      <c r="I4" s="340"/>
      <c r="J4" s="340" t="s">
        <v>147</v>
      </c>
      <c r="K4" s="340"/>
      <c r="L4" s="337" t="s">
        <v>315</v>
      </c>
      <c r="M4" s="341" t="s">
        <v>340</v>
      </c>
      <c r="N4" s="337" t="s">
        <v>335</v>
      </c>
      <c r="O4" s="338" t="s">
        <v>341</v>
      </c>
      <c r="P4" s="340" t="s">
        <v>339</v>
      </c>
      <c r="Q4" s="340"/>
      <c r="R4" s="340"/>
    </row>
    <row r="5" spans="2:18" s="69" customFormat="1" ht="28.5" customHeight="1" x14ac:dyDescent="0.25">
      <c r="B5" s="339"/>
      <c r="C5" s="339"/>
      <c r="D5" s="342"/>
      <c r="E5" s="342"/>
      <c r="F5" s="342"/>
      <c r="G5" s="342"/>
      <c r="H5" s="263" t="s">
        <v>145</v>
      </c>
      <c r="I5" s="263" t="s">
        <v>146</v>
      </c>
      <c r="J5" s="263" t="s">
        <v>145</v>
      </c>
      <c r="K5" s="263" t="s">
        <v>146</v>
      </c>
      <c r="L5" s="337"/>
      <c r="M5" s="342"/>
      <c r="N5" s="337"/>
      <c r="O5" s="339"/>
      <c r="P5" s="263" t="s">
        <v>336</v>
      </c>
      <c r="Q5" s="263" t="s">
        <v>337</v>
      </c>
      <c r="R5" s="263" t="s">
        <v>338</v>
      </c>
    </row>
    <row r="6" spans="2:18" s="36" customFormat="1" x14ac:dyDescent="0.25">
      <c r="B6" s="25" t="s">
        <v>165</v>
      </c>
      <c r="C6" s="26">
        <v>273.47000000000003</v>
      </c>
      <c r="D6" s="26">
        <v>213.87</v>
      </c>
      <c r="E6" s="26">
        <v>118.19</v>
      </c>
      <c r="F6" s="26">
        <v>94.100000000000009</v>
      </c>
      <c r="G6" s="26">
        <v>250.58999999999997</v>
      </c>
      <c r="H6" s="26">
        <v>156.48999999999995</v>
      </c>
      <c r="I6" s="267">
        <v>1.6630180658873532</v>
      </c>
      <c r="J6" s="26">
        <v>132.39999999999998</v>
      </c>
      <c r="K6" s="268">
        <v>1.1202301379135289</v>
      </c>
      <c r="L6" s="268">
        <v>1.1716930845840929</v>
      </c>
      <c r="M6" s="26">
        <v>235.88000000000002</v>
      </c>
      <c r="N6" s="25">
        <f>N7+N8+N9+N10+N11+N12</f>
        <v>21.869999999999997</v>
      </c>
      <c r="O6" s="26">
        <f>G6-N6</f>
        <v>228.71999999999997</v>
      </c>
      <c r="P6" s="26">
        <f>J6-N6</f>
        <v>110.52999999999997</v>
      </c>
      <c r="Q6" s="54">
        <f>P6/E6</f>
        <v>0.93518910229291796</v>
      </c>
      <c r="R6" s="54">
        <f t="shared" ref="R6:R12" si="0">(G6-N6)/D6</f>
        <v>1.0694347033244493</v>
      </c>
    </row>
    <row r="7" spans="2:18" x14ac:dyDescent="0.25">
      <c r="B7" s="266" t="s">
        <v>161</v>
      </c>
      <c r="C7" s="22">
        <v>19.690000000000001</v>
      </c>
      <c r="D7" s="22">
        <v>14.25</v>
      </c>
      <c r="E7" s="22">
        <v>5.18</v>
      </c>
      <c r="F7" s="22">
        <v>6.27</v>
      </c>
      <c r="G7" s="22">
        <v>20.89</v>
      </c>
      <c r="H7" s="22">
        <v>14.620000000000001</v>
      </c>
      <c r="I7" s="264">
        <v>2.331738437001595</v>
      </c>
      <c r="J7" s="22">
        <v>15.71</v>
      </c>
      <c r="K7" s="265">
        <v>3.0328185328185331</v>
      </c>
      <c r="L7" s="265">
        <v>1.4659649122807017</v>
      </c>
      <c r="M7" s="22">
        <v>83.33</v>
      </c>
      <c r="N7" s="23"/>
      <c r="O7" s="106">
        <f t="shared" ref="O7:O12" si="1">G7-N7</f>
        <v>20.89</v>
      </c>
      <c r="P7" s="22">
        <f t="shared" ref="P7:P12" si="2">J7-N7</f>
        <v>15.71</v>
      </c>
      <c r="Q7" s="24">
        <f t="shared" ref="Q7:Q12" si="3">P7/E7</f>
        <v>3.0328185328185331</v>
      </c>
      <c r="R7" s="24">
        <f t="shared" si="0"/>
        <v>1.4659649122807017</v>
      </c>
    </row>
    <row r="8" spans="2:18" x14ac:dyDescent="0.25">
      <c r="B8" s="266" t="s">
        <v>334</v>
      </c>
      <c r="C8" s="22">
        <v>0</v>
      </c>
      <c r="D8" s="22">
        <v>0</v>
      </c>
      <c r="E8" s="22">
        <v>0</v>
      </c>
      <c r="F8" s="22">
        <v>0</v>
      </c>
      <c r="G8" s="22">
        <v>53.87</v>
      </c>
      <c r="H8" s="22">
        <v>53.87</v>
      </c>
      <c r="I8" s="264" t="e">
        <v>#DIV/0!</v>
      </c>
      <c r="J8" s="22">
        <v>53.87</v>
      </c>
      <c r="K8" s="265" t="e">
        <v>#DIV/0!</v>
      </c>
      <c r="L8" s="265" t="e">
        <v>#DIV/0!</v>
      </c>
      <c r="M8" s="261">
        <v>0</v>
      </c>
      <c r="N8" s="23"/>
      <c r="O8" s="106">
        <f t="shared" si="1"/>
        <v>53.87</v>
      </c>
      <c r="P8" s="22">
        <f t="shared" si="2"/>
        <v>53.87</v>
      </c>
      <c r="Q8" s="24" t="e">
        <f t="shared" si="3"/>
        <v>#DIV/0!</v>
      </c>
      <c r="R8" s="24" t="e">
        <f t="shared" si="0"/>
        <v>#DIV/0!</v>
      </c>
    </row>
    <row r="9" spans="2:18" x14ac:dyDescent="0.25">
      <c r="B9" s="266" t="s">
        <v>168</v>
      </c>
      <c r="C9" s="22">
        <v>114.4</v>
      </c>
      <c r="D9" s="22">
        <v>78.95</v>
      </c>
      <c r="E9" s="22">
        <v>49.17</v>
      </c>
      <c r="F9" s="22">
        <v>34.74</v>
      </c>
      <c r="G9" s="22">
        <v>26.3</v>
      </c>
      <c r="H9" s="22">
        <v>-8.4400000000000013</v>
      </c>
      <c r="I9" s="264">
        <v>-0.24294761082325853</v>
      </c>
      <c r="J9" s="22">
        <v>-22.87</v>
      </c>
      <c r="K9" s="265">
        <v>-0.46512100874516982</v>
      </c>
      <c r="L9" s="265">
        <v>0.33312222925902468</v>
      </c>
      <c r="M9" s="22">
        <v>61.42</v>
      </c>
      <c r="N9" s="23">
        <f>6.92</f>
        <v>6.92</v>
      </c>
      <c r="O9" s="106">
        <f t="shared" si="1"/>
        <v>19.380000000000003</v>
      </c>
      <c r="P9" s="22">
        <f t="shared" si="2"/>
        <v>-29.79</v>
      </c>
      <c r="Q9" s="24">
        <f t="shared" si="3"/>
        <v>-0.60585723001830383</v>
      </c>
      <c r="R9" s="24">
        <f t="shared" si="0"/>
        <v>0.24547181760607983</v>
      </c>
    </row>
    <row r="10" spans="2:18" x14ac:dyDescent="0.25">
      <c r="B10" s="266" t="s">
        <v>169</v>
      </c>
      <c r="C10" s="22">
        <v>46.69</v>
      </c>
      <c r="D10" s="22">
        <v>34.83</v>
      </c>
      <c r="E10" s="22">
        <v>18.61</v>
      </c>
      <c r="F10" s="22">
        <v>15.32</v>
      </c>
      <c r="G10" s="22">
        <v>11.1</v>
      </c>
      <c r="H10" s="22">
        <v>-4.2200000000000006</v>
      </c>
      <c r="I10" s="264">
        <v>-0.27545691906005226</v>
      </c>
      <c r="J10" s="22">
        <v>-7.51</v>
      </c>
      <c r="K10" s="265">
        <v>-0.40354648038688878</v>
      </c>
      <c r="L10" s="265">
        <v>0.31869078380706289</v>
      </c>
      <c r="M10" s="22">
        <v>36.340000000000003</v>
      </c>
      <c r="N10" s="23">
        <f>3.35</f>
        <v>3.35</v>
      </c>
      <c r="O10" s="106">
        <f t="shared" si="1"/>
        <v>7.75</v>
      </c>
      <c r="P10" s="22">
        <f t="shared" si="2"/>
        <v>-10.86</v>
      </c>
      <c r="Q10" s="24">
        <f t="shared" si="3"/>
        <v>-0.58355722729715209</v>
      </c>
      <c r="R10" s="24">
        <f t="shared" si="0"/>
        <v>0.22250933103646284</v>
      </c>
    </row>
    <row r="11" spans="2:18" x14ac:dyDescent="0.25">
      <c r="B11" s="266" t="s">
        <v>166</v>
      </c>
      <c r="C11" s="22">
        <v>54.55</v>
      </c>
      <c r="D11" s="22">
        <v>31.73</v>
      </c>
      <c r="E11" s="22">
        <v>12.5</v>
      </c>
      <c r="F11" s="22">
        <v>13.96</v>
      </c>
      <c r="G11" s="22">
        <v>47.51</v>
      </c>
      <c r="H11" s="22">
        <v>33.549999999999997</v>
      </c>
      <c r="I11" s="264">
        <v>2.4032951289398277</v>
      </c>
      <c r="J11" s="22">
        <v>35.01</v>
      </c>
      <c r="K11" s="265">
        <v>2.8007999999999997</v>
      </c>
      <c r="L11" s="265">
        <v>1.4973211471793255</v>
      </c>
      <c r="M11" s="22">
        <v>8.58</v>
      </c>
      <c r="N11" s="23">
        <f>11.6</f>
        <v>11.6</v>
      </c>
      <c r="O11" s="106">
        <f t="shared" si="1"/>
        <v>35.909999999999997</v>
      </c>
      <c r="P11" s="22">
        <f t="shared" si="2"/>
        <v>23.409999999999997</v>
      </c>
      <c r="Q11" s="24">
        <f t="shared" si="3"/>
        <v>1.8727999999999998</v>
      </c>
      <c r="R11" s="24">
        <f t="shared" si="0"/>
        <v>1.1317365269461077</v>
      </c>
    </row>
    <row r="12" spans="2:18" x14ac:dyDescent="0.25">
      <c r="B12" s="266" t="s">
        <v>167</v>
      </c>
      <c r="C12" s="22">
        <v>38.14</v>
      </c>
      <c r="D12" s="22">
        <v>54.11</v>
      </c>
      <c r="E12" s="22">
        <v>32.729999999999997</v>
      </c>
      <c r="F12" s="22">
        <v>23.81</v>
      </c>
      <c r="G12" s="22">
        <v>90.92</v>
      </c>
      <c r="H12" s="22">
        <v>67.11</v>
      </c>
      <c r="I12" s="264">
        <v>2.8185636287274254</v>
      </c>
      <c r="J12" s="22">
        <v>58.190000000000005</v>
      </c>
      <c r="K12" s="265">
        <v>1.7778796211426828</v>
      </c>
      <c r="L12" s="265">
        <v>1.680280909258917</v>
      </c>
      <c r="M12" s="22">
        <v>46.21</v>
      </c>
      <c r="N12" s="23"/>
      <c r="O12" s="106">
        <f t="shared" si="1"/>
        <v>90.92</v>
      </c>
      <c r="P12" s="22">
        <f t="shared" si="2"/>
        <v>58.190000000000005</v>
      </c>
      <c r="Q12" s="24">
        <f t="shared" si="3"/>
        <v>1.7778796211426828</v>
      </c>
      <c r="R12" s="24">
        <f t="shared" si="0"/>
        <v>1.680280909258917</v>
      </c>
    </row>
    <row r="13" spans="2:18" s="36" customFormat="1" x14ac:dyDescent="0.25">
      <c r="B13" s="25" t="s">
        <v>170</v>
      </c>
      <c r="C13" s="26">
        <v>663.48</v>
      </c>
      <c r="D13" s="26">
        <v>685.16</v>
      </c>
      <c r="E13" s="26">
        <v>263.08999999999997</v>
      </c>
      <c r="F13" s="26">
        <v>301.47000000000003</v>
      </c>
      <c r="G13" s="26">
        <v>391.07</v>
      </c>
      <c r="H13" s="26">
        <v>89.599999999999966</v>
      </c>
      <c r="I13" s="267">
        <v>0.29721033602016772</v>
      </c>
      <c r="J13" s="26">
        <v>127.98000000000002</v>
      </c>
      <c r="K13" s="268">
        <v>0.48644950397202491</v>
      </c>
      <c r="L13" s="268">
        <v>0.57077179053067895</v>
      </c>
      <c r="M13" s="26">
        <v>394.26</v>
      </c>
      <c r="N13" s="25"/>
      <c r="O13" s="25"/>
      <c r="P13" s="25"/>
      <c r="Q13" s="25"/>
      <c r="R13" s="25"/>
    </row>
    <row r="14" spans="2:18" x14ac:dyDescent="0.25">
      <c r="B14" s="23" t="s">
        <v>130</v>
      </c>
      <c r="C14" s="22">
        <v>936.95</v>
      </c>
      <c r="D14" s="22">
        <v>899.03</v>
      </c>
      <c r="E14" s="22">
        <v>381.28</v>
      </c>
      <c r="F14" s="22">
        <v>395.57000000000005</v>
      </c>
      <c r="G14" s="22">
        <v>641.66</v>
      </c>
      <c r="H14" s="22">
        <v>246.08999999999992</v>
      </c>
      <c r="I14" s="264">
        <v>0.62211492276967384</v>
      </c>
      <c r="J14" s="22">
        <v>260.38</v>
      </c>
      <c r="K14" s="265">
        <v>0.68291019723038193</v>
      </c>
      <c r="L14" s="265">
        <v>0.71372479227611985</v>
      </c>
      <c r="M14" s="106">
        <v>630.14</v>
      </c>
      <c r="N14" s="23"/>
      <c r="O14" s="23"/>
      <c r="P14" s="23"/>
      <c r="Q14" s="23"/>
      <c r="R14" s="23"/>
    </row>
  </sheetData>
  <mergeCells count="13">
    <mergeCell ref="G4:G5"/>
    <mergeCell ref="H4:I4"/>
    <mergeCell ref="B4:B5"/>
    <mergeCell ref="C4:C5"/>
    <mergeCell ref="D4:D5"/>
    <mergeCell ref="E4:E5"/>
    <mergeCell ref="F4:F5"/>
    <mergeCell ref="N4:N5"/>
    <mergeCell ref="O4:O5"/>
    <mergeCell ref="P4:R4"/>
    <mergeCell ref="M4:M5"/>
    <mergeCell ref="J4:K4"/>
    <mergeCell ref="L4:L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FFBC0-9FA3-4502-8C9D-A2ACA6A0A07C}">
  <dimension ref="B2:O57"/>
  <sheetViews>
    <sheetView topLeftCell="A52" workbookViewId="0">
      <selection activeCell="B1" sqref="B1:O57"/>
    </sheetView>
  </sheetViews>
  <sheetFormatPr defaultRowHeight="15" x14ac:dyDescent="0.25"/>
  <cols>
    <col min="2" max="2" width="24.85546875" customWidth="1"/>
    <col min="5" max="5" width="2.140625" customWidth="1"/>
    <col min="12" max="12" width="11" customWidth="1"/>
    <col min="14" max="14" width="10.85546875" customWidth="1"/>
    <col min="15" max="15" width="10" customWidth="1"/>
  </cols>
  <sheetData>
    <row r="2" spans="2:15" ht="15" customHeight="1" x14ac:dyDescent="0.25">
      <c r="B2" s="292" t="s">
        <v>164</v>
      </c>
      <c r="C2" s="291" t="s">
        <v>303</v>
      </c>
      <c r="D2" s="291" t="s">
        <v>173</v>
      </c>
      <c r="E2" s="293"/>
      <c r="F2" s="288" t="s">
        <v>301</v>
      </c>
      <c r="G2" s="291" t="s">
        <v>206</v>
      </c>
      <c r="H2" s="288" t="s">
        <v>325</v>
      </c>
      <c r="I2" s="288" t="s">
        <v>324</v>
      </c>
      <c r="J2" s="288" t="s">
        <v>326</v>
      </c>
      <c r="K2" s="290" t="s">
        <v>207</v>
      </c>
      <c r="L2" s="290"/>
      <c r="M2" s="290" t="s">
        <v>147</v>
      </c>
      <c r="N2" s="290"/>
      <c r="O2" s="292" t="s">
        <v>315</v>
      </c>
    </row>
    <row r="3" spans="2:15" ht="30" x14ac:dyDescent="0.25">
      <c r="B3" s="292"/>
      <c r="C3" s="289"/>
      <c r="D3" s="289"/>
      <c r="E3" s="294"/>
      <c r="F3" s="289"/>
      <c r="G3" s="289"/>
      <c r="H3" s="289"/>
      <c r="I3" s="289"/>
      <c r="J3" s="289"/>
      <c r="K3" s="79" t="s">
        <v>145</v>
      </c>
      <c r="L3" s="80" t="s">
        <v>146</v>
      </c>
      <c r="M3" s="79" t="s">
        <v>145</v>
      </c>
      <c r="N3" s="80" t="s">
        <v>146</v>
      </c>
      <c r="O3" s="292"/>
    </row>
    <row r="4" spans="2:15" x14ac:dyDescent="0.25">
      <c r="B4" s="27" t="s">
        <v>165</v>
      </c>
      <c r="C4" s="104">
        <v>273.47000000000003</v>
      </c>
      <c r="D4" s="66">
        <v>3.4979489665528697E-2</v>
      </c>
      <c r="E4" s="294"/>
      <c r="F4" s="21">
        <v>213.87</v>
      </c>
      <c r="G4" s="24">
        <v>2.5857816467174465E-2</v>
      </c>
      <c r="H4" s="70">
        <v>118.19</v>
      </c>
      <c r="I4" s="21">
        <v>94.100000000000009</v>
      </c>
      <c r="J4" s="21">
        <v>250.58999999999997</v>
      </c>
      <c r="K4" s="22">
        <v>156.48999999999995</v>
      </c>
      <c r="L4" s="24">
        <v>1.6630180658873532</v>
      </c>
      <c r="M4" s="22">
        <v>132.39999999999998</v>
      </c>
      <c r="N4" s="52">
        <v>1.1202301379135289</v>
      </c>
      <c r="O4" s="52">
        <v>1.1716930845840929</v>
      </c>
    </row>
    <row r="5" spans="2:15" x14ac:dyDescent="0.25">
      <c r="B5" s="57" t="s">
        <v>161</v>
      </c>
      <c r="C5" s="21">
        <v>19.690000000000001</v>
      </c>
      <c r="D5" s="66">
        <v>2.5185437214841119E-3</v>
      </c>
      <c r="E5" s="294"/>
      <c r="F5" s="21">
        <v>14.25</v>
      </c>
      <c r="G5" s="24">
        <v>1.7228871962277838E-3</v>
      </c>
      <c r="H5" s="70">
        <v>5.18</v>
      </c>
      <c r="I5" s="21">
        <v>6.27</v>
      </c>
      <c r="J5" s="21">
        <v>20.89</v>
      </c>
      <c r="K5" s="22">
        <v>14.620000000000001</v>
      </c>
      <c r="L5" s="24">
        <v>2.331738437001595</v>
      </c>
      <c r="M5" s="22">
        <v>15.71</v>
      </c>
      <c r="N5" s="52">
        <v>3.0328185328185331</v>
      </c>
      <c r="O5" s="52">
        <v>1.4659649122807017</v>
      </c>
    </row>
    <row r="6" spans="2:15" x14ac:dyDescent="0.25">
      <c r="B6" s="262" t="s">
        <v>334</v>
      </c>
      <c r="C6" s="21">
        <v>0</v>
      </c>
      <c r="D6" s="66">
        <v>0</v>
      </c>
      <c r="E6" s="294"/>
      <c r="F6" s="21">
        <v>0</v>
      </c>
      <c r="G6" s="24">
        <v>0</v>
      </c>
      <c r="H6" s="70">
        <v>0</v>
      </c>
      <c r="I6" s="21">
        <v>0</v>
      </c>
      <c r="J6" s="21">
        <v>53.87</v>
      </c>
      <c r="K6" s="22">
        <v>53.87</v>
      </c>
      <c r="L6" s="24" t="e">
        <v>#DIV/0!</v>
      </c>
      <c r="M6" s="22">
        <v>53.87</v>
      </c>
      <c r="N6" s="52" t="e">
        <v>#DIV/0!</v>
      </c>
      <c r="O6" s="52" t="e">
        <v>#DIV/0!</v>
      </c>
    </row>
    <row r="7" spans="2:15" x14ac:dyDescent="0.25">
      <c r="B7" s="58" t="s">
        <v>168</v>
      </c>
      <c r="C7" s="108">
        <v>114.4</v>
      </c>
      <c r="D7" s="66">
        <v>1.4632879722589252E-2</v>
      </c>
      <c r="E7" s="294"/>
      <c r="F7" s="21">
        <v>78.95</v>
      </c>
      <c r="G7" s="24">
        <v>9.5453995889251599E-3</v>
      </c>
      <c r="H7" s="70">
        <v>49.17</v>
      </c>
      <c r="I7" s="21">
        <v>34.74</v>
      </c>
      <c r="J7" s="21">
        <v>26.3</v>
      </c>
      <c r="K7" s="22">
        <v>-8.4400000000000013</v>
      </c>
      <c r="L7" s="24">
        <v>-0.24294761082325853</v>
      </c>
      <c r="M7" s="22">
        <v>-22.87</v>
      </c>
      <c r="N7" s="52">
        <v>-0.46512100874516982</v>
      </c>
      <c r="O7" s="52">
        <v>0.33312222925902468</v>
      </c>
    </row>
    <row r="8" spans="2:15" x14ac:dyDescent="0.25">
      <c r="B8" s="58" t="s">
        <v>169</v>
      </c>
      <c r="C8" s="108">
        <v>46.69</v>
      </c>
      <c r="D8" s="66">
        <v>5.9721079916756304E-3</v>
      </c>
      <c r="E8" s="294"/>
      <c r="F8" s="21">
        <v>34.83</v>
      </c>
      <c r="G8" s="24">
        <v>4.2110990206746463E-3</v>
      </c>
      <c r="H8" s="70">
        <v>18.61</v>
      </c>
      <c r="I8" s="21">
        <v>15.32</v>
      </c>
      <c r="J8" s="21">
        <v>11.1</v>
      </c>
      <c r="K8" s="22">
        <v>-4.2200000000000006</v>
      </c>
      <c r="L8" s="24">
        <v>-0.27545691906005226</v>
      </c>
      <c r="M8" s="22">
        <v>-7.51</v>
      </c>
      <c r="N8" s="52">
        <v>-0.40354648038688878</v>
      </c>
      <c r="O8" s="52">
        <v>0.31869078380706289</v>
      </c>
    </row>
    <row r="9" spans="2:15" x14ac:dyDescent="0.25">
      <c r="B9" s="57" t="s">
        <v>166</v>
      </c>
      <c r="C9" s="21">
        <v>54.55</v>
      </c>
      <c r="D9" s="66">
        <v>6.9774789236647173E-3</v>
      </c>
      <c r="E9" s="294"/>
      <c r="F9" s="21">
        <v>31.73</v>
      </c>
      <c r="G9" s="24">
        <v>3.8362954902671988E-3</v>
      </c>
      <c r="H9" s="70">
        <v>12.5</v>
      </c>
      <c r="I9" s="21">
        <v>13.96</v>
      </c>
      <c r="J9" s="21">
        <v>47.51</v>
      </c>
      <c r="K9" s="22">
        <v>33.549999999999997</v>
      </c>
      <c r="L9" s="24">
        <v>2.4032951289398277</v>
      </c>
      <c r="M9" s="22">
        <v>35.01</v>
      </c>
      <c r="N9" s="52">
        <v>2.8007999999999997</v>
      </c>
      <c r="O9" s="52">
        <v>1.4973211471793255</v>
      </c>
    </row>
    <row r="10" spans="2:15" x14ac:dyDescent="0.25">
      <c r="B10" s="58" t="s">
        <v>167</v>
      </c>
      <c r="C10" s="108">
        <v>38.14</v>
      </c>
      <c r="D10" s="66">
        <v>4.878479306114983E-3</v>
      </c>
      <c r="E10" s="294"/>
      <c r="F10" s="21">
        <v>54.11</v>
      </c>
      <c r="G10" s="24">
        <v>6.5421351710796757E-3</v>
      </c>
      <c r="H10" s="70">
        <v>32.729999999999997</v>
      </c>
      <c r="I10" s="21">
        <v>23.81</v>
      </c>
      <c r="J10" s="21">
        <v>90.92</v>
      </c>
      <c r="K10" s="22">
        <v>67.11</v>
      </c>
      <c r="L10" s="24">
        <v>2.8185636287274254</v>
      </c>
      <c r="M10" s="22">
        <v>58.190000000000005</v>
      </c>
      <c r="N10" s="52">
        <v>1.7778796211426828</v>
      </c>
      <c r="O10" s="52">
        <v>1.680280909258917</v>
      </c>
    </row>
    <row r="11" spans="2:15" x14ac:dyDescent="0.25">
      <c r="B11" s="59" t="s">
        <v>170</v>
      </c>
      <c r="C11" s="103">
        <v>663.48</v>
      </c>
      <c r="D11" s="66">
        <v>8.4865585999506263E-2</v>
      </c>
      <c r="E11" s="294"/>
      <c r="F11" s="21">
        <v>685.16</v>
      </c>
      <c r="G11" s="24">
        <v>8.2838834481924792E-2</v>
      </c>
      <c r="H11" s="70">
        <v>263.08999999999997</v>
      </c>
      <c r="I11" s="21">
        <v>301.47000000000003</v>
      </c>
      <c r="J11" s="21">
        <v>391.07</v>
      </c>
      <c r="K11" s="22">
        <v>89.599999999999966</v>
      </c>
      <c r="L11" s="24">
        <v>0.29721033602016772</v>
      </c>
      <c r="M11" s="22">
        <v>127.98000000000002</v>
      </c>
      <c r="N11" s="52">
        <v>0.48644950397202491</v>
      </c>
      <c r="O11" s="52">
        <v>0.57077179053067895</v>
      </c>
    </row>
    <row r="12" spans="2:15" x14ac:dyDescent="0.25">
      <c r="B12" s="60" t="s">
        <v>130</v>
      </c>
      <c r="C12" s="74">
        <v>936.95</v>
      </c>
      <c r="D12" s="67">
        <v>0.11984507566503497</v>
      </c>
      <c r="E12" s="295"/>
      <c r="F12" s="26">
        <v>899.03</v>
      </c>
      <c r="G12" s="54">
        <v>0.10869665094909926</v>
      </c>
      <c r="H12" s="74">
        <v>381.28</v>
      </c>
      <c r="I12" s="26">
        <v>395.57000000000005</v>
      </c>
      <c r="J12" s="26">
        <v>641.66</v>
      </c>
      <c r="K12" s="26">
        <v>246.08999999999992</v>
      </c>
      <c r="L12" s="54">
        <v>0.62211492276967384</v>
      </c>
      <c r="M12" s="26">
        <v>260.38</v>
      </c>
      <c r="N12" s="55">
        <v>0.68291019723038193</v>
      </c>
      <c r="O12" s="55">
        <v>0.71372479227611985</v>
      </c>
    </row>
    <row r="14" spans="2:15" ht="15" customHeight="1" x14ac:dyDescent="0.25">
      <c r="B14" s="292" t="s">
        <v>164</v>
      </c>
      <c r="C14" s="291" t="s">
        <v>303</v>
      </c>
      <c r="D14" s="291" t="s">
        <v>173</v>
      </c>
      <c r="E14" s="278"/>
      <c r="F14" s="288" t="s">
        <v>301</v>
      </c>
      <c r="G14" s="291" t="s">
        <v>206</v>
      </c>
      <c r="H14" s="288" t="s">
        <v>342</v>
      </c>
      <c r="I14" s="288" t="s">
        <v>343</v>
      </c>
      <c r="J14" s="288" t="s">
        <v>344</v>
      </c>
      <c r="K14" s="290" t="s">
        <v>207</v>
      </c>
      <c r="L14" s="290"/>
      <c r="M14" s="290" t="s">
        <v>147</v>
      </c>
      <c r="N14" s="290"/>
      <c r="O14" s="292" t="s">
        <v>315</v>
      </c>
    </row>
    <row r="15" spans="2:15" ht="30" x14ac:dyDescent="0.25">
      <c r="B15" s="292"/>
      <c r="C15" s="289"/>
      <c r="D15" s="289"/>
      <c r="E15" s="343"/>
      <c r="F15" s="289"/>
      <c r="G15" s="289"/>
      <c r="H15" s="289"/>
      <c r="I15" s="289"/>
      <c r="J15" s="289"/>
      <c r="K15" s="79" t="s">
        <v>145</v>
      </c>
      <c r="L15" s="80" t="s">
        <v>146</v>
      </c>
      <c r="M15" s="79" t="s">
        <v>145</v>
      </c>
      <c r="N15" s="80" t="s">
        <v>146</v>
      </c>
      <c r="O15" s="292"/>
    </row>
    <row r="16" spans="2:15" x14ac:dyDescent="0.25">
      <c r="B16" s="27" t="s">
        <v>165</v>
      </c>
      <c r="C16" s="104">
        <v>273.47000000000003</v>
      </c>
      <c r="D16" s="66">
        <v>3.4979489665528697E-2</v>
      </c>
      <c r="E16" s="343"/>
      <c r="F16" s="21">
        <v>213.87</v>
      </c>
      <c r="G16" s="24">
        <v>2.5857816467174465E-2</v>
      </c>
      <c r="H16" s="70">
        <v>96.039999999999992</v>
      </c>
      <c r="I16" s="21">
        <v>76.990000000000009</v>
      </c>
      <c r="J16" s="21">
        <v>197.15</v>
      </c>
      <c r="K16" s="22">
        <v>120.16</v>
      </c>
      <c r="L16" s="24">
        <v>1.5607221717106115</v>
      </c>
      <c r="M16" s="22">
        <v>101.11000000000001</v>
      </c>
      <c r="N16" s="52">
        <v>1.0527905039566849</v>
      </c>
      <c r="O16" s="52">
        <v>0.92182166736802729</v>
      </c>
    </row>
    <row r="17" spans="2:15" x14ac:dyDescent="0.25">
      <c r="B17" s="57" t="s">
        <v>161</v>
      </c>
      <c r="C17" s="21">
        <v>19.690000000000001</v>
      </c>
      <c r="D17" s="66">
        <v>2.5185437214841119E-3</v>
      </c>
      <c r="E17" s="343"/>
      <c r="F17" s="21">
        <v>14.25</v>
      </c>
      <c r="G17" s="24">
        <v>1.7228871962277838E-3</v>
      </c>
      <c r="H17" s="70">
        <v>4.37</v>
      </c>
      <c r="I17" s="21">
        <v>5.13</v>
      </c>
      <c r="J17" s="21">
        <v>14.88</v>
      </c>
      <c r="K17" s="22">
        <v>9.75</v>
      </c>
      <c r="L17" s="24">
        <v>1.9005847953216375</v>
      </c>
      <c r="M17" s="22">
        <v>10.510000000000002</v>
      </c>
      <c r="N17" s="52">
        <v>2.4050343249427919</v>
      </c>
      <c r="O17" s="52">
        <v>1.0442105263157895</v>
      </c>
    </row>
    <row r="18" spans="2:15" x14ac:dyDescent="0.25">
      <c r="B18" s="57" t="s">
        <v>345</v>
      </c>
      <c r="C18" s="21">
        <v>0</v>
      </c>
      <c r="D18" s="66">
        <v>0</v>
      </c>
      <c r="E18" s="343"/>
      <c r="F18" s="21">
        <v>0</v>
      </c>
      <c r="G18" s="24">
        <v>0</v>
      </c>
      <c r="H18" s="70">
        <v>0</v>
      </c>
      <c r="I18" s="21">
        <v>0</v>
      </c>
      <c r="J18" s="21">
        <v>13.32</v>
      </c>
      <c r="K18" s="22">
        <v>13.32</v>
      </c>
      <c r="L18" s="24" t="e">
        <v>#DIV/0!</v>
      </c>
      <c r="M18" s="22">
        <v>13.32</v>
      </c>
      <c r="N18" s="52" t="e">
        <v>#DIV/0!</v>
      </c>
      <c r="O18" s="55" t="e">
        <v>#DIV/0!</v>
      </c>
    </row>
    <row r="19" spans="2:15" x14ac:dyDescent="0.25">
      <c r="B19" s="57" t="s">
        <v>168</v>
      </c>
      <c r="C19" s="21">
        <v>114.4</v>
      </c>
      <c r="D19" s="66">
        <v>1.4632879722589252E-2</v>
      </c>
      <c r="E19" s="343"/>
      <c r="F19" s="21">
        <v>78.95</v>
      </c>
      <c r="G19" s="24">
        <v>9.5453995889251599E-3</v>
      </c>
      <c r="H19" s="70">
        <v>41.96</v>
      </c>
      <c r="I19" s="21">
        <v>28.42</v>
      </c>
      <c r="J19" s="21">
        <v>39.44</v>
      </c>
      <c r="K19" s="22">
        <v>11.019999999999996</v>
      </c>
      <c r="L19" s="24">
        <v>0.38775510204081615</v>
      </c>
      <c r="M19" s="22">
        <v>-2.5200000000000031</v>
      </c>
      <c r="N19" s="52">
        <v>-6.0057197330791304E-2</v>
      </c>
      <c r="O19" s="52">
        <v>0.49955668144395182</v>
      </c>
    </row>
    <row r="20" spans="2:15" x14ac:dyDescent="0.25">
      <c r="B20" s="57" t="s">
        <v>169</v>
      </c>
      <c r="C20" s="21">
        <v>46.69</v>
      </c>
      <c r="D20" s="66">
        <v>5.9721079916756304E-3</v>
      </c>
      <c r="E20" s="343"/>
      <c r="F20" s="21">
        <v>34.83</v>
      </c>
      <c r="G20" s="24">
        <v>4.2110990206746463E-3</v>
      </c>
      <c r="H20" s="70">
        <v>15.29</v>
      </c>
      <c r="I20" s="21">
        <v>12.54</v>
      </c>
      <c r="J20" s="21">
        <v>17.75</v>
      </c>
      <c r="K20" s="22">
        <v>5.2100000000000009</v>
      </c>
      <c r="L20" s="24">
        <v>0.41547049441786293</v>
      </c>
      <c r="M20" s="22">
        <v>2.4600000000000009</v>
      </c>
      <c r="N20" s="52">
        <v>0.1608894702419883</v>
      </c>
      <c r="O20" s="52">
        <v>0.50961814527706006</v>
      </c>
    </row>
    <row r="21" spans="2:15" x14ac:dyDescent="0.25">
      <c r="B21" s="57" t="s">
        <v>166</v>
      </c>
      <c r="C21" s="21">
        <v>54.55</v>
      </c>
      <c r="D21" s="66">
        <v>6.9774789236647173E-3</v>
      </c>
      <c r="E21" s="343"/>
      <c r="F21" s="21">
        <v>31.73</v>
      </c>
      <c r="G21" s="24">
        <v>3.8362954902671988E-3</v>
      </c>
      <c r="H21" s="70">
        <v>10.1</v>
      </c>
      <c r="I21" s="21">
        <v>11.42</v>
      </c>
      <c r="J21" s="21">
        <v>41.01</v>
      </c>
      <c r="K21" s="22">
        <v>29.589999999999996</v>
      </c>
      <c r="L21" s="24">
        <v>2.5910683012259192</v>
      </c>
      <c r="M21" s="22">
        <v>30.909999999999997</v>
      </c>
      <c r="N21" s="52">
        <v>3.06039603960396</v>
      </c>
      <c r="O21" s="55">
        <v>1.2924676961865742</v>
      </c>
    </row>
    <row r="22" spans="2:15" x14ac:dyDescent="0.25">
      <c r="B22" s="57" t="s">
        <v>167</v>
      </c>
      <c r="C22" s="21">
        <v>38.14</v>
      </c>
      <c r="D22" s="66">
        <v>4.878479306114983E-3</v>
      </c>
      <c r="E22" s="343"/>
      <c r="F22" s="21">
        <v>54.11</v>
      </c>
      <c r="G22" s="24">
        <v>6.5421351710796757E-3</v>
      </c>
      <c r="H22" s="70">
        <v>24.32</v>
      </c>
      <c r="I22" s="21">
        <v>19.48</v>
      </c>
      <c r="J22" s="21">
        <v>70.75</v>
      </c>
      <c r="K22" s="22">
        <v>51.269999999999996</v>
      </c>
      <c r="L22" s="24">
        <v>2.6319301848049279</v>
      </c>
      <c r="M22" s="22">
        <v>46.43</v>
      </c>
      <c r="N22" s="52">
        <v>1.9091282894736841</v>
      </c>
      <c r="O22" s="52">
        <v>1.3075217150249492</v>
      </c>
    </row>
    <row r="23" spans="2:15" x14ac:dyDescent="0.25">
      <c r="B23" s="27" t="s">
        <v>170</v>
      </c>
      <c r="C23" s="104">
        <v>663.48</v>
      </c>
      <c r="D23" s="66">
        <v>8.4865585999506263E-2</v>
      </c>
      <c r="E23" s="343"/>
      <c r="F23" s="21">
        <v>685.16</v>
      </c>
      <c r="G23" s="24">
        <v>8.2838834481924792E-2</v>
      </c>
      <c r="H23" s="70">
        <v>209.43</v>
      </c>
      <c r="I23" s="21">
        <v>246.66</v>
      </c>
      <c r="J23" s="21">
        <v>298.18</v>
      </c>
      <c r="K23" s="22">
        <v>51.52000000000001</v>
      </c>
      <c r="L23" s="24">
        <v>0.20887051001378421</v>
      </c>
      <c r="M23" s="22">
        <v>88.75</v>
      </c>
      <c r="N23" s="52">
        <v>0.42376927851788188</v>
      </c>
      <c r="O23" s="52">
        <v>0.43519761807461033</v>
      </c>
    </row>
    <row r="24" spans="2:15" x14ac:dyDescent="0.25">
      <c r="B24" s="269" t="s">
        <v>130</v>
      </c>
      <c r="C24" s="74">
        <v>936.95</v>
      </c>
      <c r="D24" s="67">
        <v>0.11984507566503497</v>
      </c>
      <c r="E24" s="279"/>
      <c r="F24" s="26">
        <v>899.03</v>
      </c>
      <c r="G24" s="54">
        <v>0.10869665094909926</v>
      </c>
      <c r="H24" s="74">
        <v>305.47000000000003</v>
      </c>
      <c r="I24" s="26">
        <v>323.64999999999998</v>
      </c>
      <c r="J24" s="26">
        <v>495.33000000000004</v>
      </c>
      <c r="K24" s="26">
        <v>171.68000000000006</v>
      </c>
      <c r="L24" s="54">
        <v>0.53044955970956298</v>
      </c>
      <c r="M24" s="26">
        <v>189.86</v>
      </c>
      <c r="N24" s="55">
        <v>0.62153402952826786</v>
      </c>
      <c r="O24" s="55">
        <v>0.55096047962804362</v>
      </c>
    </row>
    <row r="26" spans="2:15" ht="15" customHeight="1" x14ac:dyDescent="0.25">
      <c r="B26" s="292" t="s">
        <v>164</v>
      </c>
      <c r="C26" s="291" t="s">
        <v>303</v>
      </c>
      <c r="D26" s="291" t="s">
        <v>173</v>
      </c>
      <c r="E26" s="278"/>
      <c r="F26" s="288" t="s">
        <v>301</v>
      </c>
      <c r="G26" s="291" t="s">
        <v>206</v>
      </c>
      <c r="H26" s="288" t="s">
        <v>346</v>
      </c>
      <c r="I26" s="288" t="s">
        <v>347</v>
      </c>
      <c r="J26" s="288" t="s">
        <v>348</v>
      </c>
      <c r="K26" s="290" t="s">
        <v>207</v>
      </c>
      <c r="L26" s="290"/>
      <c r="M26" s="290" t="s">
        <v>147</v>
      </c>
      <c r="N26" s="290"/>
      <c r="O26" s="292" t="s">
        <v>315</v>
      </c>
    </row>
    <row r="27" spans="2:15" ht="30" x14ac:dyDescent="0.25">
      <c r="B27" s="292"/>
      <c r="C27" s="289"/>
      <c r="D27" s="289"/>
      <c r="E27" s="343"/>
      <c r="F27" s="289"/>
      <c r="G27" s="289"/>
      <c r="H27" s="289"/>
      <c r="I27" s="289"/>
      <c r="J27" s="289"/>
      <c r="K27" s="79" t="s">
        <v>145</v>
      </c>
      <c r="L27" s="80" t="s">
        <v>146</v>
      </c>
      <c r="M27" s="79" t="s">
        <v>145</v>
      </c>
      <c r="N27" s="80" t="s">
        <v>146</v>
      </c>
      <c r="O27" s="292"/>
    </row>
    <row r="28" spans="2:15" x14ac:dyDescent="0.25">
      <c r="B28" s="27" t="s">
        <v>165</v>
      </c>
      <c r="C28" s="104">
        <v>273.47000000000003</v>
      </c>
      <c r="D28" s="66">
        <v>3.4979489665528697E-2</v>
      </c>
      <c r="E28" s="343"/>
      <c r="F28" s="21">
        <v>213.87</v>
      </c>
      <c r="G28" s="24">
        <v>2.684448349441446E-2</v>
      </c>
      <c r="H28" s="70">
        <v>70.94</v>
      </c>
      <c r="I28" s="21">
        <v>55.610000000000007</v>
      </c>
      <c r="J28" s="21">
        <v>164.14000000000001</v>
      </c>
      <c r="K28" s="22">
        <v>108.53</v>
      </c>
      <c r="L28" s="24">
        <v>1.9516274051429596</v>
      </c>
      <c r="M28" s="22">
        <v>93.200000000000017</v>
      </c>
      <c r="N28" s="52">
        <v>1.3137862982802371</v>
      </c>
      <c r="O28" s="52">
        <v>0.76747556927105254</v>
      </c>
    </row>
    <row r="29" spans="2:15" x14ac:dyDescent="0.25">
      <c r="B29" s="57" t="s">
        <v>161</v>
      </c>
      <c r="C29" s="21">
        <v>19.690000000000001</v>
      </c>
      <c r="D29" s="66">
        <v>2.5185437214841119E-3</v>
      </c>
      <c r="E29" s="343"/>
      <c r="F29" s="21">
        <v>14.25</v>
      </c>
      <c r="G29" s="24">
        <v>1.7886280908748589E-3</v>
      </c>
      <c r="H29" s="70">
        <v>3.62</v>
      </c>
      <c r="I29" s="21">
        <v>3.71</v>
      </c>
      <c r="J29" s="21">
        <v>10.26</v>
      </c>
      <c r="K29" s="22">
        <v>6.55</v>
      </c>
      <c r="L29" s="24">
        <v>1.7654986522911051</v>
      </c>
      <c r="M29" s="22">
        <v>6.64</v>
      </c>
      <c r="N29" s="52">
        <v>1.8342541436464086</v>
      </c>
      <c r="O29" s="52">
        <v>0.72</v>
      </c>
    </row>
    <row r="30" spans="2:15" x14ac:dyDescent="0.25">
      <c r="B30" s="57" t="s">
        <v>168</v>
      </c>
      <c r="C30" s="21">
        <v>114.4</v>
      </c>
      <c r="D30" s="66">
        <v>1.4632879722589252E-2</v>
      </c>
      <c r="E30" s="343"/>
      <c r="F30" s="21">
        <v>78.95</v>
      </c>
      <c r="G30" s="24">
        <v>9.9096272122505338E-3</v>
      </c>
      <c r="H30" s="70">
        <v>28.24</v>
      </c>
      <c r="I30" s="21">
        <v>20.53</v>
      </c>
      <c r="J30" s="21">
        <v>62.36</v>
      </c>
      <c r="K30" s="22">
        <v>41.83</v>
      </c>
      <c r="L30" s="24">
        <v>2.0375060886507548</v>
      </c>
      <c r="M30" s="22">
        <v>34.120000000000005</v>
      </c>
      <c r="N30" s="52">
        <v>1.2082152974504252</v>
      </c>
      <c r="O30" s="52">
        <v>0.78986700443318547</v>
      </c>
    </row>
    <row r="31" spans="2:15" x14ac:dyDescent="0.25">
      <c r="B31" s="57" t="s">
        <v>169</v>
      </c>
      <c r="C31" s="21">
        <v>46.69</v>
      </c>
      <c r="D31" s="66">
        <v>5.9721079916756304E-3</v>
      </c>
      <c r="E31" s="343"/>
      <c r="F31" s="21">
        <v>34.83</v>
      </c>
      <c r="G31" s="24">
        <v>4.3717836073804443E-3</v>
      </c>
      <c r="H31" s="70">
        <v>11.4</v>
      </c>
      <c r="I31" s="21">
        <v>9.0500000000000007</v>
      </c>
      <c r="J31" s="21">
        <v>26.21</v>
      </c>
      <c r="K31" s="22">
        <v>17.16</v>
      </c>
      <c r="L31" s="24">
        <v>1.8961325966850828</v>
      </c>
      <c r="M31" s="22">
        <v>14.81</v>
      </c>
      <c r="N31" s="52">
        <v>1.2991228070175438</v>
      </c>
      <c r="O31" s="52">
        <v>0.75251220212460523</v>
      </c>
    </row>
    <row r="32" spans="2:15" x14ac:dyDescent="0.25">
      <c r="B32" s="57" t="s">
        <v>166</v>
      </c>
      <c r="C32" s="21">
        <v>54.55</v>
      </c>
      <c r="D32" s="66">
        <v>6.9774789236647173E-3</v>
      </c>
      <c r="E32" s="343"/>
      <c r="F32" s="21">
        <v>31.73</v>
      </c>
      <c r="G32" s="24">
        <v>3.9826785490146861E-3</v>
      </c>
      <c r="H32" s="70">
        <v>6.98</v>
      </c>
      <c r="I32" s="21">
        <v>8.25</v>
      </c>
      <c r="J32" s="21">
        <v>30.83</v>
      </c>
      <c r="K32" s="22">
        <v>22.58</v>
      </c>
      <c r="L32" s="24">
        <v>2.7369696969696968</v>
      </c>
      <c r="M32" s="22">
        <v>23.849999999999998</v>
      </c>
      <c r="N32" s="52">
        <v>3.416905444126074</v>
      </c>
      <c r="O32" s="52">
        <v>0.97163567601638823</v>
      </c>
    </row>
    <row r="33" spans="2:15" x14ac:dyDescent="0.25">
      <c r="B33" s="57" t="s">
        <v>167</v>
      </c>
      <c r="C33" s="21">
        <v>38.14</v>
      </c>
      <c r="D33" s="66">
        <v>4.878479306114983E-3</v>
      </c>
      <c r="E33" s="343"/>
      <c r="F33" s="21">
        <v>54.11</v>
      </c>
      <c r="G33" s="24">
        <v>6.791766034893937E-3</v>
      </c>
      <c r="H33" s="70">
        <v>20.7</v>
      </c>
      <c r="I33" s="21">
        <v>14.07</v>
      </c>
      <c r="J33" s="21">
        <v>34.479999999999997</v>
      </c>
      <c r="K33" s="22">
        <v>20.409999999999997</v>
      </c>
      <c r="L33" s="24">
        <v>1.450604122245913</v>
      </c>
      <c r="M33" s="22">
        <v>13.779999999999998</v>
      </c>
      <c r="N33" s="52">
        <v>0.66570048309178731</v>
      </c>
      <c r="O33" s="52">
        <v>0.63722047680650518</v>
      </c>
    </row>
    <row r="34" spans="2:15" x14ac:dyDescent="0.25">
      <c r="B34" s="27" t="s">
        <v>170</v>
      </c>
      <c r="C34" s="104">
        <v>663.48</v>
      </c>
      <c r="D34" s="66">
        <v>8.4865585999506263E-2</v>
      </c>
      <c r="E34" s="343"/>
      <c r="F34" s="21">
        <v>685.16</v>
      </c>
      <c r="G34" s="24">
        <v>8.599974896447847E-2</v>
      </c>
      <c r="H34" s="70">
        <v>157.85</v>
      </c>
      <c r="I34" s="21">
        <v>178.14</v>
      </c>
      <c r="J34" s="21">
        <v>213.92</v>
      </c>
      <c r="K34" s="22">
        <v>35.78</v>
      </c>
      <c r="L34" s="24">
        <v>0.20085326147973506</v>
      </c>
      <c r="M34" s="22">
        <v>56.069999999999993</v>
      </c>
      <c r="N34" s="52">
        <v>0.35521064301552102</v>
      </c>
      <c r="O34" s="52">
        <v>0.31221904372701265</v>
      </c>
    </row>
    <row r="35" spans="2:15" x14ac:dyDescent="0.25">
      <c r="B35" s="269" t="s">
        <v>130</v>
      </c>
      <c r="C35" s="74">
        <v>936.95</v>
      </c>
      <c r="D35" s="67">
        <v>0.11984507566503497</v>
      </c>
      <c r="E35" s="279"/>
      <c r="F35" s="26">
        <v>899.03</v>
      </c>
      <c r="G35" s="54">
        <v>0.11284423245889293</v>
      </c>
      <c r="H35" s="74">
        <v>228.79</v>
      </c>
      <c r="I35" s="26">
        <v>233.75</v>
      </c>
      <c r="J35" s="26">
        <v>378.06</v>
      </c>
      <c r="K35" s="26">
        <v>144.31</v>
      </c>
      <c r="L35" s="54">
        <v>0.61736898395721929</v>
      </c>
      <c r="M35" s="26">
        <v>149.27000000000001</v>
      </c>
      <c r="N35" s="55">
        <v>0.65243236155426376</v>
      </c>
      <c r="O35" s="55">
        <v>0.42051989366317033</v>
      </c>
    </row>
    <row r="37" spans="2:15" ht="15" customHeight="1" x14ac:dyDescent="0.25">
      <c r="B37" s="292" t="s">
        <v>164</v>
      </c>
      <c r="C37" s="291" t="s">
        <v>303</v>
      </c>
      <c r="D37" s="291" t="s">
        <v>173</v>
      </c>
      <c r="E37" s="278"/>
      <c r="F37" s="288" t="s">
        <v>301</v>
      </c>
      <c r="G37" s="291" t="s">
        <v>206</v>
      </c>
      <c r="H37" s="288" t="s">
        <v>349</v>
      </c>
      <c r="I37" s="288" t="s">
        <v>350</v>
      </c>
      <c r="J37" s="288" t="s">
        <v>351</v>
      </c>
      <c r="K37" s="290" t="s">
        <v>207</v>
      </c>
      <c r="L37" s="290"/>
      <c r="M37" s="290" t="s">
        <v>147</v>
      </c>
      <c r="N37" s="290"/>
      <c r="O37" s="292" t="s">
        <v>315</v>
      </c>
    </row>
    <row r="38" spans="2:15" ht="30" x14ac:dyDescent="0.25">
      <c r="B38" s="292"/>
      <c r="C38" s="289"/>
      <c r="D38" s="289"/>
      <c r="E38" s="343"/>
      <c r="F38" s="289"/>
      <c r="G38" s="289"/>
      <c r="H38" s="289"/>
      <c r="I38" s="289"/>
      <c r="J38" s="289"/>
      <c r="K38" s="79" t="s">
        <v>145</v>
      </c>
      <c r="L38" s="80" t="s">
        <v>146</v>
      </c>
      <c r="M38" s="79" t="s">
        <v>145</v>
      </c>
      <c r="N38" s="80" t="s">
        <v>146</v>
      </c>
      <c r="O38" s="292"/>
    </row>
    <row r="39" spans="2:15" x14ac:dyDescent="0.25">
      <c r="B39" s="27" t="s">
        <v>165</v>
      </c>
      <c r="C39" s="104">
        <v>273.47000000000003</v>
      </c>
      <c r="D39" s="66">
        <v>3.4979489665528697E-2</v>
      </c>
      <c r="E39" s="343"/>
      <c r="F39" s="21">
        <v>213.87</v>
      </c>
      <c r="G39" s="24">
        <v>2.684448349441446E-2</v>
      </c>
      <c r="H39" s="70">
        <v>60.300000000000004</v>
      </c>
      <c r="I39" s="21">
        <v>38.5</v>
      </c>
      <c r="J39" s="21">
        <v>90.990000000000009</v>
      </c>
      <c r="K39" s="22">
        <v>52.490000000000009</v>
      </c>
      <c r="L39" s="24">
        <v>1.3633766233766236</v>
      </c>
      <c r="M39" s="22">
        <v>30.690000000000005</v>
      </c>
      <c r="N39" s="52">
        <v>0.50895522388059711</v>
      </c>
      <c r="O39" s="52">
        <v>0.425445364006172</v>
      </c>
    </row>
    <row r="40" spans="2:15" x14ac:dyDescent="0.25">
      <c r="B40" s="57" t="s">
        <v>161</v>
      </c>
      <c r="C40" s="21">
        <v>19.690000000000001</v>
      </c>
      <c r="D40" s="66">
        <v>2.5185437214841119E-3</v>
      </c>
      <c r="E40" s="343"/>
      <c r="F40" s="21">
        <v>14.25</v>
      </c>
      <c r="G40" s="24">
        <v>1.7886280908748589E-3</v>
      </c>
      <c r="H40" s="70">
        <v>3.07</v>
      </c>
      <c r="I40" s="21">
        <v>2.57</v>
      </c>
      <c r="J40" s="21">
        <v>6.37</v>
      </c>
      <c r="K40" s="22">
        <v>3.8000000000000003</v>
      </c>
      <c r="L40" s="24">
        <v>1.4785992217898836</v>
      </c>
      <c r="M40" s="22">
        <v>3.3000000000000003</v>
      </c>
      <c r="N40" s="52">
        <v>1.0749185667752443</v>
      </c>
      <c r="O40" s="52">
        <v>0.44701754385964915</v>
      </c>
    </row>
    <row r="41" spans="2:15" x14ac:dyDescent="0.25">
      <c r="B41" s="57" t="s">
        <v>168</v>
      </c>
      <c r="C41" s="21">
        <v>114.4</v>
      </c>
      <c r="D41" s="66">
        <v>1.4632879722589252E-2</v>
      </c>
      <c r="E41" s="343"/>
      <c r="F41" s="21">
        <v>78.95</v>
      </c>
      <c r="G41" s="24">
        <v>9.9096272122505338E-3</v>
      </c>
      <c r="H41" s="70">
        <v>19.489999999999998</v>
      </c>
      <c r="I41" s="21">
        <v>14.21</v>
      </c>
      <c r="J41" s="21">
        <v>33.82</v>
      </c>
      <c r="K41" s="22">
        <v>19.61</v>
      </c>
      <c r="L41" s="24">
        <v>1.3800140745953553</v>
      </c>
      <c r="M41" s="22">
        <v>14.330000000000002</v>
      </c>
      <c r="N41" s="52">
        <v>0.73524884556182668</v>
      </c>
      <c r="O41" s="52">
        <v>0.42837238758708041</v>
      </c>
    </row>
    <row r="42" spans="2:15" x14ac:dyDescent="0.25">
      <c r="B42" s="57" t="s">
        <v>169</v>
      </c>
      <c r="C42" s="21">
        <v>46.69</v>
      </c>
      <c r="D42" s="66">
        <v>5.9721079916756304E-3</v>
      </c>
      <c r="E42" s="343"/>
      <c r="F42" s="21">
        <v>34.83</v>
      </c>
      <c r="G42" s="24">
        <v>4.3717836073804443E-3</v>
      </c>
      <c r="H42" s="70">
        <v>8.98</v>
      </c>
      <c r="I42" s="21">
        <v>6.27</v>
      </c>
      <c r="J42" s="21">
        <v>14.05</v>
      </c>
      <c r="K42" s="22">
        <v>7.7800000000000011</v>
      </c>
      <c r="L42" s="24">
        <v>1.2408293460925042</v>
      </c>
      <c r="M42" s="22">
        <v>5.07</v>
      </c>
      <c r="N42" s="52">
        <v>0.56458797327394206</v>
      </c>
      <c r="O42" s="52">
        <v>0.4033878840080391</v>
      </c>
    </row>
    <row r="43" spans="2:15" x14ac:dyDescent="0.25">
      <c r="B43" s="57" t="s">
        <v>166</v>
      </c>
      <c r="C43" s="21">
        <v>54.55</v>
      </c>
      <c r="D43" s="66">
        <v>6.9774789236647173E-3</v>
      </c>
      <c r="E43" s="343"/>
      <c r="F43" s="21">
        <v>31.73</v>
      </c>
      <c r="G43" s="24">
        <v>3.9826785490146861E-3</v>
      </c>
      <c r="H43" s="70">
        <v>4.41</v>
      </c>
      <c r="I43" s="21">
        <v>5.71</v>
      </c>
      <c r="J43" s="21">
        <v>24.35</v>
      </c>
      <c r="K43" s="22">
        <v>18.64</v>
      </c>
      <c r="L43" s="24">
        <v>3.2644483362521894</v>
      </c>
      <c r="M43" s="22">
        <v>19.940000000000001</v>
      </c>
      <c r="N43" s="52">
        <v>4.5215419501133791</v>
      </c>
      <c r="O43" s="52">
        <v>0.76741254333438391</v>
      </c>
    </row>
    <row r="44" spans="2:15" x14ac:dyDescent="0.25">
      <c r="B44" s="57" t="s">
        <v>167</v>
      </c>
      <c r="C44" s="21">
        <v>38.14</v>
      </c>
      <c r="D44" s="66">
        <v>4.878479306114983E-3</v>
      </c>
      <c r="E44" s="343"/>
      <c r="F44" s="21">
        <v>54.11</v>
      </c>
      <c r="G44" s="24">
        <v>6.791766034893937E-3</v>
      </c>
      <c r="H44" s="70">
        <v>24.35</v>
      </c>
      <c r="I44" s="21">
        <v>9.74</v>
      </c>
      <c r="J44" s="21">
        <v>12.4</v>
      </c>
      <c r="K44" s="22">
        <v>2.66</v>
      </c>
      <c r="L44" s="24">
        <v>0.2731006160164271</v>
      </c>
      <c r="M44" s="22">
        <v>-11.950000000000001</v>
      </c>
      <c r="N44" s="52">
        <v>-0.49075975359342916</v>
      </c>
      <c r="O44" s="52">
        <v>0.22916281648493811</v>
      </c>
    </row>
    <row r="45" spans="2:15" x14ac:dyDescent="0.25">
      <c r="B45" s="27" t="s">
        <v>170</v>
      </c>
      <c r="C45" s="104">
        <v>663.48</v>
      </c>
      <c r="D45" s="66">
        <v>8.4865585999506263E-2</v>
      </c>
      <c r="E45" s="343"/>
      <c r="F45" s="21">
        <v>685.16</v>
      </c>
      <c r="G45" s="24">
        <v>8.599974896447847E-2</v>
      </c>
      <c r="H45" s="70">
        <v>102.85</v>
      </c>
      <c r="I45" s="21">
        <v>123.33</v>
      </c>
      <c r="J45" s="21">
        <v>130.47</v>
      </c>
      <c r="K45" s="22">
        <v>7.1400000000000006</v>
      </c>
      <c r="L45" s="24">
        <v>5.7893456579907569E-2</v>
      </c>
      <c r="M45" s="22">
        <v>27.620000000000005</v>
      </c>
      <c r="N45" s="52">
        <v>0.26854642683519697</v>
      </c>
      <c r="O45" s="52">
        <v>0.19042267499562146</v>
      </c>
    </row>
    <row r="46" spans="2:15" x14ac:dyDescent="0.25">
      <c r="B46" s="269" t="s">
        <v>130</v>
      </c>
      <c r="C46" s="74">
        <v>936.95</v>
      </c>
      <c r="D46" s="67">
        <v>0.11984507566503497</v>
      </c>
      <c r="E46" s="279"/>
      <c r="F46" s="26">
        <v>899.03</v>
      </c>
      <c r="G46" s="54">
        <v>0.11284423245889293</v>
      </c>
      <c r="H46" s="74">
        <v>163.15</v>
      </c>
      <c r="I46" s="26">
        <v>161.82999999999998</v>
      </c>
      <c r="J46" s="26">
        <v>221.46</v>
      </c>
      <c r="K46" s="26">
        <v>59.630000000000024</v>
      </c>
      <c r="L46" s="54">
        <v>0.36847308904405879</v>
      </c>
      <c r="M46" s="26">
        <v>58.31</v>
      </c>
      <c r="N46" s="55">
        <v>0.35740116457247934</v>
      </c>
      <c r="O46" s="55">
        <v>0.24633215799250305</v>
      </c>
    </row>
    <row r="48" spans="2:15" ht="15" customHeight="1" x14ac:dyDescent="0.25">
      <c r="B48" s="292" t="s">
        <v>164</v>
      </c>
      <c r="C48" s="291" t="s">
        <v>303</v>
      </c>
      <c r="D48" s="288" t="s">
        <v>352</v>
      </c>
      <c r="E48" s="291" t="s">
        <v>173</v>
      </c>
      <c r="F48" s="278"/>
      <c r="G48" s="288" t="s">
        <v>301</v>
      </c>
      <c r="H48" s="291" t="s">
        <v>206</v>
      </c>
      <c r="I48" s="288" t="s">
        <v>353</v>
      </c>
      <c r="J48" s="288" t="s">
        <v>354</v>
      </c>
      <c r="K48" s="290" t="s">
        <v>207</v>
      </c>
      <c r="L48" s="290"/>
      <c r="M48" s="290" t="s">
        <v>147</v>
      </c>
      <c r="N48" s="290"/>
      <c r="O48" s="292" t="s">
        <v>315</v>
      </c>
    </row>
    <row r="49" spans="2:15" ht="30" x14ac:dyDescent="0.25">
      <c r="B49" s="292"/>
      <c r="C49" s="289"/>
      <c r="D49" s="289"/>
      <c r="E49" s="289"/>
      <c r="F49" s="343"/>
      <c r="G49" s="289"/>
      <c r="H49" s="289"/>
      <c r="I49" s="289"/>
      <c r="J49" s="289"/>
      <c r="K49" s="79" t="s">
        <v>145</v>
      </c>
      <c r="L49" s="80" t="s">
        <v>146</v>
      </c>
      <c r="M49" s="79" t="s">
        <v>145</v>
      </c>
      <c r="N49" s="80" t="s">
        <v>146</v>
      </c>
      <c r="O49" s="292"/>
    </row>
    <row r="50" spans="2:15" x14ac:dyDescent="0.25">
      <c r="B50" s="27" t="s">
        <v>165</v>
      </c>
      <c r="C50" s="104">
        <v>273.47000000000003</v>
      </c>
      <c r="D50" s="70">
        <v>28.17</v>
      </c>
      <c r="E50" s="85">
        <v>3.7284097677188807E-2</v>
      </c>
      <c r="F50" s="343"/>
      <c r="G50" s="21">
        <v>213.87</v>
      </c>
      <c r="H50" s="24">
        <v>2.684448349441446E-2</v>
      </c>
      <c r="I50" s="21">
        <v>71.180000000000007</v>
      </c>
      <c r="J50" s="21">
        <v>71.180000000000007</v>
      </c>
      <c r="K50" s="22">
        <v>0</v>
      </c>
      <c r="L50" s="24">
        <v>0</v>
      </c>
      <c r="M50" s="22">
        <v>43.010000000000005</v>
      </c>
      <c r="N50" s="52">
        <v>1.5268015619453319</v>
      </c>
      <c r="O50" s="52">
        <v>0.33281900219759669</v>
      </c>
    </row>
    <row r="51" spans="2:15" x14ac:dyDescent="0.25">
      <c r="B51" s="57" t="s">
        <v>161</v>
      </c>
      <c r="C51" s="21">
        <v>19.690000000000001</v>
      </c>
      <c r="D51" s="70">
        <v>2.6</v>
      </c>
      <c r="E51" s="85">
        <v>3.4412017735424528E-3</v>
      </c>
      <c r="F51" s="343"/>
      <c r="G51" s="21">
        <v>14.25</v>
      </c>
      <c r="H51" s="24">
        <v>1.7886280908748589E-3</v>
      </c>
      <c r="I51" s="21">
        <v>2.69</v>
      </c>
      <c r="J51" s="21">
        <v>2.69</v>
      </c>
      <c r="K51" s="22">
        <v>0</v>
      </c>
      <c r="L51" s="24">
        <v>0</v>
      </c>
      <c r="M51" s="22">
        <v>8.9999999999999858E-2</v>
      </c>
      <c r="N51" s="52">
        <v>3.4615384615384562E-2</v>
      </c>
      <c r="O51" s="52">
        <v>0.1887719298245614</v>
      </c>
    </row>
    <row r="52" spans="2:15" x14ac:dyDescent="0.25">
      <c r="B52" s="57" t="s">
        <v>168</v>
      </c>
      <c r="C52" s="21">
        <v>114.4</v>
      </c>
      <c r="D52" s="70">
        <v>6.74</v>
      </c>
      <c r="E52" s="85">
        <v>8.9206538283369743E-3</v>
      </c>
      <c r="F52" s="343"/>
      <c r="G52" s="21">
        <v>78.95</v>
      </c>
      <c r="H52" s="24">
        <v>9.9096272122505338E-3</v>
      </c>
      <c r="I52" s="21">
        <v>25.84</v>
      </c>
      <c r="J52" s="21">
        <v>25.84</v>
      </c>
      <c r="K52" s="22">
        <v>0</v>
      </c>
      <c r="L52" s="24">
        <v>0</v>
      </c>
      <c r="M52" s="22">
        <v>19.100000000000001</v>
      </c>
      <c r="N52" s="52">
        <v>2.8338278931750742</v>
      </c>
      <c r="O52" s="52">
        <v>0.32729575680810641</v>
      </c>
    </row>
    <row r="53" spans="2:15" x14ac:dyDescent="0.25">
      <c r="B53" s="57" t="s">
        <v>169</v>
      </c>
      <c r="C53" s="21">
        <v>46.69</v>
      </c>
      <c r="D53" s="70">
        <v>3.12</v>
      </c>
      <c r="E53" s="85">
        <v>4.1294421282509434E-3</v>
      </c>
      <c r="F53" s="343"/>
      <c r="G53" s="21">
        <v>34.83</v>
      </c>
      <c r="H53" s="24">
        <v>4.3717836073804443E-3</v>
      </c>
      <c r="I53" s="21">
        <v>10.52</v>
      </c>
      <c r="J53" s="21">
        <v>10.52</v>
      </c>
      <c r="K53" s="22">
        <v>0</v>
      </c>
      <c r="L53" s="24">
        <v>0</v>
      </c>
      <c r="M53" s="22">
        <v>7.3999999999999995</v>
      </c>
      <c r="N53" s="52">
        <v>2.3717948717948714</v>
      </c>
      <c r="O53" s="52">
        <v>0.30203847258110822</v>
      </c>
    </row>
    <row r="54" spans="2:15" x14ac:dyDescent="0.25">
      <c r="B54" s="57" t="s">
        <v>166</v>
      </c>
      <c r="C54" s="21">
        <v>54.55</v>
      </c>
      <c r="D54" s="70">
        <v>2.38</v>
      </c>
      <c r="E54" s="85">
        <v>3.1500231619350141E-3</v>
      </c>
      <c r="F54" s="343"/>
      <c r="G54" s="21">
        <v>31.73</v>
      </c>
      <c r="H54" s="24">
        <v>3.9826785490146861E-3</v>
      </c>
      <c r="I54" s="21">
        <v>16.73</v>
      </c>
      <c r="J54" s="21">
        <v>16.73</v>
      </c>
      <c r="K54" s="22">
        <v>0</v>
      </c>
      <c r="L54" s="24">
        <v>0</v>
      </c>
      <c r="M54" s="22">
        <v>14.350000000000001</v>
      </c>
      <c r="N54" s="52">
        <v>6.0294117647058831</v>
      </c>
      <c r="O54" s="52">
        <v>0.52726126693980457</v>
      </c>
    </row>
    <row r="55" spans="2:15" x14ac:dyDescent="0.25">
      <c r="B55" s="57" t="s">
        <v>167</v>
      </c>
      <c r="C55" s="21">
        <v>38.14</v>
      </c>
      <c r="D55" s="70">
        <v>13.33</v>
      </c>
      <c r="E55" s="85">
        <v>1.764277678512342E-2</v>
      </c>
      <c r="F55" s="343"/>
      <c r="G55" s="21">
        <v>54.11</v>
      </c>
      <c r="H55" s="24">
        <v>6.791766034893937E-3</v>
      </c>
      <c r="I55" s="21">
        <v>15.4</v>
      </c>
      <c r="J55" s="21">
        <v>15.4</v>
      </c>
      <c r="K55" s="22">
        <v>0</v>
      </c>
      <c r="L55" s="24">
        <v>0</v>
      </c>
      <c r="M55" s="22">
        <v>2.0700000000000003</v>
      </c>
      <c r="N55" s="52">
        <v>0.1552888222055514</v>
      </c>
      <c r="O55" s="52">
        <v>0.28460543337645539</v>
      </c>
    </row>
    <row r="56" spans="2:15" x14ac:dyDescent="0.25">
      <c r="B56" s="27" t="s">
        <v>170</v>
      </c>
      <c r="C56" s="104">
        <v>663.48</v>
      </c>
      <c r="D56" s="70">
        <v>62.11</v>
      </c>
      <c r="E56" s="85">
        <v>8.220501621335452E-2</v>
      </c>
      <c r="F56" s="343"/>
      <c r="G56" s="21">
        <v>853.25</v>
      </c>
      <c r="H56" s="24">
        <v>0.10709802937115602</v>
      </c>
      <c r="I56" s="21">
        <v>45.22</v>
      </c>
      <c r="J56" s="21">
        <v>45.22</v>
      </c>
      <c r="K56" s="22">
        <v>0</v>
      </c>
      <c r="L56" s="24">
        <v>0</v>
      </c>
      <c r="M56" s="22">
        <v>-16.89</v>
      </c>
      <c r="N56" s="52">
        <v>-0.27193688616969891</v>
      </c>
      <c r="O56" s="52">
        <v>5.2997363023732785E-2</v>
      </c>
    </row>
    <row r="57" spans="2:15" x14ac:dyDescent="0.25">
      <c r="B57" s="269" t="s">
        <v>130</v>
      </c>
      <c r="C57" s="74">
        <v>936.95</v>
      </c>
      <c r="D57" s="74">
        <v>90.28</v>
      </c>
      <c r="E57" s="86">
        <v>0.11948911389054333</v>
      </c>
      <c r="F57" s="279"/>
      <c r="G57" s="26">
        <v>1067.1199999999999</v>
      </c>
      <c r="H57" s="54">
        <v>0.13394251286557046</v>
      </c>
      <c r="I57" s="26">
        <v>116.4</v>
      </c>
      <c r="J57" s="26">
        <v>116.4</v>
      </c>
      <c r="K57" s="26">
        <v>0</v>
      </c>
      <c r="L57" s="54">
        <v>0</v>
      </c>
      <c r="M57" s="26">
        <v>26.120000000000005</v>
      </c>
      <c r="N57" s="55">
        <v>0.28932210899424021</v>
      </c>
      <c r="O57" s="55">
        <v>0.10907864157732965</v>
      </c>
    </row>
  </sheetData>
  <mergeCells count="60">
    <mergeCell ref="O48:O49"/>
    <mergeCell ref="B48:B49"/>
    <mergeCell ref="C48:C49"/>
    <mergeCell ref="D48:D49"/>
    <mergeCell ref="E48:E49"/>
    <mergeCell ref="F48:F57"/>
    <mergeCell ref="G48:G49"/>
    <mergeCell ref="H48:H49"/>
    <mergeCell ref="I48:I49"/>
    <mergeCell ref="J48:J49"/>
    <mergeCell ref="K48:L48"/>
    <mergeCell ref="M48:N48"/>
    <mergeCell ref="O37:O38"/>
    <mergeCell ref="B37:B38"/>
    <mergeCell ref="C37:C38"/>
    <mergeCell ref="D37:D38"/>
    <mergeCell ref="E37:E46"/>
    <mergeCell ref="F37:F38"/>
    <mergeCell ref="G37:G38"/>
    <mergeCell ref="H37:H38"/>
    <mergeCell ref="I37:I38"/>
    <mergeCell ref="J37:J38"/>
    <mergeCell ref="K37:L37"/>
    <mergeCell ref="M37:N37"/>
    <mergeCell ref="O26:O27"/>
    <mergeCell ref="B26:B27"/>
    <mergeCell ref="C26:C27"/>
    <mergeCell ref="D26:D27"/>
    <mergeCell ref="E26:E35"/>
    <mergeCell ref="F26:F27"/>
    <mergeCell ref="G26:G27"/>
    <mergeCell ref="H26:H27"/>
    <mergeCell ref="I26:I27"/>
    <mergeCell ref="J26:J27"/>
    <mergeCell ref="K26:L26"/>
    <mergeCell ref="M26:N26"/>
    <mergeCell ref="O14:O15"/>
    <mergeCell ref="B14:B15"/>
    <mergeCell ref="C14:C15"/>
    <mergeCell ref="D14:D15"/>
    <mergeCell ref="E14:E24"/>
    <mergeCell ref="F14:F15"/>
    <mergeCell ref="G14:G15"/>
    <mergeCell ref="H14:H15"/>
    <mergeCell ref="I14:I15"/>
    <mergeCell ref="J14:J15"/>
    <mergeCell ref="K14:L14"/>
    <mergeCell ref="M14:N14"/>
    <mergeCell ref="O2:O3"/>
    <mergeCell ref="B2:B3"/>
    <mergeCell ref="C2:C3"/>
    <mergeCell ref="D2:D3"/>
    <mergeCell ref="E2:E12"/>
    <mergeCell ref="F2:F3"/>
    <mergeCell ref="G2:G3"/>
    <mergeCell ref="H2:H3"/>
    <mergeCell ref="I2:I3"/>
    <mergeCell ref="J2:J3"/>
    <mergeCell ref="K2:L2"/>
    <mergeCell ref="M2:N2"/>
  </mergeCells>
  <conditionalFormatting sqref="O16:O24">
    <cfRule type="cellIs" dxfId="0" priority="1" operator="greaterThan">
      <formula>0.35</formula>
    </cfRule>
  </conditionalFormatting>
  <pageMargins left="0.23622047244094491" right="0.23622047244094491" top="0.74803149606299213" bottom="0.74803149606299213" header="0.31496062992125984" footer="0.31496062992125984"/>
  <pageSetup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43" workbookViewId="0">
      <selection activeCell="J13" sqref="J13"/>
    </sheetView>
  </sheetViews>
  <sheetFormatPr defaultRowHeight="15" x14ac:dyDescent="0.25"/>
  <cols>
    <col min="1" max="1" width="14.7109375" style="220" customWidth="1"/>
    <col min="2" max="13" width="10.85546875" style="220" customWidth="1"/>
    <col min="14" max="14" width="9.28515625" style="220" customWidth="1"/>
    <col min="15" max="256" width="9.140625" style="220"/>
    <col min="257" max="257" width="14.7109375" style="220" customWidth="1"/>
    <col min="258" max="269" width="10.85546875" style="220" customWidth="1"/>
    <col min="270" max="270" width="9.28515625" style="220" customWidth="1"/>
    <col min="271" max="512" width="9.140625" style="220"/>
    <col min="513" max="513" width="14.7109375" style="220" customWidth="1"/>
    <col min="514" max="525" width="10.85546875" style="220" customWidth="1"/>
    <col min="526" max="526" width="9.28515625" style="220" customWidth="1"/>
    <col min="527" max="768" width="9.140625" style="220"/>
    <col min="769" max="769" width="14.7109375" style="220" customWidth="1"/>
    <col min="770" max="781" width="10.85546875" style="220" customWidth="1"/>
    <col min="782" max="782" width="9.28515625" style="220" customWidth="1"/>
    <col min="783" max="1024" width="9.140625" style="220"/>
    <col min="1025" max="1025" width="14.7109375" style="220" customWidth="1"/>
    <col min="1026" max="1037" width="10.85546875" style="220" customWidth="1"/>
    <col min="1038" max="1038" width="9.28515625" style="220" customWidth="1"/>
    <col min="1039" max="1280" width="9.140625" style="220"/>
    <col min="1281" max="1281" width="14.7109375" style="220" customWidth="1"/>
    <col min="1282" max="1293" width="10.85546875" style="220" customWidth="1"/>
    <col min="1294" max="1294" width="9.28515625" style="220" customWidth="1"/>
    <col min="1295" max="1536" width="9.140625" style="220"/>
    <col min="1537" max="1537" width="14.7109375" style="220" customWidth="1"/>
    <col min="1538" max="1549" width="10.85546875" style="220" customWidth="1"/>
    <col min="1550" max="1550" width="9.28515625" style="220" customWidth="1"/>
    <col min="1551" max="1792" width="9.140625" style="220"/>
    <col min="1793" max="1793" width="14.7109375" style="220" customWidth="1"/>
    <col min="1794" max="1805" width="10.85546875" style="220" customWidth="1"/>
    <col min="1806" max="1806" width="9.28515625" style="220" customWidth="1"/>
    <col min="1807" max="2048" width="9.140625" style="220"/>
    <col min="2049" max="2049" width="14.7109375" style="220" customWidth="1"/>
    <col min="2050" max="2061" width="10.85546875" style="220" customWidth="1"/>
    <col min="2062" max="2062" width="9.28515625" style="220" customWidth="1"/>
    <col min="2063" max="2304" width="9.140625" style="220"/>
    <col min="2305" max="2305" width="14.7109375" style="220" customWidth="1"/>
    <col min="2306" max="2317" width="10.85546875" style="220" customWidth="1"/>
    <col min="2318" max="2318" width="9.28515625" style="220" customWidth="1"/>
    <col min="2319" max="2560" width="9.140625" style="220"/>
    <col min="2561" max="2561" width="14.7109375" style="220" customWidth="1"/>
    <col min="2562" max="2573" width="10.85546875" style="220" customWidth="1"/>
    <col min="2574" max="2574" width="9.28515625" style="220" customWidth="1"/>
    <col min="2575" max="2816" width="9.140625" style="220"/>
    <col min="2817" max="2817" width="14.7109375" style="220" customWidth="1"/>
    <col min="2818" max="2829" width="10.85546875" style="220" customWidth="1"/>
    <col min="2830" max="2830" width="9.28515625" style="220" customWidth="1"/>
    <col min="2831" max="3072" width="9.140625" style="220"/>
    <col min="3073" max="3073" width="14.7109375" style="220" customWidth="1"/>
    <col min="3074" max="3085" width="10.85546875" style="220" customWidth="1"/>
    <col min="3086" max="3086" width="9.28515625" style="220" customWidth="1"/>
    <col min="3087" max="3328" width="9.140625" style="220"/>
    <col min="3329" max="3329" width="14.7109375" style="220" customWidth="1"/>
    <col min="3330" max="3341" width="10.85546875" style="220" customWidth="1"/>
    <col min="3342" max="3342" width="9.28515625" style="220" customWidth="1"/>
    <col min="3343" max="3584" width="9.140625" style="220"/>
    <col min="3585" max="3585" width="14.7109375" style="220" customWidth="1"/>
    <col min="3586" max="3597" width="10.85546875" style="220" customWidth="1"/>
    <col min="3598" max="3598" width="9.28515625" style="220" customWidth="1"/>
    <col min="3599" max="3840" width="9.140625" style="220"/>
    <col min="3841" max="3841" width="14.7109375" style="220" customWidth="1"/>
    <col min="3842" max="3853" width="10.85546875" style="220" customWidth="1"/>
    <col min="3854" max="3854" width="9.28515625" style="220" customWidth="1"/>
    <col min="3855" max="4096" width="9.140625" style="220"/>
    <col min="4097" max="4097" width="14.7109375" style="220" customWidth="1"/>
    <col min="4098" max="4109" width="10.85546875" style="220" customWidth="1"/>
    <col min="4110" max="4110" width="9.28515625" style="220" customWidth="1"/>
    <col min="4111" max="4352" width="9.140625" style="220"/>
    <col min="4353" max="4353" width="14.7109375" style="220" customWidth="1"/>
    <col min="4354" max="4365" width="10.85546875" style="220" customWidth="1"/>
    <col min="4366" max="4366" width="9.28515625" style="220" customWidth="1"/>
    <col min="4367" max="4608" width="9.140625" style="220"/>
    <col min="4609" max="4609" width="14.7109375" style="220" customWidth="1"/>
    <col min="4610" max="4621" width="10.85546875" style="220" customWidth="1"/>
    <col min="4622" max="4622" width="9.28515625" style="220" customWidth="1"/>
    <col min="4623" max="4864" width="9.140625" style="220"/>
    <col min="4865" max="4865" width="14.7109375" style="220" customWidth="1"/>
    <col min="4866" max="4877" width="10.85546875" style="220" customWidth="1"/>
    <col min="4878" max="4878" width="9.28515625" style="220" customWidth="1"/>
    <col min="4879" max="5120" width="9.140625" style="220"/>
    <col min="5121" max="5121" width="14.7109375" style="220" customWidth="1"/>
    <col min="5122" max="5133" width="10.85546875" style="220" customWidth="1"/>
    <col min="5134" max="5134" width="9.28515625" style="220" customWidth="1"/>
    <col min="5135" max="5376" width="9.140625" style="220"/>
    <col min="5377" max="5377" width="14.7109375" style="220" customWidth="1"/>
    <col min="5378" max="5389" width="10.85546875" style="220" customWidth="1"/>
    <col min="5390" max="5390" width="9.28515625" style="220" customWidth="1"/>
    <col min="5391" max="5632" width="9.140625" style="220"/>
    <col min="5633" max="5633" width="14.7109375" style="220" customWidth="1"/>
    <col min="5634" max="5645" width="10.85546875" style="220" customWidth="1"/>
    <col min="5646" max="5646" width="9.28515625" style="220" customWidth="1"/>
    <col min="5647" max="5888" width="9.140625" style="220"/>
    <col min="5889" max="5889" width="14.7109375" style="220" customWidth="1"/>
    <col min="5890" max="5901" width="10.85546875" style="220" customWidth="1"/>
    <col min="5902" max="5902" width="9.28515625" style="220" customWidth="1"/>
    <col min="5903" max="6144" width="9.140625" style="220"/>
    <col min="6145" max="6145" width="14.7109375" style="220" customWidth="1"/>
    <col min="6146" max="6157" width="10.85546875" style="220" customWidth="1"/>
    <col min="6158" max="6158" width="9.28515625" style="220" customWidth="1"/>
    <col min="6159" max="6400" width="9.140625" style="220"/>
    <col min="6401" max="6401" width="14.7109375" style="220" customWidth="1"/>
    <col min="6402" max="6413" width="10.85546875" style="220" customWidth="1"/>
    <col min="6414" max="6414" width="9.28515625" style="220" customWidth="1"/>
    <col min="6415" max="6656" width="9.140625" style="220"/>
    <col min="6657" max="6657" width="14.7109375" style="220" customWidth="1"/>
    <col min="6658" max="6669" width="10.85546875" style="220" customWidth="1"/>
    <col min="6670" max="6670" width="9.28515625" style="220" customWidth="1"/>
    <col min="6671" max="6912" width="9.140625" style="220"/>
    <col min="6913" max="6913" width="14.7109375" style="220" customWidth="1"/>
    <col min="6914" max="6925" width="10.85546875" style="220" customWidth="1"/>
    <col min="6926" max="6926" width="9.28515625" style="220" customWidth="1"/>
    <col min="6927" max="7168" width="9.140625" style="220"/>
    <col min="7169" max="7169" width="14.7109375" style="220" customWidth="1"/>
    <col min="7170" max="7181" width="10.85546875" style="220" customWidth="1"/>
    <col min="7182" max="7182" width="9.28515625" style="220" customWidth="1"/>
    <col min="7183" max="7424" width="9.140625" style="220"/>
    <col min="7425" max="7425" width="14.7109375" style="220" customWidth="1"/>
    <col min="7426" max="7437" width="10.85546875" style="220" customWidth="1"/>
    <col min="7438" max="7438" width="9.28515625" style="220" customWidth="1"/>
    <col min="7439" max="7680" width="9.140625" style="220"/>
    <col min="7681" max="7681" width="14.7109375" style="220" customWidth="1"/>
    <col min="7682" max="7693" width="10.85546875" style="220" customWidth="1"/>
    <col min="7694" max="7694" width="9.28515625" style="220" customWidth="1"/>
    <col min="7695" max="7936" width="9.140625" style="220"/>
    <col min="7937" max="7937" width="14.7109375" style="220" customWidth="1"/>
    <col min="7938" max="7949" width="10.85546875" style="220" customWidth="1"/>
    <col min="7950" max="7950" width="9.28515625" style="220" customWidth="1"/>
    <col min="7951" max="8192" width="9.140625" style="220"/>
    <col min="8193" max="8193" width="14.7109375" style="220" customWidth="1"/>
    <col min="8194" max="8205" width="10.85546875" style="220" customWidth="1"/>
    <col min="8206" max="8206" width="9.28515625" style="220" customWidth="1"/>
    <col min="8207" max="8448" width="9.140625" style="220"/>
    <col min="8449" max="8449" width="14.7109375" style="220" customWidth="1"/>
    <col min="8450" max="8461" width="10.85546875" style="220" customWidth="1"/>
    <col min="8462" max="8462" width="9.28515625" style="220" customWidth="1"/>
    <col min="8463" max="8704" width="9.140625" style="220"/>
    <col min="8705" max="8705" width="14.7109375" style="220" customWidth="1"/>
    <col min="8706" max="8717" width="10.85546875" style="220" customWidth="1"/>
    <col min="8718" max="8718" width="9.28515625" style="220" customWidth="1"/>
    <col min="8719" max="8960" width="9.140625" style="220"/>
    <col min="8961" max="8961" width="14.7109375" style="220" customWidth="1"/>
    <col min="8962" max="8973" width="10.85546875" style="220" customWidth="1"/>
    <col min="8974" max="8974" width="9.28515625" style="220" customWidth="1"/>
    <col min="8975" max="9216" width="9.140625" style="220"/>
    <col min="9217" max="9217" width="14.7109375" style="220" customWidth="1"/>
    <col min="9218" max="9229" width="10.85546875" style="220" customWidth="1"/>
    <col min="9230" max="9230" width="9.28515625" style="220" customWidth="1"/>
    <col min="9231" max="9472" width="9.140625" style="220"/>
    <col min="9473" max="9473" width="14.7109375" style="220" customWidth="1"/>
    <col min="9474" max="9485" width="10.85546875" style="220" customWidth="1"/>
    <col min="9486" max="9486" width="9.28515625" style="220" customWidth="1"/>
    <col min="9487" max="9728" width="9.140625" style="220"/>
    <col min="9729" max="9729" width="14.7109375" style="220" customWidth="1"/>
    <col min="9730" max="9741" width="10.85546875" style="220" customWidth="1"/>
    <col min="9742" max="9742" width="9.28515625" style="220" customWidth="1"/>
    <col min="9743" max="9984" width="9.140625" style="220"/>
    <col min="9985" max="9985" width="14.7109375" style="220" customWidth="1"/>
    <col min="9986" max="9997" width="10.85546875" style="220" customWidth="1"/>
    <col min="9998" max="9998" width="9.28515625" style="220" customWidth="1"/>
    <col min="9999" max="10240" width="9.140625" style="220"/>
    <col min="10241" max="10241" width="14.7109375" style="220" customWidth="1"/>
    <col min="10242" max="10253" width="10.85546875" style="220" customWidth="1"/>
    <col min="10254" max="10254" width="9.28515625" style="220" customWidth="1"/>
    <col min="10255" max="10496" width="9.140625" style="220"/>
    <col min="10497" max="10497" width="14.7109375" style="220" customWidth="1"/>
    <col min="10498" max="10509" width="10.85546875" style="220" customWidth="1"/>
    <col min="10510" max="10510" width="9.28515625" style="220" customWidth="1"/>
    <col min="10511" max="10752" width="9.140625" style="220"/>
    <col min="10753" max="10753" width="14.7109375" style="220" customWidth="1"/>
    <col min="10754" max="10765" width="10.85546875" style="220" customWidth="1"/>
    <col min="10766" max="10766" width="9.28515625" style="220" customWidth="1"/>
    <col min="10767" max="11008" width="9.140625" style="220"/>
    <col min="11009" max="11009" width="14.7109375" style="220" customWidth="1"/>
    <col min="11010" max="11021" width="10.85546875" style="220" customWidth="1"/>
    <col min="11022" max="11022" width="9.28515625" style="220" customWidth="1"/>
    <col min="11023" max="11264" width="9.140625" style="220"/>
    <col min="11265" max="11265" width="14.7109375" style="220" customWidth="1"/>
    <col min="11266" max="11277" width="10.85546875" style="220" customWidth="1"/>
    <col min="11278" max="11278" width="9.28515625" style="220" customWidth="1"/>
    <col min="11279" max="11520" width="9.140625" style="220"/>
    <col min="11521" max="11521" width="14.7109375" style="220" customWidth="1"/>
    <col min="11522" max="11533" width="10.85546875" style="220" customWidth="1"/>
    <col min="11534" max="11534" width="9.28515625" style="220" customWidth="1"/>
    <col min="11535" max="11776" width="9.140625" style="220"/>
    <col min="11777" max="11777" width="14.7109375" style="220" customWidth="1"/>
    <col min="11778" max="11789" width="10.85546875" style="220" customWidth="1"/>
    <col min="11790" max="11790" width="9.28515625" style="220" customWidth="1"/>
    <col min="11791" max="12032" width="9.140625" style="220"/>
    <col min="12033" max="12033" width="14.7109375" style="220" customWidth="1"/>
    <col min="12034" max="12045" width="10.85546875" style="220" customWidth="1"/>
    <col min="12046" max="12046" width="9.28515625" style="220" customWidth="1"/>
    <col min="12047" max="12288" width="9.140625" style="220"/>
    <col min="12289" max="12289" width="14.7109375" style="220" customWidth="1"/>
    <col min="12290" max="12301" width="10.85546875" style="220" customWidth="1"/>
    <col min="12302" max="12302" width="9.28515625" style="220" customWidth="1"/>
    <col min="12303" max="12544" width="9.140625" style="220"/>
    <col min="12545" max="12545" width="14.7109375" style="220" customWidth="1"/>
    <col min="12546" max="12557" width="10.85546875" style="220" customWidth="1"/>
    <col min="12558" max="12558" width="9.28515625" style="220" customWidth="1"/>
    <col min="12559" max="12800" width="9.140625" style="220"/>
    <col min="12801" max="12801" width="14.7109375" style="220" customWidth="1"/>
    <col min="12802" max="12813" width="10.85546875" style="220" customWidth="1"/>
    <col min="12814" max="12814" width="9.28515625" style="220" customWidth="1"/>
    <col min="12815" max="13056" width="9.140625" style="220"/>
    <col min="13057" max="13057" width="14.7109375" style="220" customWidth="1"/>
    <col min="13058" max="13069" width="10.85546875" style="220" customWidth="1"/>
    <col min="13070" max="13070" width="9.28515625" style="220" customWidth="1"/>
    <col min="13071" max="13312" width="9.140625" style="220"/>
    <col min="13313" max="13313" width="14.7109375" style="220" customWidth="1"/>
    <col min="13314" max="13325" width="10.85546875" style="220" customWidth="1"/>
    <col min="13326" max="13326" width="9.28515625" style="220" customWidth="1"/>
    <col min="13327" max="13568" width="9.140625" style="220"/>
    <col min="13569" max="13569" width="14.7109375" style="220" customWidth="1"/>
    <col min="13570" max="13581" width="10.85546875" style="220" customWidth="1"/>
    <col min="13582" max="13582" width="9.28515625" style="220" customWidth="1"/>
    <col min="13583" max="13824" width="9.140625" style="220"/>
    <col min="13825" max="13825" width="14.7109375" style="220" customWidth="1"/>
    <col min="13826" max="13837" width="10.85546875" style="220" customWidth="1"/>
    <col min="13838" max="13838" width="9.28515625" style="220" customWidth="1"/>
    <col min="13839" max="14080" width="9.140625" style="220"/>
    <col min="14081" max="14081" width="14.7109375" style="220" customWidth="1"/>
    <col min="14082" max="14093" width="10.85546875" style="220" customWidth="1"/>
    <col min="14094" max="14094" width="9.28515625" style="220" customWidth="1"/>
    <col min="14095" max="14336" width="9.140625" style="220"/>
    <col min="14337" max="14337" width="14.7109375" style="220" customWidth="1"/>
    <col min="14338" max="14349" width="10.85546875" style="220" customWidth="1"/>
    <col min="14350" max="14350" width="9.28515625" style="220" customWidth="1"/>
    <col min="14351" max="14592" width="9.140625" style="220"/>
    <col min="14593" max="14593" width="14.7109375" style="220" customWidth="1"/>
    <col min="14594" max="14605" width="10.85546875" style="220" customWidth="1"/>
    <col min="14606" max="14606" width="9.28515625" style="220" customWidth="1"/>
    <col min="14607" max="14848" width="9.140625" style="220"/>
    <col min="14849" max="14849" width="14.7109375" style="220" customWidth="1"/>
    <col min="14850" max="14861" width="10.85546875" style="220" customWidth="1"/>
    <col min="14862" max="14862" width="9.28515625" style="220" customWidth="1"/>
    <col min="14863" max="15104" width="9.140625" style="220"/>
    <col min="15105" max="15105" width="14.7109375" style="220" customWidth="1"/>
    <col min="15106" max="15117" width="10.85546875" style="220" customWidth="1"/>
    <col min="15118" max="15118" width="9.28515625" style="220" customWidth="1"/>
    <col min="15119" max="15360" width="9.140625" style="220"/>
    <col min="15361" max="15361" width="14.7109375" style="220" customWidth="1"/>
    <col min="15362" max="15373" width="10.85546875" style="220" customWidth="1"/>
    <col min="15374" max="15374" width="9.28515625" style="220" customWidth="1"/>
    <col min="15375" max="15616" width="9.140625" style="220"/>
    <col min="15617" max="15617" width="14.7109375" style="220" customWidth="1"/>
    <col min="15618" max="15629" width="10.85546875" style="220" customWidth="1"/>
    <col min="15630" max="15630" width="9.28515625" style="220" customWidth="1"/>
    <col min="15631" max="15872" width="9.140625" style="220"/>
    <col min="15873" max="15873" width="14.7109375" style="220" customWidth="1"/>
    <col min="15874" max="15885" width="10.85546875" style="220" customWidth="1"/>
    <col min="15886" max="15886" width="9.28515625" style="220" customWidth="1"/>
    <col min="15887" max="16128" width="9.140625" style="220"/>
    <col min="16129" max="16129" width="14.7109375" style="220" customWidth="1"/>
    <col min="16130" max="16141" width="10.85546875" style="220" customWidth="1"/>
    <col min="16142" max="16142" width="9.28515625" style="220" customWidth="1"/>
    <col min="16143" max="16384" width="9.140625" style="220"/>
  </cols>
  <sheetData>
    <row r="1" spans="1:14" x14ac:dyDescent="0.25">
      <c r="A1" s="270" t="s">
        <v>327</v>
      </c>
      <c r="B1" s="271"/>
      <c r="C1" s="271"/>
      <c r="D1" s="271"/>
      <c r="E1" s="271"/>
      <c r="F1" s="271"/>
      <c r="G1" s="271"/>
      <c r="H1" s="271"/>
      <c r="I1" s="271"/>
      <c r="J1" s="271"/>
      <c r="K1" s="271"/>
      <c r="L1" s="271"/>
      <c r="M1" s="271"/>
      <c r="N1" s="271"/>
    </row>
    <row r="2" spans="1:14" x14ac:dyDescent="0.25">
      <c r="A2" s="270" t="s">
        <v>328</v>
      </c>
      <c r="B2" s="271"/>
      <c r="C2" s="271"/>
      <c r="D2" s="271"/>
      <c r="E2" s="271"/>
      <c r="F2" s="271"/>
      <c r="G2" s="271"/>
      <c r="H2" s="271"/>
      <c r="I2" s="271"/>
      <c r="J2" s="271"/>
      <c r="K2" s="271"/>
      <c r="L2" s="271"/>
      <c r="M2" s="271"/>
      <c r="N2" s="271"/>
    </row>
    <row r="3" spans="1:14" x14ac:dyDescent="0.25">
      <c r="A3" s="219" t="s">
        <v>0</v>
      </c>
      <c r="B3" s="219" t="s">
        <v>1</v>
      </c>
      <c r="C3" s="219" t="s">
        <v>2</v>
      </c>
      <c r="D3" s="219" t="s">
        <v>3</v>
      </c>
      <c r="E3" s="219" t="s">
        <v>4</v>
      </c>
      <c r="F3" s="219" t="s">
        <v>5</v>
      </c>
      <c r="G3" s="219" t="s">
        <v>6</v>
      </c>
      <c r="H3" s="219" t="s">
        <v>7</v>
      </c>
      <c r="I3" s="219" t="s">
        <v>8</v>
      </c>
      <c r="J3" s="219" t="s">
        <v>9</v>
      </c>
      <c r="K3" s="219" t="s">
        <v>10</v>
      </c>
      <c r="L3" s="219" t="s">
        <v>11</v>
      </c>
      <c r="M3" s="219" t="s">
        <v>12</v>
      </c>
      <c r="N3" s="219" t="s">
        <v>13</v>
      </c>
    </row>
    <row r="4" spans="1:14" x14ac:dyDescent="0.25">
      <c r="A4" s="219" t="s">
        <v>14</v>
      </c>
      <c r="B4" s="29">
        <v>1144800</v>
      </c>
      <c r="C4" s="29">
        <v>1970595</v>
      </c>
      <c r="D4" s="29">
        <v>409182</v>
      </c>
      <c r="E4" s="29">
        <v>639190</v>
      </c>
      <c r="F4" s="29">
        <v>1005778</v>
      </c>
      <c r="G4" s="29">
        <v>1877310</v>
      </c>
      <c r="H4" s="29">
        <v>2399627</v>
      </c>
      <c r="I4" s="29">
        <v>6363</v>
      </c>
      <c r="J4" s="29">
        <v>358005</v>
      </c>
      <c r="K4" s="29">
        <v>647155</v>
      </c>
      <c r="L4" s="28" t="s">
        <v>15</v>
      </c>
      <c r="M4" s="28" t="s">
        <v>15</v>
      </c>
      <c r="N4" s="29">
        <v>10458007</v>
      </c>
    </row>
    <row r="5" spans="1:14" x14ac:dyDescent="0.25">
      <c r="A5" s="219" t="s">
        <v>16</v>
      </c>
      <c r="B5" s="29">
        <v>189141</v>
      </c>
      <c r="C5" s="29">
        <v>314823</v>
      </c>
      <c r="D5" s="29">
        <v>67479</v>
      </c>
      <c r="E5" s="29">
        <v>106830</v>
      </c>
      <c r="F5" s="29">
        <v>167963</v>
      </c>
      <c r="G5" s="29">
        <v>387307</v>
      </c>
      <c r="H5" s="29">
        <v>429633</v>
      </c>
      <c r="I5" s="29">
        <v>1081</v>
      </c>
      <c r="J5" s="29">
        <v>61376</v>
      </c>
      <c r="K5" s="29">
        <v>108506</v>
      </c>
      <c r="L5" s="28" t="s">
        <v>15</v>
      </c>
      <c r="M5" s="28" t="s">
        <v>15</v>
      </c>
      <c r="N5" s="29">
        <v>1834138</v>
      </c>
    </row>
    <row r="6" spans="1:14" x14ac:dyDescent="0.25">
      <c r="A6" s="219" t="s">
        <v>17</v>
      </c>
      <c r="B6" s="29">
        <v>807</v>
      </c>
      <c r="C6" s="29">
        <v>2314</v>
      </c>
      <c r="D6" s="29">
        <v>534</v>
      </c>
      <c r="E6" s="29">
        <v>-438</v>
      </c>
      <c r="F6" s="29">
        <v>719</v>
      </c>
      <c r="G6" s="29">
        <v>323</v>
      </c>
      <c r="H6" s="29">
        <v>1913</v>
      </c>
      <c r="I6" s="28" t="s">
        <v>15</v>
      </c>
      <c r="J6" s="29">
        <v>15</v>
      </c>
      <c r="K6" s="29">
        <v>51</v>
      </c>
      <c r="L6" s="28" t="s">
        <v>15</v>
      </c>
      <c r="M6" s="28" t="s">
        <v>15</v>
      </c>
      <c r="N6" s="29">
        <v>6239</v>
      </c>
    </row>
    <row r="7" spans="1:14" x14ac:dyDescent="0.25">
      <c r="A7" s="219" t="s">
        <v>18</v>
      </c>
      <c r="B7" s="29">
        <v>119121</v>
      </c>
      <c r="C7" s="29">
        <v>145273</v>
      </c>
      <c r="D7" s="29">
        <v>43344</v>
      </c>
      <c r="E7" s="29">
        <v>72242</v>
      </c>
      <c r="F7" s="29">
        <v>80525</v>
      </c>
      <c r="G7" s="29">
        <v>288467</v>
      </c>
      <c r="H7" s="29">
        <v>261005</v>
      </c>
      <c r="I7" s="29">
        <v>727</v>
      </c>
      <c r="J7" s="29">
        <v>29176</v>
      </c>
      <c r="K7" s="29">
        <v>52213</v>
      </c>
      <c r="L7" s="28" t="s">
        <v>15</v>
      </c>
      <c r="M7" s="28" t="s">
        <v>15</v>
      </c>
      <c r="N7" s="29">
        <v>1092094</v>
      </c>
    </row>
    <row r="8" spans="1:14" x14ac:dyDescent="0.25">
      <c r="A8" s="219" t="s">
        <v>19</v>
      </c>
      <c r="B8" s="29">
        <v>45789</v>
      </c>
      <c r="C8" s="29">
        <v>108626</v>
      </c>
      <c r="D8" s="29">
        <v>27574</v>
      </c>
      <c r="E8" s="29">
        <v>37536</v>
      </c>
      <c r="F8" s="29">
        <v>55388</v>
      </c>
      <c r="G8" s="29">
        <v>99778</v>
      </c>
      <c r="H8" s="29">
        <v>130553</v>
      </c>
      <c r="I8" s="29">
        <v>284</v>
      </c>
      <c r="J8" s="29">
        <v>24069</v>
      </c>
      <c r="K8" s="29">
        <v>32899</v>
      </c>
      <c r="L8" s="28" t="s">
        <v>15</v>
      </c>
      <c r="M8" s="28" t="s">
        <v>15</v>
      </c>
      <c r="N8" s="29">
        <v>562495</v>
      </c>
    </row>
    <row r="9" spans="1:14" x14ac:dyDescent="0.25">
      <c r="A9" s="219" t="s">
        <v>20</v>
      </c>
      <c r="B9" s="28" t="s">
        <v>15</v>
      </c>
      <c r="C9" s="28" t="s">
        <v>15</v>
      </c>
      <c r="D9" s="28" t="s">
        <v>15</v>
      </c>
      <c r="E9" s="28" t="s">
        <v>15</v>
      </c>
      <c r="F9" s="28" t="s">
        <v>15</v>
      </c>
      <c r="G9" s="28" t="s">
        <v>15</v>
      </c>
      <c r="H9" s="28" t="s">
        <v>15</v>
      </c>
      <c r="I9" s="28" t="s">
        <v>15</v>
      </c>
      <c r="J9" s="28" t="s">
        <v>15</v>
      </c>
      <c r="K9" s="28" t="s">
        <v>15</v>
      </c>
      <c r="L9" s="29">
        <v>1213165</v>
      </c>
      <c r="M9" s="28" t="s">
        <v>15</v>
      </c>
      <c r="N9" s="29">
        <v>1213165</v>
      </c>
    </row>
    <row r="10" spans="1:14" x14ac:dyDescent="0.25">
      <c r="A10" s="219"/>
      <c r="B10" s="28"/>
      <c r="C10" s="28"/>
      <c r="D10" s="28"/>
      <c r="E10" s="28"/>
      <c r="F10" s="28"/>
      <c r="G10" s="28"/>
      <c r="H10" s="28"/>
      <c r="I10" s="28"/>
      <c r="J10" s="28"/>
      <c r="K10" s="28"/>
      <c r="L10" s="28"/>
      <c r="M10" s="28"/>
      <c r="N10" s="28"/>
    </row>
    <row r="11" spans="1:14" x14ac:dyDescent="0.25">
      <c r="A11" s="219" t="s">
        <v>21</v>
      </c>
      <c r="B11" s="29">
        <v>1450</v>
      </c>
      <c r="C11" s="29">
        <v>156</v>
      </c>
      <c r="D11" s="29">
        <v>0</v>
      </c>
      <c r="E11" s="28" t="s">
        <v>15</v>
      </c>
      <c r="F11" s="29">
        <v>2327</v>
      </c>
      <c r="G11" s="29">
        <v>503254</v>
      </c>
      <c r="H11" s="29">
        <v>223271</v>
      </c>
      <c r="I11" s="29">
        <v>447</v>
      </c>
      <c r="J11" s="28" t="s">
        <v>15</v>
      </c>
      <c r="K11" s="28" t="s">
        <v>15</v>
      </c>
      <c r="L11" s="28" t="s">
        <v>15</v>
      </c>
      <c r="M11" s="28" t="s">
        <v>15</v>
      </c>
      <c r="N11" s="29">
        <v>730906</v>
      </c>
    </row>
    <row r="12" spans="1:14" x14ac:dyDescent="0.25">
      <c r="A12" s="219" t="s">
        <v>22</v>
      </c>
      <c r="B12" s="28" t="s">
        <v>15</v>
      </c>
      <c r="C12" s="29">
        <v>98</v>
      </c>
      <c r="D12" s="29">
        <v>221</v>
      </c>
      <c r="E12" s="29">
        <v>160</v>
      </c>
      <c r="F12" s="29">
        <v>192</v>
      </c>
      <c r="G12" s="29">
        <v>17030</v>
      </c>
      <c r="H12" s="29">
        <v>11644</v>
      </c>
      <c r="I12" s="28" t="s">
        <v>15</v>
      </c>
      <c r="J12" s="29">
        <v>144</v>
      </c>
      <c r="K12" s="28" t="s">
        <v>15</v>
      </c>
      <c r="L12" s="28" t="s">
        <v>15</v>
      </c>
      <c r="M12" s="28" t="s">
        <v>15</v>
      </c>
      <c r="N12" s="29">
        <v>29488</v>
      </c>
    </row>
    <row r="13" spans="1:14" x14ac:dyDescent="0.25">
      <c r="A13" s="219" t="s">
        <v>23</v>
      </c>
      <c r="B13" s="29">
        <v>3568</v>
      </c>
      <c r="C13" s="29">
        <v>38466</v>
      </c>
      <c r="D13" s="29">
        <v>3881</v>
      </c>
      <c r="E13" s="29">
        <v>18335</v>
      </c>
      <c r="F13" s="29">
        <v>16166</v>
      </c>
      <c r="G13" s="29">
        <v>68786</v>
      </c>
      <c r="H13" s="29">
        <v>94137</v>
      </c>
      <c r="I13" s="29">
        <v>173</v>
      </c>
      <c r="J13" s="29">
        <v>1200</v>
      </c>
      <c r="K13" s="29">
        <v>631</v>
      </c>
      <c r="L13" s="28" t="s">
        <v>15</v>
      </c>
      <c r="M13" s="28" t="s">
        <v>15</v>
      </c>
      <c r="N13" s="29">
        <v>245342</v>
      </c>
    </row>
    <row r="14" spans="1:14" x14ac:dyDescent="0.25">
      <c r="A14" s="219" t="s">
        <v>24</v>
      </c>
      <c r="B14" s="29">
        <v>5912</v>
      </c>
      <c r="C14" s="29">
        <v>223473</v>
      </c>
      <c r="D14" s="29">
        <v>8588</v>
      </c>
      <c r="E14" s="29">
        <v>20488</v>
      </c>
      <c r="F14" s="29">
        <v>36216</v>
      </c>
      <c r="G14" s="29">
        <v>123140</v>
      </c>
      <c r="H14" s="29">
        <v>121300</v>
      </c>
      <c r="I14" s="29">
        <v>158</v>
      </c>
      <c r="J14" s="29">
        <v>37822</v>
      </c>
      <c r="K14" s="29">
        <v>77757</v>
      </c>
      <c r="L14" s="28" t="s">
        <v>15</v>
      </c>
      <c r="M14" s="28" t="s">
        <v>15</v>
      </c>
      <c r="N14" s="29">
        <v>654853</v>
      </c>
    </row>
    <row r="15" spans="1:14" x14ac:dyDescent="0.25">
      <c r="A15" s="219" t="s">
        <v>25</v>
      </c>
      <c r="B15" s="29">
        <v>1638</v>
      </c>
      <c r="C15" s="29">
        <v>249</v>
      </c>
      <c r="D15" s="29">
        <v>113</v>
      </c>
      <c r="E15" s="29">
        <v>63</v>
      </c>
      <c r="F15" s="29">
        <v>49</v>
      </c>
      <c r="G15" s="29">
        <v>147</v>
      </c>
      <c r="H15" s="29">
        <v>47</v>
      </c>
      <c r="I15" s="28" t="s">
        <v>15</v>
      </c>
      <c r="J15" s="29">
        <v>3772</v>
      </c>
      <c r="K15" s="29">
        <v>89</v>
      </c>
      <c r="L15" s="28" t="s">
        <v>15</v>
      </c>
      <c r="M15" s="28" t="s">
        <v>15</v>
      </c>
      <c r="N15" s="29">
        <v>6166</v>
      </c>
    </row>
    <row r="16" spans="1:14" x14ac:dyDescent="0.25">
      <c r="A16" s="219" t="s">
        <v>26</v>
      </c>
      <c r="B16" s="29">
        <v>5177</v>
      </c>
      <c r="C16" s="29">
        <v>3564</v>
      </c>
      <c r="D16" s="29">
        <v>194</v>
      </c>
      <c r="E16" s="29">
        <v>1165</v>
      </c>
      <c r="F16" s="29">
        <v>3321</v>
      </c>
      <c r="G16" s="29">
        <v>2550</v>
      </c>
      <c r="H16" s="29">
        <v>4878</v>
      </c>
      <c r="I16" s="28" t="s">
        <v>15</v>
      </c>
      <c r="J16" s="29">
        <v>761</v>
      </c>
      <c r="K16" s="29">
        <v>2021</v>
      </c>
      <c r="L16" s="28" t="s">
        <v>15</v>
      </c>
      <c r="M16" s="28" t="s">
        <v>15</v>
      </c>
      <c r="N16" s="29">
        <v>23630</v>
      </c>
    </row>
    <row r="17" spans="1:14" x14ac:dyDescent="0.25">
      <c r="A17" s="219" t="s">
        <v>27</v>
      </c>
      <c r="B17" s="29">
        <v>26778</v>
      </c>
      <c r="C17" s="29">
        <v>152640</v>
      </c>
      <c r="D17" s="29">
        <v>5786</v>
      </c>
      <c r="E17" s="29">
        <v>11309</v>
      </c>
      <c r="F17" s="29">
        <v>93974</v>
      </c>
      <c r="G17" s="29">
        <v>5025</v>
      </c>
      <c r="H17" s="29">
        <v>71072</v>
      </c>
      <c r="I17" s="29">
        <v>92</v>
      </c>
      <c r="J17" s="29">
        <v>4932</v>
      </c>
      <c r="K17" s="29">
        <v>79078</v>
      </c>
      <c r="L17" s="28" t="s">
        <v>15</v>
      </c>
      <c r="M17" s="28" t="s">
        <v>15</v>
      </c>
      <c r="N17" s="29">
        <v>450687</v>
      </c>
    </row>
    <row r="18" spans="1:14" x14ac:dyDescent="0.25">
      <c r="A18" s="219"/>
      <c r="B18" s="28"/>
      <c r="C18" s="28"/>
      <c r="D18" s="28"/>
      <c r="E18" s="28"/>
      <c r="F18" s="28"/>
      <c r="G18" s="28"/>
      <c r="H18" s="28"/>
      <c r="I18" s="28"/>
      <c r="J18" s="28"/>
      <c r="K18" s="28"/>
      <c r="L18" s="28"/>
      <c r="M18" s="28"/>
      <c r="N18" s="28"/>
    </row>
    <row r="19" spans="1:14" x14ac:dyDescent="0.25">
      <c r="A19" s="219" t="s">
        <v>28</v>
      </c>
      <c r="B19" s="29">
        <v>8762</v>
      </c>
      <c r="C19" s="29">
        <v>869</v>
      </c>
      <c r="D19" s="29">
        <v>499</v>
      </c>
      <c r="E19" s="29">
        <v>212</v>
      </c>
      <c r="F19" s="29">
        <v>1161</v>
      </c>
      <c r="G19" s="29">
        <v>1117</v>
      </c>
      <c r="H19" s="29">
        <v>4578</v>
      </c>
      <c r="I19" s="28" t="s">
        <v>15</v>
      </c>
      <c r="J19" s="29">
        <v>624</v>
      </c>
      <c r="K19" s="29">
        <v>2353</v>
      </c>
      <c r="L19" s="28" t="s">
        <v>15</v>
      </c>
      <c r="M19" s="28" t="s">
        <v>15</v>
      </c>
      <c r="N19" s="29">
        <v>20174</v>
      </c>
    </row>
    <row r="20" spans="1:14" x14ac:dyDescent="0.25">
      <c r="A20" s="219" t="s">
        <v>29</v>
      </c>
      <c r="B20" s="29">
        <v>3981</v>
      </c>
      <c r="C20" s="29">
        <v>513</v>
      </c>
      <c r="D20" s="29">
        <v>265</v>
      </c>
      <c r="E20" s="29">
        <v>144</v>
      </c>
      <c r="F20" s="29">
        <v>22169</v>
      </c>
      <c r="G20" s="29">
        <v>1246</v>
      </c>
      <c r="H20" s="29">
        <v>743</v>
      </c>
      <c r="I20" s="28" t="s">
        <v>15</v>
      </c>
      <c r="J20" s="29">
        <v>134</v>
      </c>
      <c r="K20" s="29">
        <v>293</v>
      </c>
      <c r="L20" s="28" t="s">
        <v>15</v>
      </c>
      <c r="M20" s="28" t="s">
        <v>15</v>
      </c>
      <c r="N20" s="29">
        <v>29487</v>
      </c>
    </row>
    <row r="21" spans="1:14" x14ac:dyDescent="0.25">
      <c r="A21" s="219" t="s">
        <v>30</v>
      </c>
      <c r="B21" s="29">
        <v>3288</v>
      </c>
      <c r="C21" s="29">
        <v>1431</v>
      </c>
      <c r="D21" s="29">
        <v>574</v>
      </c>
      <c r="E21" s="29">
        <v>601</v>
      </c>
      <c r="F21" s="29">
        <v>1213</v>
      </c>
      <c r="G21" s="29">
        <v>2760</v>
      </c>
      <c r="H21" s="29">
        <v>1651</v>
      </c>
      <c r="I21" s="29">
        <v>56</v>
      </c>
      <c r="J21" s="29">
        <v>350</v>
      </c>
      <c r="K21" s="29">
        <v>897</v>
      </c>
      <c r="L21" s="28" t="s">
        <v>15</v>
      </c>
      <c r="M21" s="28" t="s">
        <v>15</v>
      </c>
      <c r="N21" s="29">
        <v>12821</v>
      </c>
    </row>
    <row r="22" spans="1:14" x14ac:dyDescent="0.25">
      <c r="A22" s="219" t="s">
        <v>31</v>
      </c>
      <c r="B22" s="29">
        <v>56162</v>
      </c>
      <c r="C22" s="29">
        <v>22255</v>
      </c>
      <c r="D22" s="28" t="s">
        <v>15</v>
      </c>
      <c r="E22" s="29">
        <v>3886</v>
      </c>
      <c r="F22" s="29">
        <v>2416</v>
      </c>
      <c r="G22" s="29">
        <v>2837</v>
      </c>
      <c r="H22" s="29">
        <v>5344</v>
      </c>
      <c r="I22" s="28" t="s">
        <v>15</v>
      </c>
      <c r="J22" s="29">
        <v>1339</v>
      </c>
      <c r="K22" s="29">
        <v>4961</v>
      </c>
      <c r="L22" s="28" t="s">
        <v>15</v>
      </c>
      <c r="M22" s="28" t="s">
        <v>15</v>
      </c>
      <c r="N22" s="29">
        <v>99201</v>
      </c>
    </row>
    <row r="23" spans="1:14" x14ac:dyDescent="0.25">
      <c r="A23" s="219" t="s">
        <v>32</v>
      </c>
      <c r="B23" s="28" t="s">
        <v>15</v>
      </c>
      <c r="C23" s="28" t="s">
        <v>15</v>
      </c>
      <c r="D23" s="28" t="s">
        <v>15</v>
      </c>
      <c r="E23" s="28" t="s">
        <v>15</v>
      </c>
      <c r="F23" s="29">
        <v>18</v>
      </c>
      <c r="G23" s="28" t="s">
        <v>15</v>
      </c>
      <c r="H23" s="28" t="s">
        <v>15</v>
      </c>
      <c r="I23" s="28" t="s">
        <v>15</v>
      </c>
      <c r="J23" s="28" t="s">
        <v>15</v>
      </c>
      <c r="K23" s="28" t="s">
        <v>15</v>
      </c>
      <c r="L23" s="28" t="s">
        <v>15</v>
      </c>
      <c r="M23" s="28" t="s">
        <v>15</v>
      </c>
      <c r="N23" s="29">
        <v>18</v>
      </c>
    </row>
    <row r="24" spans="1:14" x14ac:dyDescent="0.25">
      <c r="A24" s="219"/>
      <c r="B24" s="28"/>
      <c r="C24" s="28"/>
      <c r="D24" s="28"/>
      <c r="E24" s="28"/>
      <c r="F24" s="28"/>
      <c r="G24" s="28"/>
      <c r="H24" s="28"/>
      <c r="I24" s="28"/>
      <c r="J24" s="28"/>
      <c r="K24" s="28"/>
      <c r="L24" s="28"/>
      <c r="M24" s="28"/>
      <c r="N24" s="28"/>
    </row>
    <row r="25" spans="1:14" x14ac:dyDescent="0.25">
      <c r="A25" s="219" t="s">
        <v>33</v>
      </c>
      <c r="B25" s="29">
        <v>3350</v>
      </c>
      <c r="C25" s="29">
        <v>280</v>
      </c>
      <c r="D25" s="29">
        <v>139</v>
      </c>
      <c r="E25" s="28" t="s">
        <v>15</v>
      </c>
      <c r="F25" s="29">
        <v>0</v>
      </c>
      <c r="G25" s="29">
        <v>557</v>
      </c>
      <c r="H25" s="29">
        <v>6825</v>
      </c>
      <c r="I25" s="28" t="s">
        <v>15</v>
      </c>
      <c r="J25" s="29">
        <v>18</v>
      </c>
      <c r="K25" s="29">
        <v>44</v>
      </c>
      <c r="L25" s="28" t="s">
        <v>15</v>
      </c>
      <c r="M25" s="28" t="s">
        <v>15</v>
      </c>
      <c r="N25" s="29">
        <v>11214</v>
      </c>
    </row>
    <row r="26" spans="1:14" x14ac:dyDescent="0.25">
      <c r="A26" s="219" t="s">
        <v>35</v>
      </c>
      <c r="B26" s="28" t="s">
        <v>15</v>
      </c>
      <c r="C26" s="29">
        <v>0</v>
      </c>
      <c r="D26" s="28" t="s">
        <v>15</v>
      </c>
      <c r="E26" s="28" t="s">
        <v>15</v>
      </c>
      <c r="F26" s="28" t="s">
        <v>15</v>
      </c>
      <c r="G26" s="28" t="s">
        <v>15</v>
      </c>
      <c r="H26" s="29">
        <v>0</v>
      </c>
      <c r="I26" s="28" t="s">
        <v>15</v>
      </c>
      <c r="J26" s="29">
        <v>565244</v>
      </c>
      <c r="K26" s="29">
        <v>0</v>
      </c>
      <c r="L26" s="28" t="s">
        <v>15</v>
      </c>
      <c r="M26" s="28" t="s">
        <v>15</v>
      </c>
      <c r="N26" s="29">
        <v>565244</v>
      </c>
    </row>
    <row r="27" spans="1:14" x14ac:dyDescent="0.25">
      <c r="A27" s="219" t="s">
        <v>36</v>
      </c>
      <c r="B27" s="28" t="s">
        <v>15</v>
      </c>
      <c r="C27" s="28" t="s">
        <v>15</v>
      </c>
      <c r="D27" s="28" t="s">
        <v>15</v>
      </c>
      <c r="E27" s="28" t="s">
        <v>15</v>
      </c>
      <c r="F27" s="28" t="s">
        <v>15</v>
      </c>
      <c r="G27" s="28" t="s">
        <v>15</v>
      </c>
      <c r="H27" s="28" t="s">
        <v>15</v>
      </c>
      <c r="I27" s="28" t="s">
        <v>15</v>
      </c>
      <c r="J27" s="29">
        <v>384865</v>
      </c>
      <c r="K27" s="28" t="s">
        <v>15</v>
      </c>
      <c r="L27" s="28" t="s">
        <v>15</v>
      </c>
      <c r="M27" s="28" t="s">
        <v>15</v>
      </c>
      <c r="N27" s="29">
        <v>384865</v>
      </c>
    </row>
    <row r="28" spans="1:14" x14ac:dyDescent="0.25">
      <c r="A28" s="219" t="s">
        <v>37</v>
      </c>
      <c r="B28" s="29">
        <v>5932</v>
      </c>
      <c r="C28" s="29">
        <v>105127</v>
      </c>
      <c r="D28" s="29">
        <v>217702</v>
      </c>
      <c r="E28" s="29">
        <v>70794</v>
      </c>
      <c r="F28" s="29">
        <v>152961</v>
      </c>
      <c r="G28" s="29">
        <v>63424</v>
      </c>
      <c r="H28" s="29">
        <v>5466</v>
      </c>
      <c r="I28" s="29">
        <v>51820</v>
      </c>
      <c r="J28" s="29">
        <v>14947</v>
      </c>
      <c r="K28" s="29">
        <v>1825</v>
      </c>
      <c r="L28" s="28" t="s">
        <v>15</v>
      </c>
      <c r="M28" s="28" t="s">
        <v>15</v>
      </c>
      <c r="N28" s="29">
        <v>689998</v>
      </c>
    </row>
    <row r="29" spans="1:14" x14ac:dyDescent="0.25">
      <c r="A29" s="219" t="s">
        <v>38</v>
      </c>
      <c r="B29" s="29">
        <v>8594</v>
      </c>
      <c r="C29" s="29">
        <v>106549</v>
      </c>
      <c r="D29" s="29">
        <v>42576</v>
      </c>
      <c r="E29" s="29">
        <v>10969</v>
      </c>
      <c r="F29" s="29">
        <v>122359</v>
      </c>
      <c r="G29" s="29">
        <v>10415</v>
      </c>
      <c r="H29" s="29">
        <v>55707</v>
      </c>
      <c r="I29" s="29">
        <v>0</v>
      </c>
      <c r="J29" s="29">
        <v>113336</v>
      </c>
      <c r="K29" s="29">
        <v>19868</v>
      </c>
      <c r="L29" s="28" t="s">
        <v>15</v>
      </c>
      <c r="M29" s="29">
        <v>0</v>
      </c>
      <c r="N29" s="29">
        <v>490373</v>
      </c>
    </row>
    <row r="30" spans="1:14" x14ac:dyDescent="0.25">
      <c r="A30" s="219" t="s">
        <v>39</v>
      </c>
      <c r="B30" s="29">
        <v>672</v>
      </c>
      <c r="C30" s="28" t="s">
        <v>15</v>
      </c>
      <c r="D30" s="28" t="s">
        <v>15</v>
      </c>
      <c r="E30" s="29">
        <v>176</v>
      </c>
      <c r="F30" s="28" t="s">
        <v>15</v>
      </c>
      <c r="G30" s="28" t="s">
        <v>15</v>
      </c>
      <c r="H30" s="28" t="s">
        <v>15</v>
      </c>
      <c r="I30" s="28" t="s">
        <v>15</v>
      </c>
      <c r="J30" s="28" t="s">
        <v>15</v>
      </c>
      <c r="K30" s="28" t="s">
        <v>15</v>
      </c>
      <c r="L30" s="28" t="s">
        <v>15</v>
      </c>
      <c r="M30" s="28" t="s">
        <v>15</v>
      </c>
      <c r="N30" s="29">
        <v>848</v>
      </c>
    </row>
    <row r="31" spans="1:14" x14ac:dyDescent="0.25">
      <c r="A31" s="219" t="s">
        <v>40</v>
      </c>
      <c r="B31" s="29">
        <v>695</v>
      </c>
      <c r="C31" s="29">
        <v>0</v>
      </c>
      <c r="D31" s="28" t="s">
        <v>15</v>
      </c>
      <c r="E31" s="29">
        <v>238</v>
      </c>
      <c r="F31" s="28" t="s">
        <v>15</v>
      </c>
      <c r="G31" s="29">
        <v>326176</v>
      </c>
      <c r="H31" s="28" t="s">
        <v>15</v>
      </c>
      <c r="I31" s="29">
        <v>2630866</v>
      </c>
      <c r="J31" s="29">
        <v>74364</v>
      </c>
      <c r="K31" s="29">
        <v>149</v>
      </c>
      <c r="L31" s="28" t="s">
        <v>15</v>
      </c>
      <c r="M31" s="28" t="s">
        <v>15</v>
      </c>
      <c r="N31" s="29">
        <v>3032488</v>
      </c>
    </row>
    <row r="32" spans="1:14" x14ac:dyDescent="0.25">
      <c r="A32" s="219" t="s">
        <v>41</v>
      </c>
      <c r="B32" s="29">
        <v>-1</v>
      </c>
      <c r="C32" s="29">
        <v>63785</v>
      </c>
      <c r="D32" s="29">
        <v>90</v>
      </c>
      <c r="E32" s="28" t="s">
        <v>15</v>
      </c>
      <c r="F32" s="29">
        <v>3423</v>
      </c>
      <c r="G32" s="29">
        <v>4844</v>
      </c>
      <c r="H32" s="29">
        <v>0</v>
      </c>
      <c r="I32" s="28" t="s">
        <v>15</v>
      </c>
      <c r="J32" s="29">
        <v>0</v>
      </c>
      <c r="K32" s="28" t="s">
        <v>15</v>
      </c>
      <c r="L32" s="28" t="s">
        <v>15</v>
      </c>
      <c r="M32" s="28" t="s">
        <v>15</v>
      </c>
      <c r="N32" s="29">
        <v>72141</v>
      </c>
    </row>
    <row r="33" spans="1:14" x14ac:dyDescent="0.25">
      <c r="A33" s="219" t="s">
        <v>43</v>
      </c>
      <c r="B33" s="29">
        <v>33539</v>
      </c>
      <c r="C33" s="29">
        <v>438595</v>
      </c>
      <c r="D33" s="29">
        <v>28291</v>
      </c>
      <c r="E33" s="29">
        <v>67793</v>
      </c>
      <c r="F33" s="29">
        <v>289729</v>
      </c>
      <c r="G33" s="29">
        <v>223421</v>
      </c>
      <c r="H33" s="29">
        <v>200806</v>
      </c>
      <c r="I33" s="28" t="s">
        <v>15</v>
      </c>
      <c r="J33" s="29">
        <v>196309</v>
      </c>
      <c r="K33" s="29">
        <v>33105</v>
      </c>
      <c r="L33" s="28" t="s">
        <v>15</v>
      </c>
      <c r="M33" s="28" t="s">
        <v>15</v>
      </c>
      <c r="N33" s="29">
        <v>1511589</v>
      </c>
    </row>
    <row r="34" spans="1:14" x14ac:dyDescent="0.25">
      <c r="A34" s="219" t="s">
        <v>44</v>
      </c>
      <c r="B34" s="28" t="s">
        <v>15</v>
      </c>
      <c r="C34" s="29">
        <v>101775</v>
      </c>
      <c r="D34" s="29">
        <v>65235</v>
      </c>
      <c r="E34" s="29">
        <v>-9269</v>
      </c>
      <c r="F34" s="29">
        <v>-13704</v>
      </c>
      <c r="G34" s="29">
        <v>458</v>
      </c>
      <c r="H34" s="29">
        <v>6796430</v>
      </c>
      <c r="I34" s="28" t="s">
        <v>15</v>
      </c>
      <c r="J34" s="28" t="s">
        <v>15</v>
      </c>
      <c r="K34" s="29">
        <v>72372</v>
      </c>
      <c r="L34" s="28" t="s">
        <v>15</v>
      </c>
      <c r="M34" s="28" t="s">
        <v>15</v>
      </c>
      <c r="N34" s="29">
        <v>7013297</v>
      </c>
    </row>
    <row r="35" spans="1:14" x14ac:dyDescent="0.25">
      <c r="A35" s="219" t="s">
        <v>45</v>
      </c>
      <c r="B35" s="28" t="s">
        <v>15</v>
      </c>
      <c r="C35" s="28" t="s">
        <v>15</v>
      </c>
      <c r="D35" s="28" t="s">
        <v>15</v>
      </c>
      <c r="E35" s="29">
        <v>110202</v>
      </c>
      <c r="F35" s="29">
        <v>71700</v>
      </c>
      <c r="G35" s="28" t="s">
        <v>15</v>
      </c>
      <c r="H35" s="28" t="s">
        <v>15</v>
      </c>
      <c r="I35" s="28" t="s">
        <v>15</v>
      </c>
      <c r="J35" s="28" t="s">
        <v>15</v>
      </c>
      <c r="K35" s="28" t="s">
        <v>15</v>
      </c>
      <c r="L35" s="28" t="s">
        <v>15</v>
      </c>
      <c r="M35" s="28" t="s">
        <v>15</v>
      </c>
      <c r="N35" s="29">
        <v>181902</v>
      </c>
    </row>
    <row r="36" spans="1:14" x14ac:dyDescent="0.25">
      <c r="A36" s="219" t="s">
        <v>46</v>
      </c>
      <c r="B36" s="28" t="s">
        <v>15</v>
      </c>
      <c r="C36" s="28" t="s">
        <v>15</v>
      </c>
      <c r="D36" s="28" t="s">
        <v>15</v>
      </c>
      <c r="E36" s="29">
        <v>49427</v>
      </c>
      <c r="F36" s="29">
        <v>779</v>
      </c>
      <c r="G36" s="28" t="s">
        <v>15</v>
      </c>
      <c r="H36" s="28" t="s">
        <v>15</v>
      </c>
      <c r="I36" s="28" t="s">
        <v>15</v>
      </c>
      <c r="J36" s="28" t="s">
        <v>15</v>
      </c>
      <c r="K36" s="28" t="s">
        <v>15</v>
      </c>
      <c r="L36" s="28" t="s">
        <v>15</v>
      </c>
      <c r="M36" s="28" t="s">
        <v>15</v>
      </c>
      <c r="N36" s="29">
        <v>50206</v>
      </c>
    </row>
    <row r="37" spans="1:14" x14ac:dyDescent="0.25">
      <c r="A37" s="219" t="s">
        <v>47</v>
      </c>
      <c r="B37" s="28" t="s">
        <v>15</v>
      </c>
      <c r="C37" s="28" t="s">
        <v>15</v>
      </c>
      <c r="D37" s="28" t="s">
        <v>15</v>
      </c>
      <c r="E37" s="28" t="s">
        <v>15</v>
      </c>
      <c r="F37" s="28" t="s">
        <v>15</v>
      </c>
      <c r="G37" s="28" t="s">
        <v>15</v>
      </c>
      <c r="H37" s="28" t="s">
        <v>15</v>
      </c>
      <c r="I37" s="29">
        <v>491733</v>
      </c>
      <c r="J37" s="28" t="s">
        <v>15</v>
      </c>
      <c r="K37" s="28" t="s">
        <v>15</v>
      </c>
      <c r="L37" s="28" t="s">
        <v>15</v>
      </c>
      <c r="M37" s="28" t="s">
        <v>15</v>
      </c>
      <c r="N37" s="29">
        <v>491733</v>
      </c>
    </row>
    <row r="38" spans="1:14" x14ac:dyDescent="0.25">
      <c r="A38" s="219" t="s">
        <v>329</v>
      </c>
      <c r="B38" s="29">
        <v>0</v>
      </c>
      <c r="C38" s="28" t="s">
        <v>15</v>
      </c>
      <c r="D38" s="28" t="s">
        <v>15</v>
      </c>
      <c r="E38" s="28" t="s">
        <v>15</v>
      </c>
      <c r="F38" s="28" t="s">
        <v>15</v>
      </c>
      <c r="G38" s="28" t="s">
        <v>15</v>
      </c>
      <c r="H38" s="28" t="s">
        <v>15</v>
      </c>
      <c r="I38" s="28" t="s">
        <v>15</v>
      </c>
      <c r="J38" s="28" t="s">
        <v>15</v>
      </c>
      <c r="K38" s="28" t="s">
        <v>15</v>
      </c>
      <c r="L38" s="28" t="s">
        <v>15</v>
      </c>
      <c r="M38" s="28" t="s">
        <v>15</v>
      </c>
      <c r="N38" s="29">
        <v>0</v>
      </c>
    </row>
    <row r="39" spans="1:14" x14ac:dyDescent="0.25">
      <c r="A39" s="219" t="s">
        <v>48</v>
      </c>
      <c r="B39" s="29">
        <v>442</v>
      </c>
      <c r="C39" s="28" t="s">
        <v>15</v>
      </c>
      <c r="D39" s="28" t="s">
        <v>15</v>
      </c>
      <c r="E39" s="28" t="s">
        <v>15</v>
      </c>
      <c r="F39" s="28" t="s">
        <v>15</v>
      </c>
      <c r="G39" s="28" t="s">
        <v>15</v>
      </c>
      <c r="H39" s="28" t="s">
        <v>15</v>
      </c>
      <c r="I39" s="28" t="s">
        <v>15</v>
      </c>
      <c r="J39" s="28" t="s">
        <v>15</v>
      </c>
      <c r="K39" s="28" t="s">
        <v>15</v>
      </c>
      <c r="L39" s="28" t="s">
        <v>15</v>
      </c>
      <c r="M39" s="28" t="s">
        <v>15</v>
      </c>
      <c r="N39" s="29">
        <v>442</v>
      </c>
    </row>
    <row r="40" spans="1:14" x14ac:dyDescent="0.25">
      <c r="A40" s="219"/>
      <c r="B40" s="28"/>
      <c r="C40" s="28"/>
      <c r="D40" s="28"/>
      <c r="E40" s="28"/>
      <c r="F40" s="28"/>
      <c r="G40" s="28"/>
      <c r="H40" s="28"/>
      <c r="I40" s="28"/>
      <c r="J40" s="28"/>
      <c r="K40" s="28"/>
      <c r="L40" s="28"/>
      <c r="M40" s="28"/>
      <c r="N40" s="28"/>
    </row>
    <row r="41" spans="1:14" x14ac:dyDescent="0.25">
      <c r="A41" s="219" t="s">
        <v>49</v>
      </c>
      <c r="B41" s="28" t="s">
        <v>15</v>
      </c>
      <c r="C41" s="28" t="s">
        <v>15</v>
      </c>
      <c r="D41" s="28" t="s">
        <v>15</v>
      </c>
      <c r="E41" s="28" t="s">
        <v>15</v>
      </c>
      <c r="F41" s="28" t="s">
        <v>15</v>
      </c>
      <c r="G41" s="28" t="s">
        <v>15</v>
      </c>
      <c r="H41" s="28" t="s">
        <v>15</v>
      </c>
      <c r="I41" s="29">
        <v>186075</v>
      </c>
      <c r="J41" s="28" t="s">
        <v>15</v>
      </c>
      <c r="K41" s="28" t="s">
        <v>15</v>
      </c>
      <c r="L41" s="28" t="s">
        <v>15</v>
      </c>
      <c r="M41" s="28" t="s">
        <v>15</v>
      </c>
      <c r="N41" s="29">
        <v>186075</v>
      </c>
    </row>
    <row r="42" spans="1:14" x14ac:dyDescent="0.25">
      <c r="A42" s="219" t="s">
        <v>50</v>
      </c>
      <c r="B42" s="29">
        <v>4290</v>
      </c>
      <c r="C42" s="29">
        <v>8686</v>
      </c>
      <c r="D42" s="29">
        <v>370</v>
      </c>
      <c r="E42" s="29">
        <v>290</v>
      </c>
      <c r="F42" s="29">
        <v>3163</v>
      </c>
      <c r="G42" s="29">
        <v>719</v>
      </c>
      <c r="H42" s="29">
        <v>923</v>
      </c>
      <c r="I42" s="29">
        <v>98</v>
      </c>
      <c r="J42" s="29">
        <v>73</v>
      </c>
      <c r="K42" s="29">
        <v>1320</v>
      </c>
      <c r="L42" s="28" t="s">
        <v>15</v>
      </c>
      <c r="M42" s="28" t="s">
        <v>15</v>
      </c>
      <c r="N42" s="29">
        <v>19933</v>
      </c>
    </row>
    <row r="43" spans="1:14" x14ac:dyDescent="0.25">
      <c r="A43" s="219" t="s">
        <v>51</v>
      </c>
      <c r="B43" s="29">
        <v>1378</v>
      </c>
      <c r="C43" s="29">
        <v>234</v>
      </c>
      <c r="D43" s="29">
        <v>1</v>
      </c>
      <c r="E43" s="29">
        <v>22</v>
      </c>
      <c r="F43" s="29">
        <v>165</v>
      </c>
      <c r="G43" s="29">
        <v>135</v>
      </c>
      <c r="H43" s="29">
        <v>177</v>
      </c>
      <c r="I43" s="28" t="s">
        <v>15</v>
      </c>
      <c r="J43" s="29">
        <v>5</v>
      </c>
      <c r="K43" s="29">
        <v>310</v>
      </c>
      <c r="L43" s="28" t="s">
        <v>15</v>
      </c>
      <c r="M43" s="28" t="s">
        <v>15</v>
      </c>
      <c r="N43" s="29">
        <v>2427</v>
      </c>
    </row>
    <row r="44" spans="1:14" x14ac:dyDescent="0.25">
      <c r="A44" s="219" t="s">
        <v>52</v>
      </c>
      <c r="B44" s="29">
        <v>489</v>
      </c>
      <c r="C44" s="29">
        <v>459</v>
      </c>
      <c r="D44" s="29">
        <v>1</v>
      </c>
      <c r="E44" s="29">
        <v>68</v>
      </c>
      <c r="F44" s="29">
        <v>253</v>
      </c>
      <c r="G44" s="29">
        <v>562</v>
      </c>
      <c r="H44" s="29">
        <v>159</v>
      </c>
      <c r="I44" s="28" t="s">
        <v>15</v>
      </c>
      <c r="J44" s="29">
        <v>20</v>
      </c>
      <c r="K44" s="29">
        <v>173</v>
      </c>
      <c r="L44" s="28" t="s">
        <v>15</v>
      </c>
      <c r="M44" s="28" t="s">
        <v>15</v>
      </c>
      <c r="N44" s="29">
        <v>2185</v>
      </c>
    </row>
    <row r="45" spans="1:14" x14ac:dyDescent="0.25">
      <c r="A45" s="219" t="s">
        <v>53</v>
      </c>
      <c r="B45" s="29">
        <v>4881</v>
      </c>
      <c r="C45" s="29">
        <v>61</v>
      </c>
      <c r="D45" s="28" t="s">
        <v>15</v>
      </c>
      <c r="E45" s="28" t="s">
        <v>15</v>
      </c>
      <c r="F45" s="28" t="s">
        <v>15</v>
      </c>
      <c r="G45" s="28" t="s">
        <v>15</v>
      </c>
      <c r="H45" s="29">
        <v>15</v>
      </c>
      <c r="I45" s="28" t="s">
        <v>15</v>
      </c>
      <c r="J45" s="29">
        <v>468</v>
      </c>
      <c r="K45" s="29">
        <v>598</v>
      </c>
      <c r="L45" s="28" t="s">
        <v>15</v>
      </c>
      <c r="M45" s="28" t="s">
        <v>15</v>
      </c>
      <c r="N45" s="29">
        <v>6023</v>
      </c>
    </row>
    <row r="46" spans="1:14" x14ac:dyDescent="0.25">
      <c r="A46" s="219" t="s">
        <v>54</v>
      </c>
      <c r="B46" s="29">
        <v>5566</v>
      </c>
      <c r="C46" s="29">
        <v>926</v>
      </c>
      <c r="D46" s="28" t="s">
        <v>15</v>
      </c>
      <c r="E46" s="29">
        <v>0</v>
      </c>
      <c r="F46" s="29">
        <v>-900</v>
      </c>
      <c r="G46" s="28" t="s">
        <v>15</v>
      </c>
      <c r="H46" s="29">
        <v>570</v>
      </c>
      <c r="I46" s="28" t="s">
        <v>15</v>
      </c>
      <c r="J46" s="29">
        <v>39</v>
      </c>
      <c r="K46" s="29">
        <v>534</v>
      </c>
      <c r="L46" s="28" t="s">
        <v>15</v>
      </c>
      <c r="M46" s="28" t="s">
        <v>15</v>
      </c>
      <c r="N46" s="29">
        <v>6735</v>
      </c>
    </row>
    <row r="47" spans="1:14" x14ac:dyDescent="0.25">
      <c r="A47" s="219" t="s">
        <v>55</v>
      </c>
      <c r="B47" s="29">
        <v>2369</v>
      </c>
      <c r="C47" s="28" t="s">
        <v>15</v>
      </c>
      <c r="D47" s="28" t="s">
        <v>15</v>
      </c>
      <c r="E47" s="29">
        <v>75</v>
      </c>
      <c r="F47" s="28" t="s">
        <v>15</v>
      </c>
      <c r="G47" s="28" t="s">
        <v>15</v>
      </c>
      <c r="H47" s="28" t="s">
        <v>15</v>
      </c>
      <c r="I47" s="28" t="s">
        <v>15</v>
      </c>
      <c r="J47" s="29">
        <v>540</v>
      </c>
      <c r="K47" s="29">
        <v>65</v>
      </c>
      <c r="L47" s="28" t="s">
        <v>15</v>
      </c>
      <c r="M47" s="28" t="s">
        <v>15</v>
      </c>
      <c r="N47" s="29">
        <v>3049</v>
      </c>
    </row>
    <row r="48" spans="1:14" x14ac:dyDescent="0.25">
      <c r="A48" s="219" t="s">
        <v>56</v>
      </c>
      <c r="B48" s="28" t="s">
        <v>15</v>
      </c>
      <c r="C48" s="28" t="s">
        <v>15</v>
      </c>
      <c r="D48" s="28" t="s">
        <v>15</v>
      </c>
      <c r="E48" s="28" t="s">
        <v>15</v>
      </c>
      <c r="F48" s="28" t="s">
        <v>15</v>
      </c>
      <c r="G48" s="29">
        <v>0</v>
      </c>
      <c r="H48" s="28" t="s">
        <v>15</v>
      </c>
      <c r="I48" s="28" t="s">
        <v>15</v>
      </c>
      <c r="J48" s="28" t="s">
        <v>15</v>
      </c>
      <c r="K48" s="28" t="s">
        <v>15</v>
      </c>
      <c r="L48" s="28" t="s">
        <v>15</v>
      </c>
      <c r="M48" s="28" t="s">
        <v>15</v>
      </c>
      <c r="N48" s="29">
        <v>0</v>
      </c>
    </row>
    <row r="49" spans="1:14" x14ac:dyDescent="0.25">
      <c r="A49" s="219" t="s">
        <v>57</v>
      </c>
      <c r="B49" s="28" t="s">
        <v>15</v>
      </c>
      <c r="C49" s="28" t="s">
        <v>15</v>
      </c>
      <c r="D49" s="28" t="s">
        <v>15</v>
      </c>
      <c r="E49" s="28" t="s">
        <v>15</v>
      </c>
      <c r="F49" s="28" t="s">
        <v>15</v>
      </c>
      <c r="G49" s="28" t="s">
        <v>15</v>
      </c>
      <c r="H49" s="28" t="s">
        <v>15</v>
      </c>
      <c r="I49" s="29">
        <v>124975</v>
      </c>
      <c r="J49" s="28" t="s">
        <v>15</v>
      </c>
      <c r="K49" s="28" t="s">
        <v>15</v>
      </c>
      <c r="L49" s="28" t="s">
        <v>15</v>
      </c>
      <c r="M49" s="28" t="s">
        <v>15</v>
      </c>
      <c r="N49" s="29">
        <v>124975</v>
      </c>
    </row>
    <row r="50" spans="1:14" x14ac:dyDescent="0.25">
      <c r="A50" s="219" t="s">
        <v>58</v>
      </c>
      <c r="B50" s="28" t="s">
        <v>15</v>
      </c>
      <c r="C50" s="28" t="s">
        <v>15</v>
      </c>
      <c r="D50" s="28" t="s">
        <v>15</v>
      </c>
      <c r="E50" s="28" t="s">
        <v>15</v>
      </c>
      <c r="F50" s="28" t="s">
        <v>15</v>
      </c>
      <c r="G50" s="28" t="s">
        <v>15</v>
      </c>
      <c r="H50" s="28" t="s">
        <v>15</v>
      </c>
      <c r="I50" s="29">
        <v>327259</v>
      </c>
      <c r="J50" s="28" t="s">
        <v>15</v>
      </c>
      <c r="K50" s="28" t="s">
        <v>15</v>
      </c>
      <c r="L50" s="28" t="s">
        <v>15</v>
      </c>
      <c r="M50" s="28" t="s">
        <v>15</v>
      </c>
      <c r="N50" s="29">
        <v>327259</v>
      </c>
    </row>
    <row r="51" spans="1:14" x14ac:dyDescent="0.25">
      <c r="A51" s="219" t="s">
        <v>59</v>
      </c>
      <c r="B51" s="28" t="s">
        <v>15</v>
      </c>
      <c r="C51" s="28" t="s">
        <v>15</v>
      </c>
      <c r="D51" s="29">
        <v>25509</v>
      </c>
      <c r="E51" s="29">
        <v>445765</v>
      </c>
      <c r="F51" s="28" t="s">
        <v>15</v>
      </c>
      <c r="G51" s="28" t="s">
        <v>15</v>
      </c>
      <c r="H51" s="28" t="s">
        <v>15</v>
      </c>
      <c r="I51" s="28" t="s">
        <v>15</v>
      </c>
      <c r="J51" s="28" t="s">
        <v>15</v>
      </c>
      <c r="K51" s="28" t="s">
        <v>15</v>
      </c>
      <c r="L51" s="28" t="s">
        <v>15</v>
      </c>
      <c r="M51" s="28" t="s">
        <v>15</v>
      </c>
      <c r="N51" s="29">
        <v>471273</v>
      </c>
    </row>
    <row r="52" spans="1:14" x14ac:dyDescent="0.25">
      <c r="A52" s="219" t="s">
        <v>60</v>
      </c>
      <c r="B52" s="29">
        <v>0</v>
      </c>
      <c r="C52" s="28" t="s">
        <v>15</v>
      </c>
      <c r="D52" s="29">
        <v>88449</v>
      </c>
      <c r="E52" s="29">
        <v>234557</v>
      </c>
      <c r="F52" s="28" t="s">
        <v>15</v>
      </c>
      <c r="G52" s="28" t="s">
        <v>15</v>
      </c>
      <c r="H52" s="28" t="s">
        <v>15</v>
      </c>
      <c r="I52" s="28" t="s">
        <v>15</v>
      </c>
      <c r="J52" s="28" t="s">
        <v>15</v>
      </c>
      <c r="K52" s="28" t="s">
        <v>15</v>
      </c>
      <c r="L52" s="28" t="s">
        <v>15</v>
      </c>
      <c r="M52" s="28" t="s">
        <v>15</v>
      </c>
      <c r="N52" s="29">
        <v>323006</v>
      </c>
    </row>
    <row r="53" spans="1:14" x14ac:dyDescent="0.25">
      <c r="A53" s="219" t="s">
        <v>61</v>
      </c>
      <c r="B53" s="29">
        <v>4174</v>
      </c>
      <c r="C53" s="29">
        <v>15354</v>
      </c>
      <c r="D53" s="29">
        <v>1187</v>
      </c>
      <c r="E53" s="29">
        <v>1547</v>
      </c>
      <c r="F53" s="29">
        <v>12639</v>
      </c>
      <c r="G53" s="29">
        <v>9686</v>
      </c>
      <c r="H53" s="29">
        <v>8372</v>
      </c>
      <c r="I53" s="28" t="s">
        <v>15</v>
      </c>
      <c r="J53" s="29">
        <v>16098</v>
      </c>
      <c r="K53" s="29">
        <v>3039</v>
      </c>
      <c r="L53" s="28" t="s">
        <v>15</v>
      </c>
      <c r="M53" s="28" t="s">
        <v>15</v>
      </c>
      <c r="N53" s="29">
        <v>72096</v>
      </c>
    </row>
    <row r="54" spans="1:14" x14ac:dyDescent="0.25">
      <c r="A54" s="219" t="s">
        <v>62</v>
      </c>
      <c r="B54" s="29">
        <v>4174</v>
      </c>
      <c r="C54" s="29">
        <v>15354</v>
      </c>
      <c r="D54" s="29">
        <v>1187</v>
      </c>
      <c r="E54" s="29">
        <v>1547</v>
      </c>
      <c r="F54" s="29">
        <v>12622</v>
      </c>
      <c r="G54" s="29">
        <v>9686</v>
      </c>
      <c r="H54" s="29">
        <v>8372</v>
      </c>
      <c r="I54" s="28" t="s">
        <v>15</v>
      </c>
      <c r="J54" s="29">
        <v>16100</v>
      </c>
      <c r="K54" s="29">
        <v>3039</v>
      </c>
      <c r="L54" s="28" t="s">
        <v>15</v>
      </c>
      <c r="M54" s="28" t="s">
        <v>15</v>
      </c>
      <c r="N54" s="29">
        <v>72082</v>
      </c>
    </row>
    <row r="55" spans="1:14" x14ac:dyDescent="0.25">
      <c r="A55" s="219" t="s">
        <v>322</v>
      </c>
      <c r="B55" s="29">
        <v>0</v>
      </c>
      <c r="C55" s="28" t="s">
        <v>15</v>
      </c>
      <c r="D55" s="28" t="s">
        <v>15</v>
      </c>
      <c r="E55" s="28" t="s">
        <v>15</v>
      </c>
      <c r="F55" s="28" t="s">
        <v>15</v>
      </c>
      <c r="G55" s="28" t="s">
        <v>15</v>
      </c>
      <c r="H55" s="28" t="s">
        <v>15</v>
      </c>
      <c r="I55" s="28" t="s">
        <v>15</v>
      </c>
      <c r="J55" s="29">
        <v>8</v>
      </c>
      <c r="K55" s="28" t="s">
        <v>15</v>
      </c>
      <c r="L55" s="28" t="s">
        <v>15</v>
      </c>
      <c r="M55" s="28" t="s">
        <v>15</v>
      </c>
      <c r="N55" s="29">
        <v>8</v>
      </c>
    </row>
    <row r="56" spans="1:14" x14ac:dyDescent="0.25">
      <c r="A56" s="219" t="s">
        <v>63</v>
      </c>
      <c r="B56" s="29">
        <v>1635</v>
      </c>
      <c r="C56" s="29">
        <v>4590</v>
      </c>
      <c r="D56" s="29">
        <v>6977</v>
      </c>
      <c r="E56" s="29">
        <v>6549</v>
      </c>
      <c r="F56" s="29">
        <v>30080</v>
      </c>
      <c r="G56" s="29">
        <v>13038</v>
      </c>
      <c r="H56" s="29">
        <v>8544</v>
      </c>
      <c r="I56" s="29">
        <v>0</v>
      </c>
      <c r="J56" s="29">
        <v>2047</v>
      </c>
      <c r="K56" s="29">
        <v>698</v>
      </c>
      <c r="L56" s="28" t="s">
        <v>15</v>
      </c>
      <c r="M56" s="28" t="s">
        <v>15</v>
      </c>
      <c r="N56" s="29">
        <v>74158</v>
      </c>
    </row>
    <row r="57" spans="1:14" x14ac:dyDescent="0.25">
      <c r="A57" s="219" t="s">
        <v>64</v>
      </c>
      <c r="B57" s="29">
        <v>0</v>
      </c>
      <c r="C57" s="29">
        <v>0</v>
      </c>
      <c r="D57" s="29">
        <v>0</v>
      </c>
      <c r="E57" s="29">
        <v>0</v>
      </c>
      <c r="F57" s="29">
        <v>0</v>
      </c>
      <c r="G57" s="29">
        <v>0</v>
      </c>
      <c r="H57" s="29">
        <v>0</v>
      </c>
      <c r="I57" s="29">
        <v>-53198</v>
      </c>
      <c r="J57" s="29">
        <v>0</v>
      </c>
      <c r="K57" s="29">
        <v>0</v>
      </c>
      <c r="L57" s="29">
        <v>0</v>
      </c>
      <c r="M57" s="29">
        <v>0</v>
      </c>
      <c r="N57" s="29">
        <v>-53198</v>
      </c>
    </row>
    <row r="58" spans="1:14" x14ac:dyDescent="0.25">
      <c r="A58" s="219" t="s">
        <v>65</v>
      </c>
      <c r="B58" s="29">
        <v>18367</v>
      </c>
      <c r="C58" s="29">
        <v>5677</v>
      </c>
      <c r="D58" s="29">
        <v>16</v>
      </c>
      <c r="E58" s="29">
        <v>69</v>
      </c>
      <c r="F58" s="29">
        <v>131774</v>
      </c>
      <c r="G58" s="29">
        <v>128</v>
      </c>
      <c r="H58" s="29">
        <v>2161</v>
      </c>
      <c r="I58" s="29">
        <v>32278</v>
      </c>
      <c r="J58" s="29">
        <v>-20402</v>
      </c>
      <c r="K58" s="29">
        <v>509246</v>
      </c>
      <c r="L58" s="29">
        <v>30722463</v>
      </c>
      <c r="M58" s="29">
        <v>12204167</v>
      </c>
      <c r="N58" s="29">
        <v>43605945</v>
      </c>
    </row>
    <row r="59" spans="1:14" x14ac:dyDescent="0.25">
      <c r="A59" s="219" t="s">
        <v>66</v>
      </c>
      <c r="B59" s="29">
        <v>1716920</v>
      </c>
      <c r="C59" s="29">
        <v>3852795</v>
      </c>
      <c r="D59" s="29">
        <v>1045964</v>
      </c>
      <c r="E59" s="29">
        <v>1902543</v>
      </c>
      <c r="F59" s="29">
        <v>2306640</v>
      </c>
      <c r="G59" s="29">
        <v>4044325</v>
      </c>
      <c r="H59" s="29">
        <v>10855923</v>
      </c>
      <c r="I59" s="29">
        <v>3801287</v>
      </c>
      <c r="J59" s="29">
        <v>1887803</v>
      </c>
      <c r="K59" s="29">
        <v>1655289</v>
      </c>
      <c r="L59" s="29">
        <v>31935628</v>
      </c>
      <c r="M59" s="29">
        <v>12204167</v>
      </c>
      <c r="N59" s="29">
        <v>77209286</v>
      </c>
    </row>
    <row r="60" spans="1:14" x14ac:dyDescent="0.25">
      <c r="A60" s="219" t="s">
        <v>67</v>
      </c>
      <c r="B60" s="29">
        <v>492</v>
      </c>
      <c r="C60" s="29">
        <v>2996</v>
      </c>
      <c r="D60" s="29">
        <v>-7038</v>
      </c>
      <c r="E60" s="29">
        <v>2752</v>
      </c>
      <c r="F60" s="29">
        <v>7462</v>
      </c>
      <c r="G60" s="29">
        <v>7340</v>
      </c>
      <c r="H60" s="29">
        <v>42</v>
      </c>
      <c r="I60" s="29">
        <v>12448</v>
      </c>
      <c r="J60" s="29">
        <v>0</v>
      </c>
      <c r="K60" s="29">
        <v>0</v>
      </c>
      <c r="L60" s="29">
        <v>30718920</v>
      </c>
      <c r="M60" s="29">
        <v>0</v>
      </c>
      <c r="N60" s="29">
        <v>30745417</v>
      </c>
    </row>
    <row r="61" spans="1:14" x14ac:dyDescent="0.25">
      <c r="A61" s="219" t="s">
        <v>68</v>
      </c>
      <c r="B61" s="29">
        <v>1716427</v>
      </c>
      <c r="C61" s="29">
        <v>3849799</v>
      </c>
      <c r="D61" s="29">
        <v>1053002</v>
      </c>
      <c r="E61" s="29">
        <v>1899791</v>
      </c>
      <c r="F61" s="29">
        <v>2299177</v>
      </c>
      <c r="G61" s="29">
        <v>4036984</v>
      </c>
      <c r="H61" s="29">
        <v>10855881</v>
      </c>
      <c r="I61" s="29">
        <v>3788839</v>
      </c>
      <c r="J61" s="29">
        <v>1887803</v>
      </c>
      <c r="K61" s="29">
        <v>1655289</v>
      </c>
      <c r="L61" s="29">
        <v>1216708</v>
      </c>
      <c r="M61" s="29">
        <v>12204167</v>
      </c>
      <c r="N61" s="29">
        <v>46463869</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A13" workbookViewId="0">
      <selection sqref="A1:XFD1048576"/>
    </sheetView>
  </sheetViews>
  <sheetFormatPr defaultRowHeight="15" x14ac:dyDescent="0.25"/>
  <cols>
    <col min="1" max="1" width="14.7109375" style="222" customWidth="1"/>
    <col min="2" max="13" width="10.85546875" style="222" customWidth="1"/>
    <col min="14" max="14" width="9.28515625" style="222" customWidth="1"/>
    <col min="15" max="256" width="9.140625" style="222"/>
    <col min="257" max="257" width="14.7109375" style="222" customWidth="1"/>
    <col min="258" max="269" width="10.85546875" style="222" customWidth="1"/>
    <col min="270" max="270" width="9.28515625" style="222" customWidth="1"/>
    <col min="271" max="512" width="9.140625" style="222"/>
    <col min="513" max="513" width="14.7109375" style="222" customWidth="1"/>
    <col min="514" max="525" width="10.85546875" style="222" customWidth="1"/>
    <col min="526" max="526" width="9.28515625" style="222" customWidth="1"/>
    <col min="527" max="768" width="9.140625" style="222"/>
    <col min="769" max="769" width="14.7109375" style="222" customWidth="1"/>
    <col min="770" max="781" width="10.85546875" style="222" customWidth="1"/>
    <col min="782" max="782" width="9.28515625" style="222" customWidth="1"/>
    <col min="783" max="1024" width="9.140625" style="222"/>
    <col min="1025" max="1025" width="14.7109375" style="222" customWidth="1"/>
    <col min="1026" max="1037" width="10.85546875" style="222" customWidth="1"/>
    <col min="1038" max="1038" width="9.28515625" style="222" customWidth="1"/>
    <col min="1039" max="1280" width="9.140625" style="222"/>
    <col min="1281" max="1281" width="14.7109375" style="222" customWidth="1"/>
    <col min="1282" max="1293" width="10.85546875" style="222" customWidth="1"/>
    <col min="1294" max="1294" width="9.28515625" style="222" customWidth="1"/>
    <col min="1295" max="1536" width="9.140625" style="222"/>
    <col min="1537" max="1537" width="14.7109375" style="222" customWidth="1"/>
    <col min="1538" max="1549" width="10.85546875" style="222" customWidth="1"/>
    <col min="1550" max="1550" width="9.28515625" style="222" customWidth="1"/>
    <col min="1551" max="1792" width="9.140625" style="222"/>
    <col min="1793" max="1793" width="14.7109375" style="222" customWidth="1"/>
    <col min="1794" max="1805" width="10.85546875" style="222" customWidth="1"/>
    <col min="1806" max="1806" width="9.28515625" style="222" customWidth="1"/>
    <col min="1807" max="2048" width="9.140625" style="222"/>
    <col min="2049" max="2049" width="14.7109375" style="222" customWidth="1"/>
    <col min="2050" max="2061" width="10.85546875" style="222" customWidth="1"/>
    <col min="2062" max="2062" width="9.28515625" style="222" customWidth="1"/>
    <col min="2063" max="2304" width="9.140625" style="222"/>
    <col min="2305" max="2305" width="14.7109375" style="222" customWidth="1"/>
    <col min="2306" max="2317" width="10.85546875" style="222" customWidth="1"/>
    <col min="2318" max="2318" width="9.28515625" style="222" customWidth="1"/>
    <col min="2319" max="2560" width="9.140625" style="222"/>
    <col min="2561" max="2561" width="14.7109375" style="222" customWidth="1"/>
    <col min="2562" max="2573" width="10.85546875" style="222" customWidth="1"/>
    <col min="2574" max="2574" width="9.28515625" style="222" customWidth="1"/>
    <col min="2575" max="2816" width="9.140625" style="222"/>
    <col min="2817" max="2817" width="14.7109375" style="222" customWidth="1"/>
    <col min="2818" max="2829" width="10.85546875" style="222" customWidth="1"/>
    <col min="2830" max="2830" width="9.28515625" style="222" customWidth="1"/>
    <col min="2831" max="3072" width="9.140625" style="222"/>
    <col min="3073" max="3073" width="14.7109375" style="222" customWidth="1"/>
    <col min="3074" max="3085" width="10.85546875" style="222" customWidth="1"/>
    <col min="3086" max="3086" width="9.28515625" style="222" customWidth="1"/>
    <col min="3087" max="3328" width="9.140625" style="222"/>
    <col min="3329" max="3329" width="14.7109375" style="222" customWidth="1"/>
    <col min="3330" max="3341" width="10.85546875" style="222" customWidth="1"/>
    <col min="3342" max="3342" width="9.28515625" style="222" customWidth="1"/>
    <col min="3343" max="3584" width="9.140625" style="222"/>
    <col min="3585" max="3585" width="14.7109375" style="222" customWidth="1"/>
    <col min="3586" max="3597" width="10.85546875" style="222" customWidth="1"/>
    <col min="3598" max="3598" width="9.28515625" style="222" customWidth="1"/>
    <col min="3599" max="3840" width="9.140625" style="222"/>
    <col min="3841" max="3841" width="14.7109375" style="222" customWidth="1"/>
    <col min="3842" max="3853" width="10.85546875" style="222" customWidth="1"/>
    <col min="3854" max="3854" width="9.28515625" style="222" customWidth="1"/>
    <col min="3855" max="4096" width="9.140625" style="222"/>
    <col min="4097" max="4097" width="14.7109375" style="222" customWidth="1"/>
    <col min="4098" max="4109" width="10.85546875" style="222" customWidth="1"/>
    <col min="4110" max="4110" width="9.28515625" style="222" customWidth="1"/>
    <col min="4111" max="4352" width="9.140625" style="222"/>
    <col min="4353" max="4353" width="14.7109375" style="222" customWidth="1"/>
    <col min="4354" max="4365" width="10.85546875" style="222" customWidth="1"/>
    <col min="4366" max="4366" width="9.28515625" style="222" customWidth="1"/>
    <col min="4367" max="4608" width="9.140625" style="222"/>
    <col min="4609" max="4609" width="14.7109375" style="222" customWidth="1"/>
    <col min="4610" max="4621" width="10.85546875" style="222" customWidth="1"/>
    <col min="4622" max="4622" width="9.28515625" style="222" customWidth="1"/>
    <col min="4623" max="4864" width="9.140625" style="222"/>
    <col min="4865" max="4865" width="14.7109375" style="222" customWidth="1"/>
    <col min="4866" max="4877" width="10.85546875" style="222" customWidth="1"/>
    <col min="4878" max="4878" width="9.28515625" style="222" customWidth="1"/>
    <col min="4879" max="5120" width="9.140625" style="222"/>
    <col min="5121" max="5121" width="14.7109375" style="222" customWidth="1"/>
    <col min="5122" max="5133" width="10.85546875" style="222" customWidth="1"/>
    <col min="5134" max="5134" width="9.28515625" style="222" customWidth="1"/>
    <col min="5135" max="5376" width="9.140625" style="222"/>
    <col min="5377" max="5377" width="14.7109375" style="222" customWidth="1"/>
    <col min="5378" max="5389" width="10.85546875" style="222" customWidth="1"/>
    <col min="5390" max="5390" width="9.28515625" style="222" customWidth="1"/>
    <col min="5391" max="5632" width="9.140625" style="222"/>
    <col min="5633" max="5633" width="14.7109375" style="222" customWidth="1"/>
    <col min="5634" max="5645" width="10.85546875" style="222" customWidth="1"/>
    <col min="5646" max="5646" width="9.28515625" style="222" customWidth="1"/>
    <col min="5647" max="5888" width="9.140625" style="222"/>
    <col min="5889" max="5889" width="14.7109375" style="222" customWidth="1"/>
    <col min="5890" max="5901" width="10.85546875" style="222" customWidth="1"/>
    <col min="5902" max="5902" width="9.28515625" style="222" customWidth="1"/>
    <col min="5903" max="6144" width="9.140625" style="222"/>
    <col min="6145" max="6145" width="14.7109375" style="222" customWidth="1"/>
    <col min="6146" max="6157" width="10.85546875" style="222" customWidth="1"/>
    <col min="6158" max="6158" width="9.28515625" style="222" customWidth="1"/>
    <col min="6159" max="6400" width="9.140625" style="222"/>
    <col min="6401" max="6401" width="14.7109375" style="222" customWidth="1"/>
    <col min="6402" max="6413" width="10.85546875" style="222" customWidth="1"/>
    <col min="6414" max="6414" width="9.28515625" style="222" customWidth="1"/>
    <col min="6415" max="6656" width="9.140625" style="222"/>
    <col min="6657" max="6657" width="14.7109375" style="222" customWidth="1"/>
    <col min="6658" max="6669" width="10.85546875" style="222" customWidth="1"/>
    <col min="6670" max="6670" width="9.28515625" style="222" customWidth="1"/>
    <col min="6671" max="6912" width="9.140625" style="222"/>
    <col min="6913" max="6913" width="14.7109375" style="222" customWidth="1"/>
    <col min="6914" max="6925" width="10.85546875" style="222" customWidth="1"/>
    <col min="6926" max="6926" width="9.28515625" style="222" customWidth="1"/>
    <col min="6927" max="7168" width="9.140625" style="222"/>
    <col min="7169" max="7169" width="14.7109375" style="222" customWidth="1"/>
    <col min="7170" max="7181" width="10.85546875" style="222" customWidth="1"/>
    <col min="7182" max="7182" width="9.28515625" style="222" customWidth="1"/>
    <col min="7183" max="7424" width="9.140625" style="222"/>
    <col min="7425" max="7425" width="14.7109375" style="222" customWidth="1"/>
    <col min="7426" max="7437" width="10.85546875" style="222" customWidth="1"/>
    <col min="7438" max="7438" width="9.28515625" style="222" customWidth="1"/>
    <col min="7439" max="7680" width="9.140625" style="222"/>
    <col min="7681" max="7681" width="14.7109375" style="222" customWidth="1"/>
    <col min="7682" max="7693" width="10.85546875" style="222" customWidth="1"/>
    <col min="7694" max="7694" width="9.28515625" style="222" customWidth="1"/>
    <col min="7695" max="7936" width="9.140625" style="222"/>
    <col min="7937" max="7937" width="14.7109375" style="222" customWidth="1"/>
    <col min="7938" max="7949" width="10.85546875" style="222" customWidth="1"/>
    <col min="7950" max="7950" width="9.28515625" style="222" customWidth="1"/>
    <col min="7951" max="8192" width="9.140625" style="222"/>
    <col min="8193" max="8193" width="14.7109375" style="222" customWidth="1"/>
    <col min="8194" max="8205" width="10.85546875" style="222" customWidth="1"/>
    <col min="8206" max="8206" width="9.28515625" style="222" customWidth="1"/>
    <col min="8207" max="8448" width="9.140625" style="222"/>
    <col min="8449" max="8449" width="14.7109375" style="222" customWidth="1"/>
    <col min="8450" max="8461" width="10.85546875" style="222" customWidth="1"/>
    <col min="8462" max="8462" width="9.28515625" style="222" customWidth="1"/>
    <col min="8463" max="8704" width="9.140625" style="222"/>
    <col min="8705" max="8705" width="14.7109375" style="222" customWidth="1"/>
    <col min="8706" max="8717" width="10.85546875" style="222" customWidth="1"/>
    <col min="8718" max="8718" width="9.28515625" style="222" customWidth="1"/>
    <col min="8719" max="8960" width="9.140625" style="222"/>
    <col min="8961" max="8961" width="14.7109375" style="222" customWidth="1"/>
    <col min="8962" max="8973" width="10.85546875" style="222" customWidth="1"/>
    <col min="8974" max="8974" width="9.28515625" style="222" customWidth="1"/>
    <col min="8975" max="9216" width="9.140625" style="222"/>
    <col min="9217" max="9217" width="14.7109375" style="222" customWidth="1"/>
    <col min="9218" max="9229" width="10.85546875" style="222" customWidth="1"/>
    <col min="9230" max="9230" width="9.28515625" style="222" customWidth="1"/>
    <col min="9231" max="9472" width="9.140625" style="222"/>
    <col min="9473" max="9473" width="14.7109375" style="222" customWidth="1"/>
    <col min="9474" max="9485" width="10.85546875" style="222" customWidth="1"/>
    <col min="9486" max="9486" width="9.28515625" style="222" customWidth="1"/>
    <col min="9487" max="9728" width="9.140625" style="222"/>
    <col min="9729" max="9729" width="14.7109375" style="222" customWidth="1"/>
    <col min="9730" max="9741" width="10.85546875" style="222" customWidth="1"/>
    <col min="9742" max="9742" width="9.28515625" style="222" customWidth="1"/>
    <col min="9743" max="9984" width="9.140625" style="222"/>
    <col min="9985" max="9985" width="14.7109375" style="222" customWidth="1"/>
    <col min="9986" max="9997" width="10.85546875" style="222" customWidth="1"/>
    <col min="9998" max="9998" width="9.28515625" style="222" customWidth="1"/>
    <col min="9999" max="10240" width="9.140625" style="222"/>
    <col min="10241" max="10241" width="14.7109375" style="222" customWidth="1"/>
    <col min="10242" max="10253" width="10.85546875" style="222" customWidth="1"/>
    <col min="10254" max="10254" width="9.28515625" style="222" customWidth="1"/>
    <col min="10255" max="10496" width="9.140625" style="222"/>
    <col min="10497" max="10497" width="14.7109375" style="222" customWidth="1"/>
    <col min="10498" max="10509" width="10.85546875" style="222" customWidth="1"/>
    <col min="10510" max="10510" width="9.28515625" style="222" customWidth="1"/>
    <col min="10511" max="10752" width="9.140625" style="222"/>
    <col min="10753" max="10753" width="14.7109375" style="222" customWidth="1"/>
    <col min="10754" max="10765" width="10.85546875" style="222" customWidth="1"/>
    <col min="10766" max="10766" width="9.28515625" style="222" customWidth="1"/>
    <col min="10767" max="11008" width="9.140625" style="222"/>
    <col min="11009" max="11009" width="14.7109375" style="222" customWidth="1"/>
    <col min="11010" max="11021" width="10.85546875" style="222" customWidth="1"/>
    <col min="11022" max="11022" width="9.28515625" style="222" customWidth="1"/>
    <col min="11023" max="11264" width="9.140625" style="222"/>
    <col min="11265" max="11265" width="14.7109375" style="222" customWidth="1"/>
    <col min="11266" max="11277" width="10.85546875" style="222" customWidth="1"/>
    <col min="11278" max="11278" width="9.28515625" style="222" customWidth="1"/>
    <col min="11279" max="11520" width="9.140625" style="222"/>
    <col min="11521" max="11521" width="14.7109375" style="222" customWidth="1"/>
    <col min="11522" max="11533" width="10.85546875" style="222" customWidth="1"/>
    <col min="11534" max="11534" width="9.28515625" style="222" customWidth="1"/>
    <col min="11535" max="11776" width="9.140625" style="222"/>
    <col min="11777" max="11777" width="14.7109375" style="222" customWidth="1"/>
    <col min="11778" max="11789" width="10.85546875" style="222" customWidth="1"/>
    <col min="11790" max="11790" width="9.28515625" style="222" customWidth="1"/>
    <col min="11791" max="12032" width="9.140625" style="222"/>
    <col min="12033" max="12033" width="14.7109375" style="222" customWidth="1"/>
    <col min="12034" max="12045" width="10.85546875" style="222" customWidth="1"/>
    <col min="12046" max="12046" width="9.28515625" style="222" customWidth="1"/>
    <col min="12047" max="12288" width="9.140625" style="222"/>
    <col min="12289" max="12289" width="14.7109375" style="222" customWidth="1"/>
    <col min="12290" max="12301" width="10.85546875" style="222" customWidth="1"/>
    <col min="12302" max="12302" width="9.28515625" style="222" customWidth="1"/>
    <col min="12303" max="12544" width="9.140625" style="222"/>
    <col min="12545" max="12545" width="14.7109375" style="222" customWidth="1"/>
    <col min="12546" max="12557" width="10.85546875" style="222" customWidth="1"/>
    <col min="12558" max="12558" width="9.28515625" style="222" customWidth="1"/>
    <col min="12559" max="12800" width="9.140625" style="222"/>
    <col min="12801" max="12801" width="14.7109375" style="222" customWidth="1"/>
    <col min="12802" max="12813" width="10.85546875" style="222" customWidth="1"/>
    <col min="12814" max="12814" width="9.28515625" style="222" customWidth="1"/>
    <col min="12815" max="13056" width="9.140625" style="222"/>
    <col min="13057" max="13057" width="14.7109375" style="222" customWidth="1"/>
    <col min="13058" max="13069" width="10.85546875" style="222" customWidth="1"/>
    <col min="13070" max="13070" width="9.28515625" style="222" customWidth="1"/>
    <col min="13071" max="13312" width="9.140625" style="222"/>
    <col min="13313" max="13313" width="14.7109375" style="222" customWidth="1"/>
    <col min="13314" max="13325" width="10.85546875" style="222" customWidth="1"/>
    <col min="13326" max="13326" width="9.28515625" style="222" customWidth="1"/>
    <col min="13327" max="13568" width="9.140625" style="222"/>
    <col min="13569" max="13569" width="14.7109375" style="222" customWidth="1"/>
    <col min="13570" max="13581" width="10.85546875" style="222" customWidth="1"/>
    <col min="13582" max="13582" width="9.28515625" style="222" customWidth="1"/>
    <col min="13583" max="13824" width="9.140625" style="222"/>
    <col min="13825" max="13825" width="14.7109375" style="222" customWidth="1"/>
    <col min="13826" max="13837" width="10.85546875" style="222" customWidth="1"/>
    <col min="13838" max="13838" width="9.28515625" style="222" customWidth="1"/>
    <col min="13839" max="14080" width="9.140625" style="222"/>
    <col min="14081" max="14081" width="14.7109375" style="222" customWidth="1"/>
    <col min="14082" max="14093" width="10.85546875" style="222" customWidth="1"/>
    <col min="14094" max="14094" width="9.28515625" style="222" customWidth="1"/>
    <col min="14095" max="14336" width="9.140625" style="222"/>
    <col min="14337" max="14337" width="14.7109375" style="222" customWidth="1"/>
    <col min="14338" max="14349" width="10.85546875" style="222" customWidth="1"/>
    <col min="14350" max="14350" width="9.28515625" style="222" customWidth="1"/>
    <col min="14351" max="14592" width="9.140625" style="222"/>
    <col min="14593" max="14593" width="14.7109375" style="222" customWidth="1"/>
    <col min="14594" max="14605" width="10.85546875" style="222" customWidth="1"/>
    <col min="14606" max="14606" width="9.28515625" style="222" customWidth="1"/>
    <col min="14607" max="14848" width="9.140625" style="222"/>
    <col min="14849" max="14849" width="14.7109375" style="222" customWidth="1"/>
    <col min="14850" max="14861" width="10.85546875" style="222" customWidth="1"/>
    <col min="14862" max="14862" width="9.28515625" style="222" customWidth="1"/>
    <col min="14863" max="15104" width="9.140625" style="222"/>
    <col min="15105" max="15105" width="14.7109375" style="222" customWidth="1"/>
    <col min="15106" max="15117" width="10.85546875" style="222" customWidth="1"/>
    <col min="15118" max="15118" width="9.28515625" style="222" customWidth="1"/>
    <col min="15119" max="15360" width="9.140625" style="222"/>
    <col min="15361" max="15361" width="14.7109375" style="222" customWidth="1"/>
    <col min="15362" max="15373" width="10.85546875" style="222" customWidth="1"/>
    <col min="15374" max="15374" width="9.28515625" style="222" customWidth="1"/>
    <col min="15375" max="15616" width="9.140625" style="222"/>
    <col min="15617" max="15617" width="14.7109375" style="222" customWidth="1"/>
    <col min="15618" max="15629" width="10.85546875" style="222" customWidth="1"/>
    <col min="15630" max="15630" width="9.28515625" style="222" customWidth="1"/>
    <col min="15631" max="15872" width="9.140625" style="222"/>
    <col min="15873" max="15873" width="14.7109375" style="222" customWidth="1"/>
    <col min="15874" max="15885" width="10.85546875" style="222" customWidth="1"/>
    <col min="15886" max="15886" width="9.28515625" style="222" customWidth="1"/>
    <col min="15887" max="16128" width="9.140625" style="222"/>
    <col min="16129" max="16129" width="14.7109375" style="222" customWidth="1"/>
    <col min="16130" max="16141" width="10.85546875" style="222" customWidth="1"/>
    <col min="16142" max="16142" width="9.28515625" style="222" customWidth="1"/>
    <col min="16143" max="16384" width="9.140625" style="222"/>
  </cols>
  <sheetData>
    <row r="1" spans="1:14" x14ac:dyDescent="0.25">
      <c r="A1" s="270" t="s">
        <v>332</v>
      </c>
      <c r="B1" s="271"/>
      <c r="C1" s="271"/>
      <c r="D1" s="271"/>
      <c r="E1" s="271"/>
      <c r="F1" s="271"/>
      <c r="G1" s="271"/>
      <c r="H1" s="271"/>
      <c r="I1" s="271"/>
      <c r="J1" s="271"/>
      <c r="K1" s="271"/>
      <c r="L1" s="271"/>
      <c r="M1" s="271"/>
      <c r="N1" s="271"/>
    </row>
    <row r="2" spans="1:14" x14ac:dyDescent="0.25">
      <c r="A2" s="270" t="s">
        <v>333</v>
      </c>
      <c r="B2" s="271"/>
      <c r="C2" s="271"/>
      <c r="D2" s="271"/>
      <c r="E2" s="271"/>
      <c r="F2" s="271"/>
      <c r="G2" s="271"/>
      <c r="H2" s="271"/>
      <c r="I2" s="271"/>
      <c r="J2" s="271"/>
      <c r="K2" s="271"/>
      <c r="L2" s="271"/>
      <c r="M2" s="271"/>
      <c r="N2" s="271"/>
    </row>
    <row r="3" spans="1:14" x14ac:dyDescent="0.25">
      <c r="A3" s="221" t="s">
        <v>0</v>
      </c>
      <c r="B3" s="221" t="s">
        <v>1</v>
      </c>
      <c r="C3" s="221" t="s">
        <v>2</v>
      </c>
      <c r="D3" s="221" t="s">
        <v>3</v>
      </c>
      <c r="E3" s="221" t="s">
        <v>4</v>
      </c>
      <c r="F3" s="221" t="s">
        <v>5</v>
      </c>
      <c r="G3" s="221" t="s">
        <v>6</v>
      </c>
      <c r="H3" s="221" t="s">
        <v>7</v>
      </c>
      <c r="I3" s="221" t="s">
        <v>8</v>
      </c>
      <c r="J3" s="221" t="s">
        <v>9</v>
      </c>
      <c r="K3" s="221" t="s">
        <v>10</v>
      </c>
      <c r="L3" s="221" t="s">
        <v>11</v>
      </c>
      <c r="M3" s="221" t="s">
        <v>12</v>
      </c>
      <c r="N3" s="221" t="s">
        <v>13</v>
      </c>
    </row>
    <row r="4" spans="1:14" x14ac:dyDescent="0.25">
      <c r="A4" s="221" t="s">
        <v>14</v>
      </c>
      <c r="B4" s="29">
        <v>1137009</v>
      </c>
      <c r="C4" s="29">
        <v>2022589</v>
      </c>
      <c r="D4" s="29">
        <v>425139</v>
      </c>
      <c r="E4" s="29">
        <v>671248</v>
      </c>
      <c r="F4" s="29">
        <v>995500</v>
      </c>
      <c r="G4" s="29">
        <v>2074855</v>
      </c>
      <c r="H4" s="29">
        <v>2365502</v>
      </c>
      <c r="I4" s="29">
        <v>6041</v>
      </c>
      <c r="J4" s="29">
        <v>353744</v>
      </c>
      <c r="K4" s="29">
        <v>702492</v>
      </c>
      <c r="L4" s="29">
        <v>0</v>
      </c>
      <c r="M4" s="28" t="s">
        <v>15</v>
      </c>
      <c r="N4" s="29">
        <v>10754119</v>
      </c>
    </row>
    <row r="5" spans="1:14" x14ac:dyDescent="0.25">
      <c r="A5" s="221" t="s">
        <v>16</v>
      </c>
      <c r="B5" s="29">
        <v>237379</v>
      </c>
      <c r="C5" s="29">
        <v>405794</v>
      </c>
      <c r="D5" s="29">
        <v>90234</v>
      </c>
      <c r="E5" s="29">
        <v>142018</v>
      </c>
      <c r="F5" s="29">
        <v>212342</v>
      </c>
      <c r="G5" s="29">
        <v>544650</v>
      </c>
      <c r="H5" s="29">
        <v>533876</v>
      </c>
      <c r="I5" s="29">
        <v>1299</v>
      </c>
      <c r="J5" s="29">
        <v>74686</v>
      </c>
      <c r="K5" s="29">
        <v>148111</v>
      </c>
      <c r="L5" s="28" t="s">
        <v>15</v>
      </c>
      <c r="M5" s="28" t="s">
        <v>15</v>
      </c>
      <c r="N5" s="29">
        <v>2390388</v>
      </c>
    </row>
    <row r="6" spans="1:14" x14ac:dyDescent="0.25">
      <c r="A6" s="221" t="s">
        <v>17</v>
      </c>
      <c r="B6" s="29">
        <v>585</v>
      </c>
      <c r="C6" s="29">
        <v>1085</v>
      </c>
      <c r="D6" s="29">
        <v>52</v>
      </c>
      <c r="E6" s="29">
        <v>169</v>
      </c>
      <c r="F6" s="29">
        <v>181</v>
      </c>
      <c r="G6" s="29">
        <v>343</v>
      </c>
      <c r="H6" s="29">
        <v>138</v>
      </c>
      <c r="I6" s="28" t="s">
        <v>15</v>
      </c>
      <c r="J6" s="29">
        <v>37</v>
      </c>
      <c r="K6" s="29">
        <v>183</v>
      </c>
      <c r="L6" s="28" t="s">
        <v>15</v>
      </c>
      <c r="M6" s="28" t="s">
        <v>15</v>
      </c>
      <c r="N6" s="29">
        <v>2771</v>
      </c>
    </row>
    <row r="7" spans="1:14" x14ac:dyDescent="0.25">
      <c r="A7" s="221" t="s">
        <v>18</v>
      </c>
      <c r="B7" s="29">
        <v>120828</v>
      </c>
      <c r="C7" s="29">
        <v>151918</v>
      </c>
      <c r="D7" s="29">
        <v>49941</v>
      </c>
      <c r="E7" s="29">
        <v>77685</v>
      </c>
      <c r="F7" s="29">
        <v>84344</v>
      </c>
      <c r="G7" s="29">
        <v>336783</v>
      </c>
      <c r="H7" s="29">
        <v>278048</v>
      </c>
      <c r="I7" s="29">
        <v>685</v>
      </c>
      <c r="J7" s="29">
        <v>31229</v>
      </c>
      <c r="K7" s="29">
        <v>66596</v>
      </c>
      <c r="L7" s="28" t="s">
        <v>15</v>
      </c>
      <c r="M7" s="28" t="s">
        <v>15</v>
      </c>
      <c r="N7" s="29">
        <v>1198058</v>
      </c>
    </row>
    <row r="8" spans="1:14" x14ac:dyDescent="0.25">
      <c r="A8" s="221" t="s">
        <v>19</v>
      </c>
      <c r="B8" s="29">
        <v>47661</v>
      </c>
      <c r="C8" s="29">
        <v>116102</v>
      </c>
      <c r="D8" s="29">
        <v>32013</v>
      </c>
      <c r="E8" s="29">
        <v>40518</v>
      </c>
      <c r="F8" s="29">
        <v>58240</v>
      </c>
      <c r="G8" s="29">
        <v>112680</v>
      </c>
      <c r="H8" s="29">
        <v>133861</v>
      </c>
      <c r="I8" s="29">
        <v>283</v>
      </c>
      <c r="J8" s="29">
        <v>21381</v>
      </c>
      <c r="K8" s="29">
        <v>39553</v>
      </c>
      <c r="L8" s="28" t="s">
        <v>15</v>
      </c>
      <c r="M8" s="28" t="s">
        <v>15</v>
      </c>
      <c r="N8" s="29">
        <v>602292</v>
      </c>
    </row>
    <row r="9" spans="1:14" x14ac:dyDescent="0.25">
      <c r="A9" s="221" t="s">
        <v>20</v>
      </c>
      <c r="B9" s="28" t="s">
        <v>15</v>
      </c>
      <c r="C9" s="28" t="s">
        <v>15</v>
      </c>
      <c r="D9" s="28" t="s">
        <v>15</v>
      </c>
      <c r="E9" s="28" t="s">
        <v>15</v>
      </c>
      <c r="F9" s="28" t="s">
        <v>15</v>
      </c>
      <c r="G9" s="28" t="s">
        <v>15</v>
      </c>
      <c r="H9" s="28" t="s">
        <v>15</v>
      </c>
      <c r="I9" s="28" t="s">
        <v>15</v>
      </c>
      <c r="J9" s="28" t="s">
        <v>15</v>
      </c>
      <c r="K9" s="28" t="s">
        <v>15</v>
      </c>
      <c r="L9" s="29">
        <v>1336482</v>
      </c>
      <c r="M9" s="28" t="s">
        <v>15</v>
      </c>
      <c r="N9" s="29">
        <v>1336482</v>
      </c>
    </row>
    <row r="10" spans="1:14" x14ac:dyDescent="0.25">
      <c r="A10" s="221"/>
      <c r="B10" s="28"/>
      <c r="C10" s="28"/>
      <c r="D10" s="28"/>
      <c r="E10" s="28"/>
      <c r="F10" s="28"/>
      <c r="G10" s="28"/>
      <c r="H10" s="28"/>
      <c r="I10" s="28"/>
      <c r="J10" s="28"/>
      <c r="K10" s="28"/>
      <c r="L10" s="29"/>
      <c r="M10" s="28"/>
      <c r="N10" s="29"/>
    </row>
    <row r="11" spans="1:14" x14ac:dyDescent="0.25">
      <c r="A11" s="221" t="s">
        <v>21</v>
      </c>
      <c r="B11" s="29">
        <v>1113</v>
      </c>
      <c r="C11" s="28" t="s">
        <v>15</v>
      </c>
      <c r="D11" s="28" t="s">
        <v>15</v>
      </c>
      <c r="E11" s="28" t="s">
        <v>15</v>
      </c>
      <c r="F11" s="29">
        <v>1043</v>
      </c>
      <c r="G11" s="29">
        <v>646364</v>
      </c>
      <c r="H11" s="29">
        <v>267000</v>
      </c>
      <c r="I11" s="29">
        <v>170</v>
      </c>
      <c r="J11" s="28" t="s">
        <v>15</v>
      </c>
      <c r="K11" s="29">
        <v>0</v>
      </c>
      <c r="L11" s="28" t="s">
        <v>15</v>
      </c>
      <c r="M11" s="28" t="s">
        <v>15</v>
      </c>
      <c r="N11" s="29">
        <v>915690</v>
      </c>
    </row>
    <row r="12" spans="1:14" x14ac:dyDescent="0.25">
      <c r="A12" s="221" t="s">
        <v>22</v>
      </c>
      <c r="B12" s="28" t="s">
        <v>15</v>
      </c>
      <c r="C12" s="29">
        <v>0</v>
      </c>
      <c r="D12" s="29">
        <v>542</v>
      </c>
      <c r="E12" s="29">
        <v>416</v>
      </c>
      <c r="F12" s="29">
        <v>266</v>
      </c>
      <c r="G12" s="29">
        <v>1319</v>
      </c>
      <c r="H12" s="29">
        <v>4011</v>
      </c>
      <c r="I12" s="28" t="s">
        <v>15</v>
      </c>
      <c r="J12" s="29">
        <v>1017</v>
      </c>
      <c r="K12" s="28" t="s">
        <v>15</v>
      </c>
      <c r="L12" s="28" t="s">
        <v>15</v>
      </c>
      <c r="M12" s="28" t="s">
        <v>15</v>
      </c>
      <c r="N12" s="29">
        <v>7572</v>
      </c>
    </row>
    <row r="13" spans="1:14" x14ac:dyDescent="0.25">
      <c r="A13" s="221" t="s">
        <v>23</v>
      </c>
      <c r="B13" s="29">
        <v>761</v>
      </c>
      <c r="C13" s="29">
        <v>29926</v>
      </c>
      <c r="D13" s="29">
        <v>3080</v>
      </c>
      <c r="E13" s="29">
        <v>12610</v>
      </c>
      <c r="F13" s="29">
        <v>12002</v>
      </c>
      <c r="G13" s="29">
        <v>37283</v>
      </c>
      <c r="H13" s="29">
        <v>65308</v>
      </c>
      <c r="I13" s="29">
        <v>130</v>
      </c>
      <c r="J13" s="29">
        <v>837</v>
      </c>
      <c r="K13" s="29">
        <v>242</v>
      </c>
      <c r="L13" s="28" t="s">
        <v>15</v>
      </c>
      <c r="M13" s="28" t="s">
        <v>15</v>
      </c>
      <c r="N13" s="29">
        <v>162178</v>
      </c>
    </row>
    <row r="14" spans="1:14" x14ac:dyDescent="0.25">
      <c r="A14" s="221" t="s">
        <v>24</v>
      </c>
      <c r="B14" s="29">
        <v>5735</v>
      </c>
      <c r="C14" s="29">
        <v>244961</v>
      </c>
      <c r="D14" s="29">
        <v>8207</v>
      </c>
      <c r="E14" s="29">
        <v>21852</v>
      </c>
      <c r="F14" s="29">
        <v>32007</v>
      </c>
      <c r="G14" s="29">
        <v>152617</v>
      </c>
      <c r="H14" s="29">
        <v>131649</v>
      </c>
      <c r="I14" s="29">
        <v>154</v>
      </c>
      <c r="J14" s="29">
        <v>34150</v>
      </c>
      <c r="K14" s="29">
        <v>82325</v>
      </c>
      <c r="L14" s="28" t="s">
        <v>15</v>
      </c>
      <c r="M14" s="28" t="s">
        <v>15</v>
      </c>
      <c r="N14" s="29">
        <v>713657</v>
      </c>
    </row>
    <row r="15" spans="1:14" x14ac:dyDescent="0.25">
      <c r="A15" s="221" t="s">
        <v>25</v>
      </c>
      <c r="B15" s="29">
        <v>4221</v>
      </c>
      <c r="C15" s="29">
        <v>147</v>
      </c>
      <c r="D15" s="29">
        <v>56</v>
      </c>
      <c r="E15" s="29">
        <v>67</v>
      </c>
      <c r="F15" s="29">
        <v>45</v>
      </c>
      <c r="G15" s="29">
        <v>135</v>
      </c>
      <c r="H15" s="29">
        <v>162</v>
      </c>
      <c r="I15" s="28" t="s">
        <v>15</v>
      </c>
      <c r="J15" s="29">
        <v>3255</v>
      </c>
      <c r="K15" s="29">
        <v>120</v>
      </c>
      <c r="L15" s="28" t="s">
        <v>15</v>
      </c>
      <c r="M15" s="28" t="s">
        <v>15</v>
      </c>
      <c r="N15" s="29">
        <v>8207</v>
      </c>
    </row>
    <row r="16" spans="1:14" x14ac:dyDescent="0.25">
      <c r="A16" s="221" t="s">
        <v>26</v>
      </c>
      <c r="B16" s="29">
        <v>6158</v>
      </c>
      <c r="C16" s="29">
        <v>2373</v>
      </c>
      <c r="D16" s="29">
        <v>593</v>
      </c>
      <c r="E16" s="29">
        <v>1084</v>
      </c>
      <c r="F16" s="29">
        <v>2356</v>
      </c>
      <c r="G16" s="29">
        <v>3183</v>
      </c>
      <c r="H16" s="29">
        <v>6043</v>
      </c>
      <c r="I16" s="28" t="s">
        <v>15</v>
      </c>
      <c r="J16" s="29">
        <v>236</v>
      </c>
      <c r="K16" s="29">
        <v>5023</v>
      </c>
      <c r="L16" s="28" t="s">
        <v>15</v>
      </c>
      <c r="M16" s="28" t="s">
        <v>15</v>
      </c>
      <c r="N16" s="29">
        <v>27049</v>
      </c>
    </row>
    <row r="17" spans="1:14" x14ac:dyDescent="0.25">
      <c r="A17" s="221" t="s">
        <v>27</v>
      </c>
      <c r="B17" s="29">
        <v>30099</v>
      </c>
      <c r="C17" s="29">
        <v>142461</v>
      </c>
      <c r="D17" s="29">
        <v>3975</v>
      </c>
      <c r="E17" s="29">
        <v>14888</v>
      </c>
      <c r="F17" s="29">
        <v>96671</v>
      </c>
      <c r="G17" s="29">
        <v>6533</v>
      </c>
      <c r="H17" s="29">
        <v>96558</v>
      </c>
      <c r="I17" s="29">
        <v>32</v>
      </c>
      <c r="J17" s="29">
        <v>5094</v>
      </c>
      <c r="K17" s="29">
        <v>97598</v>
      </c>
      <c r="L17" s="28" t="s">
        <v>15</v>
      </c>
      <c r="M17" s="28" t="s">
        <v>15</v>
      </c>
      <c r="N17" s="29">
        <v>493909</v>
      </c>
    </row>
    <row r="18" spans="1:14" x14ac:dyDescent="0.25">
      <c r="A18" s="221"/>
      <c r="B18" s="29"/>
      <c r="C18" s="29"/>
      <c r="D18" s="29"/>
      <c r="E18" s="29"/>
      <c r="F18" s="29"/>
      <c r="G18" s="29"/>
      <c r="H18" s="29"/>
      <c r="I18" s="29"/>
      <c r="J18" s="29"/>
      <c r="K18" s="29"/>
      <c r="L18" s="28"/>
      <c r="M18" s="28"/>
      <c r="N18" s="29"/>
    </row>
    <row r="19" spans="1:14" x14ac:dyDescent="0.25">
      <c r="A19" s="221" t="s">
        <v>28</v>
      </c>
      <c r="B19" s="29">
        <v>5196</v>
      </c>
      <c r="C19" s="29">
        <v>1225</v>
      </c>
      <c r="D19" s="29">
        <v>373</v>
      </c>
      <c r="E19" s="29">
        <v>184</v>
      </c>
      <c r="F19" s="29">
        <v>1303</v>
      </c>
      <c r="G19" s="29">
        <v>1517</v>
      </c>
      <c r="H19" s="29">
        <v>4927</v>
      </c>
      <c r="I19" s="28" t="s">
        <v>15</v>
      </c>
      <c r="J19" s="29">
        <v>479</v>
      </c>
      <c r="K19" s="29">
        <v>1946</v>
      </c>
      <c r="L19" s="28" t="s">
        <v>15</v>
      </c>
      <c r="M19" s="28" t="s">
        <v>15</v>
      </c>
      <c r="N19" s="29">
        <v>17151</v>
      </c>
    </row>
    <row r="20" spans="1:14" x14ac:dyDescent="0.25">
      <c r="A20" s="221" t="s">
        <v>29</v>
      </c>
      <c r="B20" s="29">
        <v>3317</v>
      </c>
      <c r="C20" s="29">
        <v>357</v>
      </c>
      <c r="D20" s="29">
        <v>412</v>
      </c>
      <c r="E20" s="29">
        <v>131</v>
      </c>
      <c r="F20" s="29">
        <v>7867</v>
      </c>
      <c r="G20" s="29">
        <v>905</v>
      </c>
      <c r="H20" s="29">
        <v>1010</v>
      </c>
      <c r="I20" s="29">
        <v>1</v>
      </c>
      <c r="J20" s="29">
        <v>123</v>
      </c>
      <c r="K20" s="29">
        <v>290</v>
      </c>
      <c r="L20" s="28" t="s">
        <v>15</v>
      </c>
      <c r="M20" s="28" t="s">
        <v>15</v>
      </c>
      <c r="N20" s="29">
        <v>14413</v>
      </c>
    </row>
    <row r="21" spans="1:14" x14ac:dyDescent="0.25">
      <c r="A21" s="221" t="s">
        <v>30</v>
      </c>
      <c r="B21" s="29">
        <v>3984</v>
      </c>
      <c r="C21" s="29">
        <v>2299</v>
      </c>
      <c r="D21" s="29">
        <v>559</v>
      </c>
      <c r="E21" s="29">
        <v>1427</v>
      </c>
      <c r="F21" s="29">
        <v>2613</v>
      </c>
      <c r="G21" s="29">
        <v>3675</v>
      </c>
      <c r="H21" s="29">
        <v>3109</v>
      </c>
      <c r="I21" s="28" t="s">
        <v>15</v>
      </c>
      <c r="J21" s="29">
        <v>707</v>
      </c>
      <c r="K21" s="29">
        <v>1274</v>
      </c>
      <c r="L21" s="28" t="s">
        <v>15</v>
      </c>
      <c r="M21" s="28" t="s">
        <v>15</v>
      </c>
      <c r="N21" s="29">
        <v>19647</v>
      </c>
    </row>
    <row r="22" spans="1:14" x14ac:dyDescent="0.25">
      <c r="A22" s="221" t="s">
        <v>31</v>
      </c>
      <c r="B22" s="29">
        <v>49464</v>
      </c>
      <c r="C22" s="29">
        <v>18652</v>
      </c>
      <c r="D22" s="28" t="s">
        <v>15</v>
      </c>
      <c r="E22" s="28" t="s">
        <v>15</v>
      </c>
      <c r="F22" s="29">
        <v>1687</v>
      </c>
      <c r="G22" s="29">
        <v>3781</v>
      </c>
      <c r="H22" s="29">
        <v>5900</v>
      </c>
      <c r="I22" s="28" t="s">
        <v>15</v>
      </c>
      <c r="J22" s="29">
        <v>1743</v>
      </c>
      <c r="K22" s="29">
        <v>193</v>
      </c>
      <c r="L22" s="28" t="s">
        <v>15</v>
      </c>
      <c r="M22" s="28" t="s">
        <v>15</v>
      </c>
      <c r="N22" s="29">
        <v>81421</v>
      </c>
    </row>
    <row r="23" spans="1:14" x14ac:dyDescent="0.25">
      <c r="A23" s="221" t="s">
        <v>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x14ac:dyDescent="0.25">
      <c r="A24" s="221"/>
      <c r="B24" s="29"/>
      <c r="C24" s="28"/>
      <c r="D24" s="28"/>
      <c r="E24" s="28"/>
      <c r="F24" s="28"/>
      <c r="G24" s="28"/>
      <c r="H24" s="28"/>
      <c r="I24" s="28"/>
      <c r="J24" s="28"/>
      <c r="K24" s="28"/>
      <c r="L24" s="28"/>
      <c r="M24" s="28"/>
      <c r="N24" s="29"/>
    </row>
    <row r="25" spans="1:14" x14ac:dyDescent="0.25">
      <c r="A25" s="221" t="s">
        <v>33</v>
      </c>
      <c r="B25" s="29">
        <v>1346</v>
      </c>
      <c r="C25" s="29">
        <v>44</v>
      </c>
      <c r="D25" s="29">
        <v>85</v>
      </c>
      <c r="E25" s="28" t="s">
        <v>15</v>
      </c>
      <c r="F25" s="29">
        <v>222</v>
      </c>
      <c r="G25" s="28" t="s">
        <v>15</v>
      </c>
      <c r="H25" s="29">
        <v>6961</v>
      </c>
      <c r="I25" s="28" t="s">
        <v>15</v>
      </c>
      <c r="J25" s="29">
        <v>117</v>
      </c>
      <c r="K25" s="29">
        <v>29</v>
      </c>
      <c r="L25" s="28" t="s">
        <v>15</v>
      </c>
      <c r="M25" s="28" t="s">
        <v>15</v>
      </c>
      <c r="N25" s="29">
        <v>8805</v>
      </c>
    </row>
    <row r="26" spans="1:14" x14ac:dyDescent="0.25">
      <c r="A26" s="221" t="s">
        <v>35</v>
      </c>
      <c r="B26" s="28" t="s">
        <v>15</v>
      </c>
      <c r="C26" s="29">
        <v>0</v>
      </c>
      <c r="D26" s="28" t="s">
        <v>15</v>
      </c>
      <c r="E26" s="28" t="s">
        <v>15</v>
      </c>
      <c r="F26" s="28" t="s">
        <v>15</v>
      </c>
      <c r="G26" s="28" t="s">
        <v>15</v>
      </c>
      <c r="H26" s="28" t="s">
        <v>15</v>
      </c>
      <c r="I26" s="28" t="s">
        <v>15</v>
      </c>
      <c r="J26" s="29">
        <v>679938</v>
      </c>
      <c r="K26" s="28" t="s">
        <v>15</v>
      </c>
      <c r="L26" s="28" t="s">
        <v>15</v>
      </c>
      <c r="M26" s="28" t="s">
        <v>15</v>
      </c>
      <c r="N26" s="29">
        <v>679938</v>
      </c>
    </row>
    <row r="27" spans="1:14" x14ac:dyDescent="0.25">
      <c r="A27" s="221" t="s">
        <v>36</v>
      </c>
      <c r="B27" s="28" t="s">
        <v>15</v>
      </c>
      <c r="C27" s="28" t="s">
        <v>15</v>
      </c>
      <c r="D27" s="28" t="s">
        <v>15</v>
      </c>
      <c r="E27" s="28" t="s">
        <v>15</v>
      </c>
      <c r="F27" s="28" t="s">
        <v>15</v>
      </c>
      <c r="G27" s="28" t="s">
        <v>15</v>
      </c>
      <c r="H27" s="28" t="s">
        <v>15</v>
      </c>
      <c r="I27" s="28" t="s">
        <v>15</v>
      </c>
      <c r="J27" s="29">
        <v>493865</v>
      </c>
      <c r="K27" s="28" t="s">
        <v>15</v>
      </c>
      <c r="L27" s="28" t="s">
        <v>15</v>
      </c>
      <c r="M27" s="28" t="s">
        <v>15</v>
      </c>
      <c r="N27" s="29">
        <v>493865</v>
      </c>
    </row>
    <row r="28" spans="1:14" x14ac:dyDescent="0.25">
      <c r="A28" s="221" t="s">
        <v>37</v>
      </c>
      <c r="B28" s="29">
        <v>-1425</v>
      </c>
      <c r="C28" s="29">
        <v>65249</v>
      </c>
      <c r="D28" s="29">
        <v>182839</v>
      </c>
      <c r="E28" s="29">
        <v>110039</v>
      </c>
      <c r="F28" s="29">
        <v>105488</v>
      </c>
      <c r="G28" s="29">
        <v>74873</v>
      </c>
      <c r="H28" s="29">
        <v>8377</v>
      </c>
      <c r="I28" s="29">
        <v>208932</v>
      </c>
      <c r="J28" s="29">
        <v>703</v>
      </c>
      <c r="K28" s="29">
        <v>3259</v>
      </c>
      <c r="L28" s="28" t="s">
        <v>15</v>
      </c>
      <c r="M28" s="28" t="s">
        <v>15</v>
      </c>
      <c r="N28" s="29">
        <v>758335</v>
      </c>
    </row>
    <row r="29" spans="1:14" x14ac:dyDescent="0.25">
      <c r="A29" s="221" t="s">
        <v>38</v>
      </c>
      <c r="B29" s="29">
        <v>1461</v>
      </c>
      <c r="C29" s="29">
        <v>98850</v>
      </c>
      <c r="D29" s="29">
        <v>17767</v>
      </c>
      <c r="E29" s="29">
        <v>5481</v>
      </c>
      <c r="F29" s="29">
        <v>95279</v>
      </c>
      <c r="G29" s="29">
        <v>8077</v>
      </c>
      <c r="H29" s="29">
        <v>7415</v>
      </c>
      <c r="I29" s="28" t="s">
        <v>15</v>
      </c>
      <c r="J29" s="29">
        <v>114483</v>
      </c>
      <c r="K29" s="29">
        <v>7751</v>
      </c>
      <c r="L29" s="28" t="s">
        <v>15</v>
      </c>
      <c r="M29" s="28" t="s">
        <v>15</v>
      </c>
      <c r="N29" s="29">
        <v>356564</v>
      </c>
    </row>
    <row r="30" spans="1:14" x14ac:dyDescent="0.25">
      <c r="A30" s="221"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21" t="s">
        <v>40</v>
      </c>
      <c r="B31" s="29">
        <v>251</v>
      </c>
      <c r="C31" s="28" t="s">
        <v>15</v>
      </c>
      <c r="D31" s="28" t="s">
        <v>15</v>
      </c>
      <c r="E31" s="29">
        <v>82</v>
      </c>
      <c r="F31" s="28" t="s">
        <v>15</v>
      </c>
      <c r="G31" s="29">
        <v>366127</v>
      </c>
      <c r="H31" s="28" t="s">
        <v>15</v>
      </c>
      <c r="I31" s="29">
        <v>3910737</v>
      </c>
      <c r="J31" s="29">
        <v>70154</v>
      </c>
      <c r="K31" s="29">
        <v>42</v>
      </c>
      <c r="L31" s="28" t="s">
        <v>15</v>
      </c>
      <c r="M31" s="28" t="s">
        <v>15</v>
      </c>
      <c r="N31" s="29">
        <v>4347393</v>
      </c>
    </row>
    <row r="32" spans="1:14" x14ac:dyDescent="0.25">
      <c r="A32" s="221" t="s">
        <v>41</v>
      </c>
      <c r="B32" s="28" t="s">
        <v>15</v>
      </c>
      <c r="C32" s="29">
        <v>75400</v>
      </c>
      <c r="D32" s="29">
        <v>100</v>
      </c>
      <c r="E32" s="28" t="s">
        <v>15</v>
      </c>
      <c r="F32" s="29">
        <v>1046</v>
      </c>
      <c r="G32" s="29">
        <v>16342</v>
      </c>
      <c r="H32" s="28" t="s">
        <v>15</v>
      </c>
      <c r="I32" s="28" t="s">
        <v>15</v>
      </c>
      <c r="J32" s="29">
        <v>6</v>
      </c>
      <c r="K32" s="29">
        <v>34</v>
      </c>
      <c r="L32" s="28" t="s">
        <v>15</v>
      </c>
      <c r="M32" s="28" t="s">
        <v>15</v>
      </c>
      <c r="N32" s="29">
        <v>92927</v>
      </c>
    </row>
    <row r="33" spans="1:14" x14ac:dyDescent="0.25">
      <c r="A33" s="221" t="s">
        <v>43</v>
      </c>
      <c r="B33" s="29">
        <v>28414</v>
      </c>
      <c r="C33" s="29">
        <v>390583</v>
      </c>
      <c r="D33" s="29">
        <v>26630</v>
      </c>
      <c r="E33" s="29">
        <v>45362</v>
      </c>
      <c r="F33" s="29">
        <v>326147</v>
      </c>
      <c r="G33" s="29">
        <v>248195</v>
      </c>
      <c r="H33" s="29">
        <v>153234</v>
      </c>
      <c r="I33" s="28" t="s">
        <v>15</v>
      </c>
      <c r="J33" s="29">
        <v>150094</v>
      </c>
      <c r="K33" s="29">
        <v>48251</v>
      </c>
      <c r="L33" s="28" t="s">
        <v>15</v>
      </c>
      <c r="M33" s="28" t="s">
        <v>15</v>
      </c>
      <c r="N33" s="29">
        <v>1416910</v>
      </c>
    </row>
    <row r="34" spans="1:14" x14ac:dyDescent="0.25">
      <c r="A34" s="221" t="s">
        <v>44</v>
      </c>
      <c r="B34" s="28" t="s">
        <v>15</v>
      </c>
      <c r="C34" s="29">
        <v>192098</v>
      </c>
      <c r="D34" s="29">
        <v>30862</v>
      </c>
      <c r="E34" s="29">
        <v>11150</v>
      </c>
      <c r="F34" s="29">
        <v>-5332</v>
      </c>
      <c r="G34" s="29">
        <v>536</v>
      </c>
      <c r="H34" s="29">
        <v>6986353</v>
      </c>
      <c r="I34" s="29">
        <v>538701</v>
      </c>
      <c r="J34" s="29">
        <v>0</v>
      </c>
      <c r="K34" s="29">
        <v>88399</v>
      </c>
      <c r="L34" s="28" t="s">
        <v>15</v>
      </c>
      <c r="M34" s="28" t="s">
        <v>15</v>
      </c>
      <c r="N34" s="29">
        <v>7842766</v>
      </c>
    </row>
    <row r="35" spans="1:14" x14ac:dyDescent="0.25">
      <c r="A35" s="221" t="s">
        <v>45</v>
      </c>
      <c r="B35" s="28" t="s">
        <v>15</v>
      </c>
      <c r="C35" s="28" t="s">
        <v>15</v>
      </c>
      <c r="D35" s="28" t="s">
        <v>15</v>
      </c>
      <c r="E35" s="29">
        <v>176046</v>
      </c>
      <c r="F35" s="29">
        <v>4867</v>
      </c>
      <c r="G35" s="28" t="s">
        <v>15</v>
      </c>
      <c r="H35" s="28" t="s">
        <v>15</v>
      </c>
      <c r="I35" s="28" t="s">
        <v>15</v>
      </c>
      <c r="J35" s="28" t="s">
        <v>15</v>
      </c>
      <c r="K35" s="28" t="s">
        <v>15</v>
      </c>
      <c r="L35" s="28" t="s">
        <v>15</v>
      </c>
      <c r="M35" s="28" t="s">
        <v>15</v>
      </c>
      <c r="N35" s="29">
        <v>180912</v>
      </c>
    </row>
    <row r="36" spans="1:14" x14ac:dyDescent="0.25">
      <c r="A36" s="221" t="s">
        <v>46</v>
      </c>
      <c r="B36" s="28" t="s">
        <v>15</v>
      </c>
      <c r="C36" s="28" t="s">
        <v>15</v>
      </c>
      <c r="D36" s="28" t="s">
        <v>15</v>
      </c>
      <c r="E36" s="29">
        <v>142709</v>
      </c>
      <c r="F36" s="29">
        <v>14747</v>
      </c>
      <c r="G36" s="28" t="s">
        <v>15</v>
      </c>
      <c r="H36" s="28" t="s">
        <v>15</v>
      </c>
      <c r="I36" s="28" t="s">
        <v>15</v>
      </c>
      <c r="J36" s="28" t="s">
        <v>15</v>
      </c>
      <c r="K36" s="28" t="s">
        <v>15</v>
      </c>
      <c r="L36" s="28" t="s">
        <v>15</v>
      </c>
      <c r="M36" s="28" t="s">
        <v>15</v>
      </c>
      <c r="N36" s="29">
        <v>157456</v>
      </c>
    </row>
    <row r="37" spans="1:14" x14ac:dyDescent="0.25">
      <c r="A37" s="221" t="s">
        <v>47</v>
      </c>
      <c r="B37" s="28" t="s">
        <v>15</v>
      </c>
      <c r="C37" s="28" t="s">
        <v>15</v>
      </c>
      <c r="D37" s="28" t="s">
        <v>15</v>
      </c>
      <c r="E37" s="28" t="s">
        <v>15</v>
      </c>
      <c r="F37" s="28" t="s">
        <v>15</v>
      </c>
      <c r="G37" s="28" t="s">
        <v>15</v>
      </c>
      <c r="H37" s="28" t="s">
        <v>15</v>
      </c>
      <c r="I37" s="29">
        <v>262972</v>
      </c>
      <c r="J37" s="28" t="s">
        <v>15</v>
      </c>
      <c r="K37" s="28" t="s">
        <v>15</v>
      </c>
      <c r="L37" s="28" t="s">
        <v>15</v>
      </c>
      <c r="M37" s="28" t="s">
        <v>15</v>
      </c>
      <c r="N37" s="29">
        <v>262972</v>
      </c>
    </row>
    <row r="38" spans="1:14" x14ac:dyDescent="0.25">
      <c r="A38" s="221"/>
      <c r="B38" s="28"/>
      <c r="C38" s="28"/>
      <c r="D38" s="28"/>
      <c r="E38" s="28"/>
      <c r="F38" s="28"/>
      <c r="G38" s="28"/>
      <c r="H38" s="28"/>
      <c r="I38" s="29"/>
      <c r="J38" s="28"/>
      <c r="K38" s="28"/>
      <c r="L38" s="28"/>
      <c r="M38" s="28"/>
      <c r="N38" s="29"/>
    </row>
    <row r="39" spans="1:14" x14ac:dyDescent="0.25">
      <c r="A39" s="221"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21"/>
      <c r="B40" s="29"/>
      <c r="C40" s="28"/>
      <c r="D40" s="28"/>
      <c r="E40" s="28"/>
      <c r="F40" s="28"/>
      <c r="G40" s="28"/>
      <c r="H40" s="28"/>
      <c r="I40" s="28"/>
      <c r="J40" s="28"/>
      <c r="K40" s="28"/>
      <c r="L40" s="28"/>
      <c r="M40" s="28"/>
      <c r="N40" s="29"/>
    </row>
    <row r="41" spans="1:14" x14ac:dyDescent="0.25">
      <c r="A41" s="221" t="s">
        <v>49</v>
      </c>
      <c r="B41" s="28" t="s">
        <v>15</v>
      </c>
      <c r="C41" s="28" t="s">
        <v>15</v>
      </c>
      <c r="D41" s="28" t="s">
        <v>15</v>
      </c>
      <c r="E41" s="28" t="s">
        <v>15</v>
      </c>
      <c r="F41" s="28" t="s">
        <v>15</v>
      </c>
      <c r="G41" s="28" t="s">
        <v>15</v>
      </c>
      <c r="H41" s="28" t="s">
        <v>15</v>
      </c>
      <c r="I41" s="29">
        <v>111026</v>
      </c>
      <c r="J41" s="28" t="s">
        <v>15</v>
      </c>
      <c r="K41" s="28" t="s">
        <v>15</v>
      </c>
      <c r="L41" s="28" t="s">
        <v>15</v>
      </c>
      <c r="M41" s="28" t="s">
        <v>15</v>
      </c>
      <c r="N41" s="29">
        <v>111026</v>
      </c>
    </row>
    <row r="42" spans="1:14" x14ac:dyDescent="0.25">
      <c r="A42" s="221" t="s">
        <v>50</v>
      </c>
      <c r="B42" s="29">
        <v>7288</v>
      </c>
      <c r="C42" s="29">
        <v>21489</v>
      </c>
      <c r="D42" s="29">
        <v>387</v>
      </c>
      <c r="E42" s="29">
        <v>10261</v>
      </c>
      <c r="F42" s="29">
        <v>10651</v>
      </c>
      <c r="G42" s="29">
        <v>4290</v>
      </c>
      <c r="H42" s="29">
        <v>10256</v>
      </c>
      <c r="I42" s="29">
        <v>2</v>
      </c>
      <c r="J42" s="29">
        <v>2185</v>
      </c>
      <c r="K42" s="29">
        <v>1772</v>
      </c>
      <c r="L42" s="28" t="s">
        <v>15</v>
      </c>
      <c r="M42" s="28" t="s">
        <v>15</v>
      </c>
      <c r="N42" s="29">
        <v>68582</v>
      </c>
    </row>
    <row r="43" spans="1:14" x14ac:dyDescent="0.25">
      <c r="A43" s="221" t="s">
        <v>51</v>
      </c>
      <c r="B43" s="29">
        <v>1019</v>
      </c>
      <c r="C43" s="29">
        <v>1845</v>
      </c>
      <c r="D43" s="29">
        <v>37</v>
      </c>
      <c r="E43" s="29">
        <v>1000</v>
      </c>
      <c r="F43" s="29">
        <v>1105</v>
      </c>
      <c r="G43" s="29">
        <v>521</v>
      </c>
      <c r="H43" s="29">
        <v>1363</v>
      </c>
      <c r="I43" s="29">
        <v>0</v>
      </c>
      <c r="J43" s="29">
        <v>267</v>
      </c>
      <c r="K43" s="29">
        <v>275</v>
      </c>
      <c r="L43" s="28" t="s">
        <v>15</v>
      </c>
      <c r="M43" s="28" t="s">
        <v>15</v>
      </c>
      <c r="N43" s="29">
        <v>7431</v>
      </c>
    </row>
    <row r="44" spans="1:14" x14ac:dyDescent="0.25">
      <c r="A44" s="221" t="s">
        <v>52</v>
      </c>
      <c r="B44" s="29">
        <v>2765</v>
      </c>
      <c r="C44" s="29">
        <v>993</v>
      </c>
      <c r="D44" s="29">
        <v>51</v>
      </c>
      <c r="E44" s="29">
        <v>726</v>
      </c>
      <c r="F44" s="29">
        <v>916</v>
      </c>
      <c r="G44" s="29">
        <v>915</v>
      </c>
      <c r="H44" s="29">
        <v>2957</v>
      </c>
      <c r="I44" s="28" t="s">
        <v>15</v>
      </c>
      <c r="J44" s="29">
        <v>611</v>
      </c>
      <c r="K44" s="29">
        <v>909</v>
      </c>
      <c r="L44" s="28" t="s">
        <v>15</v>
      </c>
      <c r="M44" s="28" t="s">
        <v>15</v>
      </c>
      <c r="N44" s="29">
        <v>10844</v>
      </c>
    </row>
    <row r="45" spans="1:14" x14ac:dyDescent="0.25">
      <c r="A45" s="221" t="s">
        <v>53</v>
      </c>
      <c r="B45" s="29">
        <v>4139</v>
      </c>
      <c r="C45" s="28" t="s">
        <v>15</v>
      </c>
      <c r="D45" s="28" t="s">
        <v>15</v>
      </c>
      <c r="E45" s="28" t="s">
        <v>15</v>
      </c>
      <c r="F45" s="28" t="s">
        <v>15</v>
      </c>
      <c r="G45" s="28" t="s">
        <v>15</v>
      </c>
      <c r="H45" s="29">
        <v>59</v>
      </c>
      <c r="I45" s="28" t="s">
        <v>15</v>
      </c>
      <c r="J45" s="29">
        <v>286</v>
      </c>
      <c r="K45" s="29">
        <v>2017</v>
      </c>
      <c r="L45" s="28" t="s">
        <v>15</v>
      </c>
      <c r="M45" s="28" t="s">
        <v>15</v>
      </c>
      <c r="N45" s="29">
        <v>6501</v>
      </c>
    </row>
    <row r="46" spans="1:14" x14ac:dyDescent="0.25">
      <c r="A46" s="221" t="s">
        <v>54</v>
      </c>
      <c r="B46" s="29">
        <v>3908</v>
      </c>
      <c r="C46" s="29">
        <v>348</v>
      </c>
      <c r="D46" s="28" t="s">
        <v>15</v>
      </c>
      <c r="E46" s="28" t="s">
        <v>15</v>
      </c>
      <c r="F46" s="28" t="s">
        <v>15</v>
      </c>
      <c r="G46" s="28" t="s">
        <v>15</v>
      </c>
      <c r="H46" s="29">
        <v>1762</v>
      </c>
      <c r="I46" s="28" t="s">
        <v>15</v>
      </c>
      <c r="J46" s="29">
        <v>248</v>
      </c>
      <c r="K46" s="29">
        <v>918</v>
      </c>
      <c r="L46" s="28" t="s">
        <v>15</v>
      </c>
      <c r="M46" s="28" t="s">
        <v>15</v>
      </c>
      <c r="N46" s="29">
        <v>7183</v>
      </c>
    </row>
    <row r="47" spans="1:14" x14ac:dyDescent="0.25">
      <c r="A47" s="221" t="s">
        <v>55</v>
      </c>
      <c r="B47" s="29">
        <v>3059</v>
      </c>
      <c r="C47" s="28" t="s">
        <v>15</v>
      </c>
      <c r="D47" s="29">
        <v>153</v>
      </c>
      <c r="E47" s="29">
        <v>138</v>
      </c>
      <c r="F47" s="28" t="s">
        <v>15</v>
      </c>
      <c r="G47" s="28" t="s">
        <v>15</v>
      </c>
      <c r="H47" s="28" t="s">
        <v>15</v>
      </c>
      <c r="I47" s="28" t="s">
        <v>15</v>
      </c>
      <c r="J47" s="29">
        <v>376</v>
      </c>
      <c r="K47" s="28" t="s">
        <v>15</v>
      </c>
      <c r="L47" s="28" t="s">
        <v>15</v>
      </c>
      <c r="M47" s="28" t="s">
        <v>15</v>
      </c>
      <c r="N47" s="29">
        <v>3727</v>
      </c>
    </row>
    <row r="48" spans="1:14" x14ac:dyDescent="0.25">
      <c r="A48" s="221" t="s">
        <v>56</v>
      </c>
      <c r="B48" s="29">
        <v>1957</v>
      </c>
      <c r="C48" s="28" t="s">
        <v>15</v>
      </c>
      <c r="D48" s="28" t="s">
        <v>15</v>
      </c>
      <c r="E48" s="29">
        <v>54</v>
      </c>
      <c r="F48" s="29">
        <v>40</v>
      </c>
      <c r="G48" s="29">
        <v>151</v>
      </c>
      <c r="H48" s="29">
        <v>30</v>
      </c>
      <c r="I48" s="28" t="s">
        <v>15</v>
      </c>
      <c r="J48" s="29">
        <v>74</v>
      </c>
      <c r="K48" s="28" t="s">
        <v>15</v>
      </c>
      <c r="L48" s="28" t="s">
        <v>15</v>
      </c>
      <c r="M48" s="28" t="s">
        <v>15</v>
      </c>
      <c r="N48" s="29">
        <v>2306</v>
      </c>
    </row>
    <row r="49" spans="1:14" x14ac:dyDescent="0.25">
      <c r="A49" s="221" t="s">
        <v>57</v>
      </c>
      <c r="B49" s="28" t="s">
        <v>15</v>
      </c>
      <c r="C49" s="28" t="s">
        <v>15</v>
      </c>
      <c r="D49" s="28" t="s">
        <v>15</v>
      </c>
      <c r="E49" s="28" t="s">
        <v>15</v>
      </c>
      <c r="F49" s="28" t="s">
        <v>15</v>
      </c>
      <c r="G49" s="28" t="s">
        <v>15</v>
      </c>
      <c r="H49" s="28" t="s">
        <v>15</v>
      </c>
      <c r="I49" s="29">
        <v>475071</v>
      </c>
      <c r="J49" s="28" t="s">
        <v>15</v>
      </c>
      <c r="K49" s="28" t="s">
        <v>15</v>
      </c>
      <c r="L49" s="28" t="s">
        <v>15</v>
      </c>
      <c r="M49" s="28" t="s">
        <v>15</v>
      </c>
      <c r="N49" s="29">
        <v>475071</v>
      </c>
    </row>
    <row r="50" spans="1:14" x14ac:dyDescent="0.25">
      <c r="A50" s="221" t="s">
        <v>58</v>
      </c>
      <c r="B50" s="28" t="s">
        <v>15</v>
      </c>
      <c r="C50" s="28" t="s">
        <v>15</v>
      </c>
      <c r="D50" s="28" t="s">
        <v>15</v>
      </c>
      <c r="E50" s="28" t="s">
        <v>15</v>
      </c>
      <c r="F50" s="28" t="s">
        <v>15</v>
      </c>
      <c r="G50" s="28" t="s">
        <v>15</v>
      </c>
      <c r="H50" s="28" t="s">
        <v>15</v>
      </c>
      <c r="I50" s="29">
        <v>909161</v>
      </c>
      <c r="J50" s="28" t="s">
        <v>15</v>
      </c>
      <c r="K50" s="28" t="s">
        <v>15</v>
      </c>
      <c r="L50" s="28" t="s">
        <v>15</v>
      </c>
      <c r="M50" s="28" t="s">
        <v>15</v>
      </c>
      <c r="N50" s="29">
        <v>909161</v>
      </c>
    </row>
    <row r="51" spans="1:14" x14ac:dyDescent="0.25">
      <c r="A51" s="221" t="s">
        <v>59</v>
      </c>
      <c r="B51" s="28" t="s">
        <v>15</v>
      </c>
      <c r="C51" s="28" t="s">
        <v>15</v>
      </c>
      <c r="D51" s="29">
        <v>47601</v>
      </c>
      <c r="E51" s="29">
        <v>532927</v>
      </c>
      <c r="F51" s="28" t="s">
        <v>15</v>
      </c>
      <c r="G51" s="28" t="s">
        <v>15</v>
      </c>
      <c r="H51" s="28" t="s">
        <v>15</v>
      </c>
      <c r="I51" s="28" t="s">
        <v>15</v>
      </c>
      <c r="J51" s="28" t="s">
        <v>15</v>
      </c>
      <c r="K51" s="28" t="s">
        <v>15</v>
      </c>
      <c r="L51" s="28" t="s">
        <v>15</v>
      </c>
      <c r="M51" s="28" t="s">
        <v>15</v>
      </c>
      <c r="N51" s="29">
        <v>580528</v>
      </c>
    </row>
    <row r="52" spans="1:14" x14ac:dyDescent="0.25">
      <c r="A52" s="221" t="s">
        <v>60</v>
      </c>
      <c r="B52" s="29">
        <v>0</v>
      </c>
      <c r="C52" s="28" t="s">
        <v>15</v>
      </c>
      <c r="D52" s="29">
        <v>114084</v>
      </c>
      <c r="E52" s="29">
        <v>463607</v>
      </c>
      <c r="F52" s="28" t="s">
        <v>15</v>
      </c>
      <c r="G52" s="28" t="s">
        <v>15</v>
      </c>
      <c r="H52" s="28" t="s">
        <v>15</v>
      </c>
      <c r="I52" s="28" t="s">
        <v>15</v>
      </c>
      <c r="J52" s="28" t="s">
        <v>15</v>
      </c>
      <c r="K52" s="28" t="s">
        <v>15</v>
      </c>
      <c r="L52" s="28" t="s">
        <v>15</v>
      </c>
      <c r="M52" s="28" t="s">
        <v>15</v>
      </c>
      <c r="N52" s="29">
        <v>577691</v>
      </c>
    </row>
    <row r="53" spans="1:14" x14ac:dyDescent="0.25">
      <c r="A53" s="221" t="s">
        <v>61</v>
      </c>
      <c r="B53" s="29">
        <v>2965</v>
      </c>
      <c r="C53" s="29">
        <v>17545</v>
      </c>
      <c r="D53" s="29">
        <v>1089</v>
      </c>
      <c r="E53" s="29">
        <v>982</v>
      </c>
      <c r="F53" s="29">
        <v>10416</v>
      </c>
      <c r="G53" s="29">
        <v>11303</v>
      </c>
      <c r="H53" s="29">
        <v>8587</v>
      </c>
      <c r="I53" s="28" t="s">
        <v>15</v>
      </c>
      <c r="J53" s="29">
        <v>13960</v>
      </c>
      <c r="K53" s="29">
        <v>1349</v>
      </c>
      <c r="L53" s="28" t="s">
        <v>15</v>
      </c>
      <c r="M53" s="28" t="s">
        <v>15</v>
      </c>
      <c r="N53" s="29">
        <v>68197</v>
      </c>
    </row>
    <row r="54" spans="1:14" x14ac:dyDescent="0.25">
      <c r="A54" s="221" t="s">
        <v>62</v>
      </c>
      <c r="B54" s="29">
        <v>2965</v>
      </c>
      <c r="C54" s="29">
        <v>17545</v>
      </c>
      <c r="D54" s="29">
        <v>1089</v>
      </c>
      <c r="E54" s="29">
        <v>982</v>
      </c>
      <c r="F54" s="29">
        <v>10416</v>
      </c>
      <c r="G54" s="29">
        <v>11303</v>
      </c>
      <c r="H54" s="29">
        <v>8587</v>
      </c>
      <c r="I54" s="28" t="s">
        <v>15</v>
      </c>
      <c r="J54" s="29">
        <v>13705</v>
      </c>
      <c r="K54" s="29">
        <v>1349</v>
      </c>
      <c r="L54" s="28" t="s">
        <v>15</v>
      </c>
      <c r="M54" s="28" t="s">
        <v>15</v>
      </c>
      <c r="N54" s="29">
        <v>67942</v>
      </c>
    </row>
    <row r="55" spans="1:14" x14ac:dyDescent="0.25">
      <c r="A55" s="221"/>
      <c r="B55" s="29"/>
      <c r="C55" s="29"/>
      <c r="D55" s="29"/>
      <c r="E55" s="29"/>
      <c r="F55" s="29"/>
      <c r="G55" s="29"/>
      <c r="H55" s="29"/>
      <c r="I55" s="28"/>
      <c r="J55" s="29"/>
      <c r="K55" s="29"/>
      <c r="L55" s="28"/>
      <c r="M55" s="28"/>
      <c r="N55" s="29"/>
    </row>
    <row r="56" spans="1:14" x14ac:dyDescent="0.25">
      <c r="A56" s="221" t="s">
        <v>63</v>
      </c>
      <c r="B56" s="29">
        <v>838</v>
      </c>
      <c r="C56" s="29">
        <v>4884</v>
      </c>
      <c r="D56" s="29">
        <v>2910</v>
      </c>
      <c r="E56" s="29">
        <v>5123</v>
      </c>
      <c r="F56" s="29">
        <v>32330</v>
      </c>
      <c r="G56" s="29">
        <v>16437</v>
      </c>
      <c r="H56" s="29">
        <v>5008</v>
      </c>
      <c r="I56" s="28" t="s">
        <v>15</v>
      </c>
      <c r="J56" s="29">
        <v>1918</v>
      </c>
      <c r="K56" s="29">
        <v>2710</v>
      </c>
      <c r="L56" s="28" t="s">
        <v>15</v>
      </c>
      <c r="M56" s="28" t="s">
        <v>15</v>
      </c>
      <c r="N56" s="29">
        <v>72157</v>
      </c>
    </row>
    <row r="57" spans="1:14" x14ac:dyDescent="0.25">
      <c r="A57" s="221"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21" t="s">
        <v>65</v>
      </c>
      <c r="B58" s="29">
        <v>6669</v>
      </c>
      <c r="C58" s="29">
        <v>5212</v>
      </c>
      <c r="D58" s="29">
        <v>158</v>
      </c>
      <c r="E58" s="29">
        <v>-17</v>
      </c>
      <c r="F58" s="29">
        <v>154891</v>
      </c>
      <c r="G58" s="29">
        <v>23</v>
      </c>
      <c r="H58" s="29">
        <v>2762</v>
      </c>
      <c r="I58" s="29">
        <v>10003</v>
      </c>
      <c r="J58" s="29">
        <v>-89679</v>
      </c>
      <c r="K58" s="29">
        <v>240698</v>
      </c>
      <c r="L58" s="29">
        <v>31824683</v>
      </c>
      <c r="M58" s="29">
        <v>11966667</v>
      </c>
      <c r="N58" s="29">
        <v>44122070</v>
      </c>
    </row>
    <row r="59" spans="1:14" x14ac:dyDescent="0.25">
      <c r="A59" s="221" t="s">
        <v>66</v>
      </c>
      <c r="B59" s="29">
        <v>1721172</v>
      </c>
      <c r="C59" s="29">
        <v>4031975</v>
      </c>
      <c r="D59" s="29">
        <v>1041017</v>
      </c>
      <c r="E59" s="29">
        <v>2490949</v>
      </c>
      <c r="F59" s="29">
        <v>2271695</v>
      </c>
      <c r="G59" s="29">
        <v>4685717</v>
      </c>
      <c r="H59" s="29">
        <v>11100813</v>
      </c>
      <c r="I59" s="29">
        <v>6435400</v>
      </c>
      <c r="J59" s="29">
        <v>1982028</v>
      </c>
      <c r="K59" s="29">
        <v>1545706</v>
      </c>
      <c r="L59" s="29">
        <v>33161164</v>
      </c>
      <c r="M59" s="29">
        <v>11966667</v>
      </c>
      <c r="N59" s="29">
        <v>82434303</v>
      </c>
    </row>
    <row r="60" spans="1:14" x14ac:dyDescent="0.25">
      <c r="A60" s="221" t="s">
        <v>67</v>
      </c>
      <c r="B60" s="29">
        <v>5004</v>
      </c>
      <c r="C60" s="29">
        <v>67987</v>
      </c>
      <c r="D60" s="29">
        <v>17313</v>
      </c>
      <c r="E60" s="29">
        <v>10178</v>
      </c>
      <c r="F60" s="29">
        <v>30656</v>
      </c>
      <c r="G60" s="29">
        <v>7044</v>
      </c>
      <c r="H60" s="29">
        <v>47</v>
      </c>
      <c r="I60" s="29">
        <v>120653</v>
      </c>
      <c r="J60" s="29">
        <v>0</v>
      </c>
      <c r="K60" s="29">
        <v>0</v>
      </c>
      <c r="L60" s="29">
        <v>31811229</v>
      </c>
      <c r="M60" s="29">
        <v>0</v>
      </c>
      <c r="N60" s="29">
        <v>32070111</v>
      </c>
    </row>
    <row r="61" spans="1:14" x14ac:dyDescent="0.25">
      <c r="A61" s="221" t="s">
        <v>68</v>
      </c>
      <c r="B61" s="29">
        <v>1716167</v>
      </c>
      <c r="C61" s="29">
        <v>3963988</v>
      </c>
      <c r="D61" s="29">
        <v>1023704</v>
      </c>
      <c r="E61" s="29">
        <v>2480771</v>
      </c>
      <c r="F61" s="29">
        <v>2241039</v>
      </c>
      <c r="G61" s="29">
        <v>4678673</v>
      </c>
      <c r="H61" s="29">
        <v>11100766</v>
      </c>
      <c r="I61" s="29">
        <v>6314748</v>
      </c>
      <c r="J61" s="29">
        <v>1982028</v>
      </c>
      <c r="K61" s="29">
        <v>1545706</v>
      </c>
      <c r="L61" s="29">
        <v>1349936</v>
      </c>
      <c r="M61" s="29">
        <v>11966667</v>
      </c>
      <c r="N61" s="29">
        <v>50364192</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SheetLayoutView="100" workbookViewId="0">
      <pane xSplit="2" ySplit="4" topLeftCell="AE100" activePane="bottomRight" state="frozen"/>
      <selection pane="topRight" activeCell="C1" sqref="C1"/>
      <selection pane="bottomLeft" activeCell="A6" sqref="A6"/>
      <selection pane="bottomRight" activeCell="A114" sqref="A114:XFD114"/>
    </sheetView>
  </sheetViews>
  <sheetFormatPr defaultRowHeight="15" x14ac:dyDescent="0.25"/>
  <cols>
    <col min="1" max="1" width="10.5703125" style="130"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8" customWidth="1"/>
    <col min="23" max="23" width="12" bestFit="1" customWidth="1"/>
    <col min="24" max="24" width="10.140625" customWidth="1"/>
    <col min="25" max="25" width="13.7109375" bestFit="1" customWidth="1"/>
    <col min="26" max="27" width="10.28515625" customWidth="1"/>
    <col min="28" max="28" width="10.28515625" style="183" customWidth="1"/>
    <col min="29" max="29" width="12.7109375" style="41" customWidth="1"/>
    <col min="30" max="30" width="14.85546875" style="232" customWidth="1"/>
    <col min="31" max="31" width="9.5703125" bestFit="1" customWidth="1"/>
    <col min="32" max="32" width="10.42578125"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8"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8" customWidth="1"/>
    <col min="61" max="61" width="16.28515625" style="232" customWidth="1"/>
    <col min="62" max="62" width="13.28515625" customWidth="1"/>
    <col min="63" max="63" width="13.5703125" style="51" customWidth="1"/>
    <col min="64" max="64" width="11.28515625" customWidth="1"/>
    <col min="65" max="65" width="11.42578125" customWidth="1"/>
  </cols>
  <sheetData>
    <row r="1" spans="1:67" ht="15.75" x14ac:dyDescent="0.25">
      <c r="A1" s="119"/>
      <c r="B1" s="190"/>
      <c r="C1" s="272" t="s">
        <v>323</v>
      </c>
      <c r="D1" s="272"/>
      <c r="E1" s="272"/>
      <c r="F1" s="272"/>
      <c r="G1" s="272"/>
      <c r="H1" s="272"/>
      <c r="I1" s="272"/>
      <c r="J1" s="272"/>
      <c r="K1" s="272"/>
      <c r="L1" s="1"/>
      <c r="M1" s="1"/>
      <c r="N1" s="1"/>
      <c r="O1" s="1"/>
      <c r="P1" s="1"/>
      <c r="Q1" s="1"/>
      <c r="R1" s="1"/>
      <c r="S1" s="1"/>
      <c r="T1" s="1"/>
      <c r="U1" s="1"/>
      <c r="V1" s="176"/>
      <c r="W1" s="1"/>
      <c r="X1" s="1"/>
      <c r="Y1" s="1"/>
      <c r="Z1" s="1"/>
      <c r="AA1" s="1"/>
      <c r="AB1" s="1"/>
      <c r="AC1" s="2"/>
      <c r="AD1" s="223"/>
      <c r="AE1" s="1"/>
      <c r="AF1" s="1"/>
      <c r="AG1" s="1"/>
      <c r="AH1" s="1"/>
      <c r="AI1" s="1"/>
      <c r="AJ1" s="1"/>
      <c r="AK1" s="1"/>
      <c r="AL1" s="1"/>
      <c r="AM1" s="1"/>
      <c r="AN1" s="1"/>
      <c r="AO1" s="176"/>
      <c r="AP1" s="1"/>
      <c r="AQ1" s="2"/>
      <c r="AR1" s="1"/>
      <c r="AS1" s="1"/>
      <c r="AT1" s="1"/>
      <c r="AU1" s="1"/>
      <c r="AV1" s="1"/>
      <c r="AW1" s="2"/>
      <c r="AX1" s="1"/>
      <c r="AY1" s="1"/>
      <c r="AZ1" s="1"/>
      <c r="BA1" s="1"/>
      <c r="BB1" s="2"/>
      <c r="BD1" s="1"/>
      <c r="BE1" s="1"/>
      <c r="BF1" s="1"/>
      <c r="BG1" s="1"/>
      <c r="BH1" s="176"/>
      <c r="BI1" s="223"/>
      <c r="BJ1" s="1"/>
      <c r="BK1" s="46"/>
    </row>
    <row r="2" spans="1:67" ht="15.75" x14ac:dyDescent="0.25">
      <c r="A2" s="119"/>
      <c r="B2" s="1"/>
      <c r="C2" s="1"/>
      <c r="D2" s="1"/>
      <c r="E2" s="1"/>
      <c r="F2" s="1"/>
      <c r="G2" s="1"/>
      <c r="H2" s="1"/>
      <c r="I2" s="1"/>
      <c r="J2" s="1"/>
      <c r="K2" s="1"/>
      <c r="L2" s="1"/>
      <c r="M2" s="273" t="s">
        <v>69</v>
      </c>
      <c r="N2" s="273"/>
      <c r="O2" s="273"/>
      <c r="P2" s="1"/>
      <c r="Q2" s="1"/>
      <c r="R2" s="1"/>
      <c r="S2" s="1"/>
      <c r="T2" s="1"/>
      <c r="U2" s="1"/>
      <c r="V2" s="176"/>
      <c r="W2" s="1"/>
      <c r="X2" s="1"/>
      <c r="Y2" s="1"/>
      <c r="Z2" s="1"/>
      <c r="AA2" s="1"/>
      <c r="AB2" s="1"/>
      <c r="AC2" s="2"/>
      <c r="AD2" s="223"/>
      <c r="AE2" s="1"/>
      <c r="AF2" s="1"/>
      <c r="AG2" s="1"/>
      <c r="AH2" s="1"/>
      <c r="AI2" s="1"/>
      <c r="AJ2" s="1"/>
      <c r="AK2" s="1"/>
      <c r="AL2" s="1"/>
      <c r="AM2" s="1"/>
      <c r="AN2" s="1"/>
      <c r="AO2" s="176"/>
      <c r="AP2" s="1"/>
      <c r="AQ2" s="273" t="s">
        <v>69</v>
      </c>
      <c r="AR2" s="273"/>
      <c r="AS2" s="273"/>
      <c r="AT2" s="1"/>
      <c r="AU2" s="1"/>
      <c r="AV2" s="1"/>
      <c r="AW2" s="2"/>
      <c r="AX2" s="1"/>
      <c r="AY2" s="1"/>
      <c r="AZ2" s="1"/>
      <c r="BA2" s="1"/>
      <c r="BB2" s="2"/>
      <c r="BC2" s="1"/>
      <c r="BD2" s="1"/>
      <c r="BE2" s="1"/>
      <c r="BF2" s="1"/>
      <c r="BG2" s="1"/>
      <c r="BH2" s="176"/>
      <c r="BI2" s="273" t="s">
        <v>69</v>
      </c>
      <c r="BJ2" s="273"/>
      <c r="BK2" s="273"/>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306</v>
      </c>
      <c r="AC3" s="4" t="s">
        <v>119</v>
      </c>
      <c r="AD3" s="224"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224" t="s">
        <v>126</v>
      </c>
      <c r="BJ3" s="3" t="s">
        <v>127</v>
      </c>
      <c r="BK3" s="47" t="s">
        <v>128</v>
      </c>
    </row>
    <row r="4" spans="1:67" s="130" customFormat="1" ht="15.75" x14ac:dyDescent="0.25">
      <c r="A4" s="128" t="s">
        <v>208</v>
      </c>
      <c r="B4" s="128" t="s">
        <v>129</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225"/>
      <c r="AE4" s="128">
        <v>18</v>
      </c>
      <c r="AF4" s="128">
        <v>19</v>
      </c>
      <c r="AG4" s="128">
        <v>21</v>
      </c>
      <c r="AH4" s="128">
        <v>22</v>
      </c>
      <c r="AI4" s="128">
        <v>23</v>
      </c>
      <c r="AJ4" s="128">
        <v>24</v>
      </c>
      <c r="AK4" s="128">
        <v>27</v>
      </c>
      <c r="AL4" s="128">
        <v>28</v>
      </c>
      <c r="AM4" s="129">
        <v>30</v>
      </c>
      <c r="AN4" s="128">
        <v>31</v>
      </c>
      <c r="AO4" s="129">
        <v>32</v>
      </c>
      <c r="AP4" s="128">
        <v>33</v>
      </c>
      <c r="AQ4" s="134">
        <v>35</v>
      </c>
      <c r="AR4" s="128">
        <v>36</v>
      </c>
      <c r="AS4" s="128">
        <v>37</v>
      </c>
      <c r="AT4" s="128">
        <v>38</v>
      </c>
      <c r="AU4" s="129">
        <v>41</v>
      </c>
      <c r="AV4" s="129">
        <v>48</v>
      </c>
      <c r="AW4" s="129">
        <v>50</v>
      </c>
      <c r="AX4" s="128">
        <v>51</v>
      </c>
      <c r="AY4" s="128">
        <v>52</v>
      </c>
      <c r="AZ4" s="128">
        <v>60</v>
      </c>
      <c r="BA4" s="128">
        <v>61</v>
      </c>
      <c r="BB4" s="134">
        <v>64</v>
      </c>
      <c r="BC4" s="128">
        <v>72</v>
      </c>
      <c r="BD4" s="128">
        <v>73</v>
      </c>
      <c r="BE4" s="128">
        <v>74</v>
      </c>
      <c r="BF4" s="128">
        <v>75</v>
      </c>
      <c r="BG4" s="128">
        <v>99</v>
      </c>
      <c r="BH4" s="129"/>
      <c r="BI4" s="225" t="s">
        <v>130</v>
      </c>
      <c r="BJ4" s="128">
        <v>98</v>
      </c>
      <c r="BK4" s="135"/>
    </row>
    <row r="5" spans="1:67" ht="15.75" x14ac:dyDescent="0.25">
      <c r="A5" s="8" t="s">
        <v>131</v>
      </c>
      <c r="B5" s="11" t="s">
        <v>301</v>
      </c>
      <c r="C5" s="127">
        <v>2657920</v>
      </c>
      <c r="D5" s="120">
        <v>756706</v>
      </c>
      <c r="E5" s="120">
        <v>72518</v>
      </c>
      <c r="F5" s="120">
        <v>283742</v>
      </c>
      <c r="G5" s="120">
        <v>117806</v>
      </c>
      <c r="H5" s="120">
        <v>0</v>
      </c>
      <c r="I5" s="120">
        <v>0</v>
      </c>
      <c r="J5" s="120">
        <v>3825</v>
      </c>
      <c r="K5" s="120">
        <v>6</v>
      </c>
      <c r="L5" s="120">
        <v>9201</v>
      </c>
      <c r="M5" s="120">
        <v>14513</v>
      </c>
      <c r="N5" s="120">
        <v>10309</v>
      </c>
      <c r="O5" s="120">
        <v>16164</v>
      </c>
      <c r="P5" s="120">
        <v>63417</v>
      </c>
      <c r="Q5" s="120">
        <v>0</v>
      </c>
      <c r="R5" s="120">
        <v>20273</v>
      </c>
      <c r="S5" s="120">
        <v>0</v>
      </c>
      <c r="T5" s="120">
        <v>0</v>
      </c>
      <c r="U5" s="120"/>
      <c r="V5" s="189">
        <v>0</v>
      </c>
      <c r="W5" s="120">
        <v>1004</v>
      </c>
      <c r="X5" s="120">
        <v>406</v>
      </c>
      <c r="Y5" s="120">
        <v>3715</v>
      </c>
      <c r="Z5" s="120">
        <v>157</v>
      </c>
      <c r="AA5" s="120">
        <v>165</v>
      </c>
      <c r="AB5" s="120">
        <v>4844</v>
      </c>
      <c r="AC5" s="151">
        <v>0</v>
      </c>
      <c r="AD5" s="233">
        <f t="shared" ref="AD5:AD6" si="0">SUM(C5:AC5)</f>
        <v>4036691</v>
      </c>
      <c r="AE5" s="120">
        <v>25030</v>
      </c>
      <c r="AF5" s="120">
        <v>11866</v>
      </c>
      <c r="AG5" s="120">
        <v>35768</v>
      </c>
      <c r="AH5" s="120">
        <v>0</v>
      </c>
      <c r="AI5" s="120">
        <v>0</v>
      </c>
      <c r="AJ5" s="120">
        <v>7219</v>
      </c>
      <c r="AK5" s="120">
        <v>13871</v>
      </c>
      <c r="AL5" s="120">
        <v>17753</v>
      </c>
      <c r="AM5" s="120">
        <v>1348</v>
      </c>
      <c r="AN5" s="120">
        <v>19</v>
      </c>
      <c r="AO5" s="189">
        <v>70995</v>
      </c>
      <c r="AP5" s="120">
        <v>2</v>
      </c>
      <c r="AQ5" s="151">
        <v>0</v>
      </c>
      <c r="AR5" s="120">
        <v>0</v>
      </c>
      <c r="AS5" s="120"/>
      <c r="AT5" s="120"/>
      <c r="AU5" s="120">
        <v>0</v>
      </c>
      <c r="AV5" s="120"/>
      <c r="AW5" s="120">
        <v>15265</v>
      </c>
      <c r="AX5" s="120">
        <v>10723</v>
      </c>
      <c r="AY5" s="120">
        <v>4239</v>
      </c>
      <c r="AZ5" s="120">
        <v>0</v>
      </c>
      <c r="BA5" s="120">
        <v>0</v>
      </c>
      <c r="BB5" s="151">
        <v>0</v>
      </c>
      <c r="BC5" s="120">
        <v>8666</v>
      </c>
      <c r="BD5" s="120">
        <v>8666</v>
      </c>
      <c r="BE5" s="120">
        <v>14</v>
      </c>
      <c r="BF5" s="120">
        <v>2068</v>
      </c>
      <c r="BG5" s="120">
        <v>56958</v>
      </c>
      <c r="BH5" s="9">
        <f>SUM(AE5:BG5)</f>
        <v>290470</v>
      </c>
      <c r="BI5" s="226">
        <f>AD5+BH5</f>
        <v>4327161</v>
      </c>
      <c r="BJ5" s="95">
        <v>1439</v>
      </c>
      <c r="BK5" s="49">
        <f t="shared" ref="BK5:BK6" si="1">BI5-BJ5</f>
        <v>4325722</v>
      </c>
      <c r="BL5">
        <v>1</v>
      </c>
      <c r="BM5" s="30"/>
    </row>
    <row r="6" spans="1:67" s="41" customFormat="1" ht="15.75" x14ac:dyDescent="0.25">
      <c r="A6" s="134" t="s">
        <v>131</v>
      </c>
      <c r="B6" s="216" t="s">
        <v>324</v>
      </c>
      <c r="C6" s="10">
        <v>1169484</v>
      </c>
      <c r="D6" s="10">
        <v>269049</v>
      </c>
      <c r="E6" s="10">
        <v>0</v>
      </c>
      <c r="F6" s="10">
        <v>124845</v>
      </c>
      <c r="G6" s="10">
        <v>51831</v>
      </c>
      <c r="H6" s="10">
        <v>0</v>
      </c>
      <c r="I6" s="10">
        <v>0</v>
      </c>
      <c r="J6" s="10">
        <v>1684</v>
      </c>
      <c r="K6" s="10">
        <v>1.08</v>
      </c>
      <c r="L6" s="10">
        <v>4048</v>
      </c>
      <c r="M6" s="10">
        <v>6387</v>
      </c>
      <c r="N6" s="10">
        <v>4538</v>
      </c>
      <c r="O6" s="10">
        <v>7111</v>
      </c>
      <c r="P6" s="10">
        <v>27904</v>
      </c>
      <c r="Q6" s="10">
        <v>0</v>
      </c>
      <c r="R6" s="10">
        <v>8920</v>
      </c>
      <c r="S6" s="10">
        <v>0</v>
      </c>
      <c r="T6" s="10">
        <v>0</v>
      </c>
      <c r="U6" s="10"/>
      <c r="V6" s="10">
        <v>0</v>
      </c>
      <c r="W6" s="10">
        <v>441</v>
      </c>
      <c r="X6" s="10">
        <v>178</v>
      </c>
      <c r="Y6" s="10">
        <v>1636</v>
      </c>
      <c r="Z6" s="10">
        <v>70</v>
      </c>
      <c r="AA6" s="10">
        <v>72</v>
      </c>
      <c r="AB6" s="10">
        <v>2133</v>
      </c>
      <c r="AC6" s="10">
        <v>0</v>
      </c>
      <c r="AD6" s="233">
        <f t="shared" si="0"/>
        <v>1680332.08</v>
      </c>
      <c r="AE6" s="10">
        <v>11014</v>
      </c>
      <c r="AF6" s="10">
        <v>5222</v>
      </c>
      <c r="AG6" s="10">
        <v>15736</v>
      </c>
      <c r="AH6" s="10">
        <v>0</v>
      </c>
      <c r="AI6" s="10">
        <v>0</v>
      </c>
      <c r="AJ6" s="10">
        <v>3179</v>
      </c>
      <c r="AK6" s="10">
        <v>6104</v>
      </c>
      <c r="AL6" s="10">
        <v>7810</v>
      </c>
      <c r="AM6" s="10">
        <v>594</v>
      </c>
      <c r="AN6" s="10">
        <v>9</v>
      </c>
      <c r="AO6" s="10">
        <v>31236</v>
      </c>
      <c r="AP6" s="10">
        <v>0.36</v>
      </c>
      <c r="AQ6" s="10">
        <v>0</v>
      </c>
      <c r="AR6" s="10">
        <v>0</v>
      </c>
      <c r="AS6" s="10"/>
      <c r="AT6" s="10"/>
      <c r="AU6" s="10">
        <v>0</v>
      </c>
      <c r="AV6" s="10"/>
      <c r="AW6" s="10">
        <v>6717</v>
      </c>
      <c r="AX6" s="10">
        <v>4718</v>
      </c>
      <c r="AY6" s="10">
        <v>1865</v>
      </c>
      <c r="AZ6" s="10">
        <v>0</v>
      </c>
      <c r="BA6" s="10">
        <v>0</v>
      </c>
      <c r="BB6" s="10">
        <v>0</v>
      </c>
      <c r="BC6" s="10">
        <v>3814</v>
      </c>
      <c r="BD6" s="10">
        <v>3814</v>
      </c>
      <c r="BE6" s="10">
        <v>6</v>
      </c>
      <c r="BF6" s="10">
        <v>909</v>
      </c>
      <c r="BG6" s="10">
        <v>25063</v>
      </c>
      <c r="BH6" s="10">
        <f>SUM(AE6:BG6)</f>
        <v>127810.36</v>
      </c>
      <c r="BI6" s="226">
        <f>AD6+BH6</f>
        <v>1808142.4400000002</v>
      </c>
      <c r="BJ6" s="10">
        <v>600</v>
      </c>
      <c r="BK6" s="10">
        <f t="shared" si="1"/>
        <v>1807542.4400000002</v>
      </c>
      <c r="BL6" s="41">
        <v>0</v>
      </c>
      <c r="BM6" s="217"/>
    </row>
    <row r="7" spans="1:67" ht="15.75" x14ac:dyDescent="0.25">
      <c r="A7" s="128"/>
      <c r="B7" s="12" t="s">
        <v>325</v>
      </c>
      <c r="C7" s="9">
        <f>IF('Upto Month COPPY'!$B$4="",0,'Upto Month COPPY'!$B$4)</f>
        <v>1144800</v>
      </c>
      <c r="D7" s="9">
        <f>IF('Upto Month COPPY'!$B$5="",0,'Upto Month COPPY'!$B$5)</f>
        <v>189141</v>
      </c>
      <c r="E7" s="9">
        <f>IF('Upto Month COPPY'!$B$6="",0,'Upto Month COPPY'!$B$6)</f>
        <v>807</v>
      </c>
      <c r="F7" s="9">
        <f>IF('Upto Month COPPY'!$B$7="",0,'Upto Month COPPY'!$B$7)</f>
        <v>119121</v>
      </c>
      <c r="G7" s="9">
        <f>IF('Upto Month COPPY'!$B$8="",0,'Upto Month COPPY'!$B$8)</f>
        <v>45789</v>
      </c>
      <c r="H7" s="9">
        <f>IF('Upto Month COPPY'!$B$9="",0,'Upto Month COPPY'!$B$9)</f>
        <v>0</v>
      </c>
      <c r="I7" s="9">
        <f>IF('Upto Month COPPY'!$B$10="",0,'Upto Month COPPY'!$B$10)</f>
        <v>0</v>
      </c>
      <c r="J7" s="9">
        <f>IF('Upto Month COPPY'!$B$11="",0,'Upto Month COPPY'!$B$11)</f>
        <v>1450</v>
      </c>
      <c r="K7" s="9">
        <f>IF('Upto Month COPPY'!$B$12="",0,'Upto Month COPPY'!$B$12)</f>
        <v>0</v>
      </c>
      <c r="L7" s="9">
        <f>IF('Upto Month COPPY'!$B$13="",0,'Upto Month COPPY'!$B$13)</f>
        <v>3568</v>
      </c>
      <c r="M7" s="9">
        <f>IF('Upto Month COPPY'!$B$14="",0,'Upto Month COPPY'!$B$14)</f>
        <v>5912</v>
      </c>
      <c r="N7" s="9">
        <f>IF('Upto Month COPPY'!$B$15="",0,'Upto Month COPPY'!$B$15)</f>
        <v>1638</v>
      </c>
      <c r="O7" s="9">
        <f>IF('Upto Month COPPY'!$B$16="",0,'Upto Month COPPY'!$B$16)</f>
        <v>5177</v>
      </c>
      <c r="P7" s="9">
        <f>IF('Upto Month COPPY'!$B$17="",0,'Upto Month COPPY'!$B$17)</f>
        <v>26778</v>
      </c>
      <c r="Q7" s="9">
        <f>IF('Upto Month COPPY'!$B$18="",0,'Upto Month COPPY'!$B$18)</f>
        <v>0</v>
      </c>
      <c r="R7" s="9">
        <f>IF('Upto Month COPPY'!$B$21="",0,'Upto Month COPPY'!$B$21)</f>
        <v>3288</v>
      </c>
      <c r="S7" s="9">
        <f>IF('Upto Month COPPY'!$B$26="",0,'Upto Month COPPY'!$B$26)</f>
        <v>0</v>
      </c>
      <c r="T7" s="9">
        <f>IF('Upto Month COPPY'!$B$27="",0,'Upto Month COPPY'!$B$27)</f>
        <v>0</v>
      </c>
      <c r="U7" s="9">
        <f>IF('Upto Month COPPY'!$B$30="",0,'Upto Month COPPY'!$B$30)</f>
        <v>672</v>
      </c>
      <c r="V7" s="9">
        <f>IF('Upto Month COPPY'!$B$35="",0,'Upto Month COPPY'!$B$35)</f>
        <v>0</v>
      </c>
      <c r="W7" s="9">
        <f>IF('Upto Month COPPY'!$B$39="",0,'Upto Month COPPY'!$B$39)</f>
        <v>442</v>
      </c>
      <c r="X7" s="9">
        <f>IF('Upto Month COPPY'!$B$40="",0,'Upto Month COPPY'!$B$40)</f>
        <v>0</v>
      </c>
      <c r="Y7" s="9">
        <f>IF('Upto Month COPPY'!$B$42="",0,'Upto Month COPPY'!$B$42)</f>
        <v>4290</v>
      </c>
      <c r="Z7" s="9">
        <f>IF('Upto Month COPPY'!$B$43="",0,'Upto Month COPPY'!$B$43)</f>
        <v>1378</v>
      </c>
      <c r="AA7" s="9">
        <f>IF('Upto Month COPPY'!$B$44="",0,'Upto Month COPPY'!$B$44)</f>
        <v>489</v>
      </c>
      <c r="AB7" s="9">
        <f>IF('Upto Month COPPY'!$B$48="",0,'Upto Month COPPY'!$B$48)</f>
        <v>0</v>
      </c>
      <c r="AC7" s="10">
        <f>IF('Upto Month COPPY'!$B$51="",0,'Upto Month COPPY'!$B$51)</f>
        <v>0</v>
      </c>
      <c r="AD7" s="233">
        <f t="shared" ref="AD7:AD8" si="2">SUM(C7:AC7)</f>
        <v>1554740</v>
      </c>
      <c r="AE7" s="9">
        <f>IF('Upto Month COPPY'!$B$19="",0,'Upto Month COPPY'!$B$19)</f>
        <v>8762</v>
      </c>
      <c r="AF7" s="9">
        <f>IF('Upto Month COPPY'!$B$20="",0,'Upto Month COPPY'!$B$20)</f>
        <v>3981</v>
      </c>
      <c r="AG7" s="9">
        <f>IF('Upto Month COPPY'!$B$22="",0,'Upto Month COPPY'!$B$22)</f>
        <v>56162</v>
      </c>
      <c r="AH7" s="9">
        <f>IF('Upto Month COPPY'!$B$23="",0,'Upto Month COPPY'!$B$23)</f>
        <v>0</v>
      </c>
      <c r="AI7" s="9">
        <f>IF('Upto Month COPPY'!$B$24="",0,'Upto Month COPPY'!$B$24)</f>
        <v>0</v>
      </c>
      <c r="AJ7" s="9">
        <f>IF('Upto Month COPPY'!$B$25="",0,'Upto Month COPPY'!$B$25)</f>
        <v>3350</v>
      </c>
      <c r="AK7" s="9">
        <f>IF('Upto Month COPPY'!$B$28="",0,'Upto Month COPPY'!$B$28)</f>
        <v>5932</v>
      </c>
      <c r="AL7" s="9">
        <f>IF('Upto Month COPPY'!$B$29="",0,'Upto Month COPPY'!$B$29)</f>
        <v>8594</v>
      </c>
      <c r="AM7" s="9">
        <f>IF('Upto Month COPPY'!$B$31="",0,'Upto Month COPPY'!$B$31)</f>
        <v>695</v>
      </c>
      <c r="AN7" s="9">
        <f>IF('Upto Month COPPY'!$B$32="",0,'Upto Month COPPY'!$B$32)</f>
        <v>-1</v>
      </c>
      <c r="AO7" s="9">
        <f>IF('Upto Month COPPY'!$B$33="",0,'Upto Month COPPY'!$B$33)</f>
        <v>33539</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4881</v>
      </c>
      <c r="AX7" s="9">
        <f>IF('Upto Month COPPY'!$B$46="",0,'Upto Month COPPY'!$B$46)</f>
        <v>5566</v>
      </c>
      <c r="AY7" s="9">
        <f>IF('Upto Month COPPY'!$B$47="",0,'Upto Month COPPY'!$B$47)</f>
        <v>2369</v>
      </c>
      <c r="AZ7" s="9">
        <f>IF('Upto Month COPPY'!$B$49="",0,'Upto Month COPPY'!$B$49)</f>
        <v>0</v>
      </c>
      <c r="BA7" s="9">
        <f>IF('Upto Month COPPY'!$B$50="",0,'Upto Month COPPY'!$B$50)</f>
        <v>0</v>
      </c>
      <c r="BB7" s="10">
        <f>IF('Upto Month COPPY'!$B$52="",0,'Upto Month COPPY'!$B$52)</f>
        <v>0</v>
      </c>
      <c r="BC7" s="9">
        <f>IF('Upto Month COPPY'!$B$53="",0,'Upto Month COPPY'!$B$53)</f>
        <v>4174</v>
      </c>
      <c r="BD7" s="9">
        <f>IF('Upto Month COPPY'!$B$54="",0,'Upto Month COPPY'!$B$54)</f>
        <v>4174</v>
      </c>
      <c r="BE7" s="9">
        <f>IF('Upto Month COPPY'!$B$55="",0,'Upto Month COPPY'!$B$55)</f>
        <v>0</v>
      </c>
      <c r="BF7" s="9">
        <f>IF('Upto Month COPPY'!$B$56="",0,'Upto Month COPPY'!$B$56)</f>
        <v>1635</v>
      </c>
      <c r="BG7" s="9">
        <f>IF('Upto Month COPPY'!$B$58="",0,'Upto Month COPPY'!$B$58)</f>
        <v>18367</v>
      </c>
      <c r="BH7" s="9">
        <f>SUM(AE7:BG7)</f>
        <v>162180</v>
      </c>
      <c r="BI7" s="226">
        <f>AD7+BH7</f>
        <v>1716920</v>
      </c>
      <c r="BJ7" s="9">
        <f>IF('Upto Month COPPY'!$B$60="",0,'Upto Month COPPY'!$B$60)</f>
        <v>492</v>
      </c>
      <c r="BK7" s="49">
        <f t="shared" ref="BK7" si="3">BI7-BJ7</f>
        <v>1716428</v>
      </c>
      <c r="BL7">
        <f>'Upto Month COPPY'!$B$61</f>
        <v>1716427</v>
      </c>
      <c r="BM7" s="30">
        <f t="shared" ref="BM7:BM11" si="4">BK7-AD7</f>
        <v>161688</v>
      </c>
    </row>
    <row r="8" spans="1:67" ht="15.75" x14ac:dyDescent="0.25">
      <c r="A8" s="128"/>
      <c r="B8" s="182" t="s">
        <v>326</v>
      </c>
      <c r="C8" s="9">
        <f>IF('Upto Month Current'!$B$4="",0,'Upto Month Current'!$B$4)</f>
        <v>1137009</v>
      </c>
      <c r="D8" s="9">
        <f>IF('Upto Month Current'!$B$5="",0,'Upto Month Current'!$B$5)</f>
        <v>237379</v>
      </c>
      <c r="E8" s="9">
        <f>IF('Upto Month Current'!$B$6="",0,'Upto Month Current'!$B$6)</f>
        <v>585</v>
      </c>
      <c r="F8" s="9">
        <f>IF('Upto Month Current'!$B$7="",0,'Upto Month Current'!$B$7)</f>
        <v>120828</v>
      </c>
      <c r="G8" s="9">
        <f>IF('Upto Month Current'!$B$8="",0,'Upto Month Current'!$B$8)</f>
        <v>47661</v>
      </c>
      <c r="H8" s="9">
        <f>IF('Upto Month Current'!$B$9="",0,'Upto Month Current'!$B$9)</f>
        <v>0</v>
      </c>
      <c r="I8" s="9">
        <f>IF('Upto Month Current'!$B$10="",0,'Upto Month Current'!$B$10)</f>
        <v>0</v>
      </c>
      <c r="J8" s="9">
        <f>IF('Upto Month Current'!$B$11="",0,'Upto Month Current'!$B$11)</f>
        <v>1113</v>
      </c>
      <c r="K8" s="9">
        <f>IF('Upto Month Current'!$B$12="",0,'Upto Month Current'!$B$12)</f>
        <v>0</v>
      </c>
      <c r="L8" s="9">
        <f>IF('Upto Month Current'!$B$13="",0,'Upto Month Current'!$B$13)</f>
        <v>761</v>
      </c>
      <c r="M8" s="9">
        <f>IF('Upto Month Current'!$B$14="",0,'Upto Month Current'!$B$14)</f>
        <v>5735</v>
      </c>
      <c r="N8" s="9">
        <f>IF('Upto Month Current'!$B$15="",0,'Upto Month Current'!$B$15)</f>
        <v>4221</v>
      </c>
      <c r="O8" s="9">
        <f>IF('Upto Month Current'!$B$16="",0,'Upto Month Current'!$B$16)</f>
        <v>6158</v>
      </c>
      <c r="P8" s="9">
        <f>IF('Upto Month Current'!$B$17="",0,'Upto Month Current'!$B$17)</f>
        <v>30099</v>
      </c>
      <c r="Q8" s="9">
        <f>IF('Upto Month Current'!$B$18="",0,'Upto Month Current'!$B$18)</f>
        <v>0</v>
      </c>
      <c r="R8" s="9">
        <f>IF('Upto Month Current'!$B$21="",0,'Upto Month Current'!$B$21)</f>
        <v>3984</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7288</v>
      </c>
      <c r="Z8" s="9">
        <f>IF('Upto Month Current'!$B$43="",0,'Upto Month Current'!$B$43)</f>
        <v>1019</v>
      </c>
      <c r="AA8" s="9">
        <f>IF('Upto Month Current'!$B$44="",0,'Upto Month Current'!$B$44)</f>
        <v>2765</v>
      </c>
      <c r="AB8" s="9">
        <f>IF('Upto Month Current'!$B$48="",0,'Upto Month Current'!$B$48)</f>
        <v>1957</v>
      </c>
      <c r="AC8" s="10">
        <f>IF('Upto Month Current'!$B$51="",0,'Upto Month Current'!$B$51)</f>
        <v>0</v>
      </c>
      <c r="AD8" s="233">
        <f t="shared" si="2"/>
        <v>1608562</v>
      </c>
      <c r="AE8" s="9">
        <f>IF('Upto Month Current'!$B$19="",0,'Upto Month Current'!$B$19)</f>
        <v>5196</v>
      </c>
      <c r="AF8" s="9">
        <f>IF('Upto Month Current'!$B$20="",0,'Upto Month Current'!$B$20)</f>
        <v>3317</v>
      </c>
      <c r="AG8" s="9">
        <f>IF('Upto Month Current'!$B$22="",0,'Upto Month Current'!$B$22)</f>
        <v>49464</v>
      </c>
      <c r="AH8" s="9">
        <f>IF('Upto Month Current'!$B$23="",0,'Upto Month Current'!$B$23)</f>
        <v>41</v>
      </c>
      <c r="AI8" s="9">
        <f>IF('Upto Month Current'!$B$24="",0,'Upto Month Current'!$B$24)</f>
        <v>0</v>
      </c>
      <c r="AJ8" s="9">
        <f>IF('Upto Month Current'!$B$25="",0,'Upto Month Current'!$B$25)</f>
        <v>1346</v>
      </c>
      <c r="AK8" s="9">
        <f>IF('Upto Month Current'!$B$28="",0,'Upto Month Current'!$B$28)</f>
        <v>-1425</v>
      </c>
      <c r="AL8" s="9">
        <f>IF('Upto Month Current'!$B$29="",0,'Upto Month Current'!$B$29)</f>
        <v>1461</v>
      </c>
      <c r="AM8" s="9">
        <f>IF('Upto Month Current'!$B$31="",0,'Upto Month Current'!$B$31)</f>
        <v>251</v>
      </c>
      <c r="AN8" s="9">
        <f>IF('Upto Month Current'!$B$32="",0,'Upto Month Current'!$B$32)</f>
        <v>0</v>
      </c>
      <c r="AO8" s="9">
        <f>IF('Upto Month Current'!$B$33="",0,'Upto Month Current'!$B$33)</f>
        <v>28414</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4139</v>
      </c>
      <c r="AX8" s="9">
        <f>IF('Upto Month Current'!$B$46="",0,'Upto Month Current'!$B$46)</f>
        <v>3908</v>
      </c>
      <c r="AY8" s="9">
        <f>IF('Upto Month Current'!$B$47="",0,'Upto Month Current'!$B$47)</f>
        <v>3059</v>
      </c>
      <c r="AZ8" s="9">
        <f>IF('Upto Month Current'!$B$49="",0,'Upto Month Current'!$B$49)</f>
        <v>0</v>
      </c>
      <c r="BA8" s="9">
        <f>IF('Upto Month Current'!$B$50="",0,'Upto Month Current'!$B$50)</f>
        <v>0</v>
      </c>
      <c r="BB8" s="10">
        <f>IF('Upto Month Current'!$B$52="",0,'Upto Month Current'!$B$52)</f>
        <v>0</v>
      </c>
      <c r="BC8" s="9">
        <f>IF('Upto Month Current'!$B$53="",0,'Upto Month Current'!$B$53)</f>
        <v>2965</v>
      </c>
      <c r="BD8" s="9">
        <f>IF('Upto Month Current'!$B$54="",0,'Upto Month Current'!$B$54)</f>
        <v>2965</v>
      </c>
      <c r="BE8" s="9">
        <f>IF('Upto Month Current'!$B$55="",0,'Upto Month Current'!$B$55)</f>
        <v>0</v>
      </c>
      <c r="BF8" s="9">
        <f>IF('Upto Month Current'!$B$56="",0,'Upto Month Current'!$B$56)</f>
        <v>838</v>
      </c>
      <c r="BG8" s="9">
        <f>IF('Upto Month Current'!$B$58="",0,'Upto Month Current'!$B$58)</f>
        <v>6669</v>
      </c>
      <c r="BH8" s="9">
        <f>SUM(AE8:BG8)</f>
        <v>112608</v>
      </c>
      <c r="BI8" s="226">
        <f>AD8+BH8</f>
        <v>1721170</v>
      </c>
      <c r="BJ8" s="9">
        <f>IF('Upto Month Current'!$B$60="",0,'Upto Month Current'!$B$60)</f>
        <v>5004</v>
      </c>
      <c r="BK8" s="49">
        <f t="shared" ref="BK8" si="5">BI8-BJ8</f>
        <v>1716166</v>
      </c>
      <c r="BL8">
        <f>'Upto Month Current'!$B$61</f>
        <v>1716167</v>
      </c>
      <c r="BM8" s="30">
        <f t="shared" si="4"/>
        <v>107604</v>
      </c>
    </row>
    <row r="9" spans="1:67" ht="15.75" x14ac:dyDescent="0.25">
      <c r="A9" s="128"/>
      <c r="B9" s="5" t="s">
        <v>132</v>
      </c>
      <c r="C9" s="11">
        <f>C8-C6</f>
        <v>-32475</v>
      </c>
      <c r="D9" s="11">
        <f t="shared" ref="D9:BK9" si="6">D8-D6</f>
        <v>-31670</v>
      </c>
      <c r="E9" s="11">
        <f t="shared" si="6"/>
        <v>585</v>
      </c>
      <c r="F9" s="11">
        <f t="shared" si="6"/>
        <v>-4017</v>
      </c>
      <c r="G9" s="11">
        <f t="shared" si="6"/>
        <v>-4170</v>
      </c>
      <c r="H9" s="11">
        <f t="shared" si="6"/>
        <v>0</v>
      </c>
      <c r="I9" s="11">
        <f t="shared" si="6"/>
        <v>0</v>
      </c>
      <c r="J9" s="11">
        <f t="shared" si="6"/>
        <v>-571</v>
      </c>
      <c r="K9" s="11">
        <f t="shared" si="6"/>
        <v>-1.08</v>
      </c>
      <c r="L9" s="11">
        <f t="shared" si="6"/>
        <v>-3287</v>
      </c>
      <c r="M9" s="11">
        <f t="shared" si="6"/>
        <v>-652</v>
      </c>
      <c r="N9" s="11">
        <f t="shared" si="6"/>
        <v>-317</v>
      </c>
      <c r="O9" s="11">
        <f t="shared" si="6"/>
        <v>-953</v>
      </c>
      <c r="P9" s="11">
        <f t="shared" si="6"/>
        <v>2195</v>
      </c>
      <c r="Q9" s="11">
        <f t="shared" si="6"/>
        <v>0</v>
      </c>
      <c r="R9" s="11">
        <f t="shared" si="6"/>
        <v>-4936</v>
      </c>
      <c r="S9" s="11">
        <f t="shared" si="6"/>
        <v>0</v>
      </c>
      <c r="T9" s="11">
        <f t="shared" si="6"/>
        <v>0</v>
      </c>
      <c r="U9" s="11">
        <f t="shared" ref="U9" si="7">U8-U6</f>
        <v>0</v>
      </c>
      <c r="V9" s="9">
        <f t="shared" si="6"/>
        <v>0</v>
      </c>
      <c r="W9" s="11">
        <f t="shared" si="6"/>
        <v>-441</v>
      </c>
      <c r="X9" s="11">
        <f t="shared" si="6"/>
        <v>-178</v>
      </c>
      <c r="Y9" s="11">
        <f t="shared" si="6"/>
        <v>5652</v>
      </c>
      <c r="Z9" s="11">
        <f t="shared" si="6"/>
        <v>949</v>
      </c>
      <c r="AA9" s="11">
        <f t="shared" si="6"/>
        <v>2693</v>
      </c>
      <c r="AB9" s="11">
        <f t="shared" ref="AB9" si="8">AB8-AB6</f>
        <v>-176</v>
      </c>
      <c r="AC9" s="10">
        <f t="shared" ref="AC9" si="9">AC8-AC6</f>
        <v>0</v>
      </c>
      <c r="AD9" s="227">
        <f t="shared" si="6"/>
        <v>-71770.080000000075</v>
      </c>
      <c r="AE9" s="11">
        <f t="shared" si="6"/>
        <v>-5818</v>
      </c>
      <c r="AF9" s="11">
        <f t="shared" si="6"/>
        <v>-1905</v>
      </c>
      <c r="AG9" s="11">
        <f t="shared" si="6"/>
        <v>33728</v>
      </c>
      <c r="AH9" s="11">
        <f t="shared" si="6"/>
        <v>41</v>
      </c>
      <c r="AI9" s="11">
        <f t="shared" si="6"/>
        <v>0</v>
      </c>
      <c r="AJ9" s="11">
        <f t="shared" si="6"/>
        <v>-1833</v>
      </c>
      <c r="AK9" s="11">
        <f t="shared" si="6"/>
        <v>-7529</v>
      </c>
      <c r="AL9" s="11">
        <f t="shared" si="6"/>
        <v>-6349</v>
      </c>
      <c r="AM9" s="11">
        <f t="shared" si="6"/>
        <v>-343</v>
      </c>
      <c r="AN9" s="11">
        <f t="shared" si="6"/>
        <v>-9</v>
      </c>
      <c r="AO9" s="9">
        <f t="shared" si="6"/>
        <v>-2822</v>
      </c>
      <c r="AP9" s="11">
        <f t="shared" si="6"/>
        <v>-0.36</v>
      </c>
      <c r="AQ9" s="10">
        <f t="shared" si="6"/>
        <v>0</v>
      </c>
      <c r="AR9" s="11">
        <f t="shared" si="6"/>
        <v>0</v>
      </c>
      <c r="AS9" s="11">
        <f t="shared" si="6"/>
        <v>0</v>
      </c>
      <c r="AT9" s="11">
        <f t="shared" si="6"/>
        <v>0</v>
      </c>
      <c r="AU9" s="11">
        <f t="shared" si="6"/>
        <v>0</v>
      </c>
      <c r="AV9" s="11">
        <f t="shared" si="6"/>
        <v>0</v>
      </c>
      <c r="AW9" s="11">
        <f t="shared" si="6"/>
        <v>-2578</v>
      </c>
      <c r="AX9" s="11">
        <f t="shared" si="6"/>
        <v>-810</v>
      </c>
      <c r="AY9" s="11">
        <f t="shared" si="6"/>
        <v>1194</v>
      </c>
      <c r="AZ9" s="11">
        <f t="shared" si="6"/>
        <v>0</v>
      </c>
      <c r="BA9" s="11">
        <f t="shared" si="6"/>
        <v>0</v>
      </c>
      <c r="BB9" s="10">
        <f t="shared" si="6"/>
        <v>0</v>
      </c>
      <c r="BC9" s="11">
        <f t="shared" si="6"/>
        <v>-849</v>
      </c>
      <c r="BD9" s="11">
        <f t="shared" si="6"/>
        <v>-849</v>
      </c>
      <c r="BE9" s="11">
        <f t="shared" si="6"/>
        <v>-6</v>
      </c>
      <c r="BF9" s="11">
        <f t="shared" si="6"/>
        <v>-71</v>
      </c>
      <c r="BG9" s="11">
        <f t="shared" si="6"/>
        <v>-18394</v>
      </c>
      <c r="BH9" s="9">
        <f t="shared" si="6"/>
        <v>-15202.36</v>
      </c>
      <c r="BI9" s="227">
        <f t="shared" si="6"/>
        <v>-86972.440000000177</v>
      </c>
      <c r="BJ9" s="11">
        <f t="shared" si="6"/>
        <v>4404</v>
      </c>
      <c r="BK9" s="49">
        <f t="shared" si="6"/>
        <v>-91376.440000000177</v>
      </c>
      <c r="BM9" s="30">
        <f t="shared" si="4"/>
        <v>-19606.360000000102</v>
      </c>
    </row>
    <row r="10" spans="1:67" ht="15.75" x14ac:dyDescent="0.25">
      <c r="A10" s="128"/>
      <c r="B10" s="5" t="s">
        <v>133</v>
      </c>
      <c r="C10" s="13">
        <f>C9/C6</f>
        <v>-2.7768656946140349E-2</v>
      </c>
      <c r="D10" s="13">
        <f t="shared" ref="D10:BM10" si="10">D9/D6</f>
        <v>-0.1177109002449368</v>
      </c>
      <c r="E10" s="13" t="e">
        <f t="shared" si="10"/>
        <v>#DIV/0!</v>
      </c>
      <c r="F10" s="13">
        <f t="shared" si="10"/>
        <v>-3.2175898113660936E-2</v>
      </c>
      <c r="G10" s="13">
        <f t="shared" si="10"/>
        <v>-8.0453782485385192E-2</v>
      </c>
      <c r="H10" s="13" t="e">
        <f t="shared" si="10"/>
        <v>#DIV/0!</v>
      </c>
      <c r="I10" s="13" t="e">
        <f t="shared" si="10"/>
        <v>#DIV/0!</v>
      </c>
      <c r="J10" s="13">
        <f t="shared" si="10"/>
        <v>-0.33907363420427555</v>
      </c>
      <c r="K10" s="13">
        <f t="shared" si="10"/>
        <v>-1</v>
      </c>
      <c r="L10" s="13">
        <f t="shared" si="10"/>
        <v>-0.81200592885375489</v>
      </c>
      <c r="M10" s="13">
        <f t="shared" si="10"/>
        <v>-0.10208235478315328</v>
      </c>
      <c r="N10" s="13">
        <f t="shared" si="10"/>
        <v>-6.9854561480828553E-2</v>
      </c>
      <c r="O10" s="13">
        <f t="shared" si="10"/>
        <v>-0.1340177190268598</v>
      </c>
      <c r="P10" s="13">
        <f t="shared" si="10"/>
        <v>7.8662557339449546E-2</v>
      </c>
      <c r="Q10" s="13" t="e">
        <f t="shared" si="10"/>
        <v>#DIV/0!</v>
      </c>
      <c r="R10" s="13">
        <f t="shared" si="10"/>
        <v>-0.55336322869955157</v>
      </c>
      <c r="S10" s="13" t="e">
        <f t="shared" si="10"/>
        <v>#DIV/0!</v>
      </c>
      <c r="T10" s="13" t="e">
        <f t="shared" si="10"/>
        <v>#DIV/0!</v>
      </c>
      <c r="U10" s="13" t="e">
        <f t="shared" ref="U10" si="11">U9/U6</f>
        <v>#DIV/0!</v>
      </c>
      <c r="V10" s="162" t="e">
        <f t="shared" si="10"/>
        <v>#DIV/0!</v>
      </c>
      <c r="W10" s="13">
        <f t="shared" si="10"/>
        <v>-1</v>
      </c>
      <c r="X10" s="13">
        <f t="shared" si="10"/>
        <v>-1</v>
      </c>
      <c r="Y10" s="13">
        <f t="shared" si="10"/>
        <v>3.4547677261613692</v>
      </c>
      <c r="Z10" s="13">
        <f t="shared" si="10"/>
        <v>13.557142857142857</v>
      </c>
      <c r="AA10" s="13">
        <f t="shared" si="10"/>
        <v>37.402777777777779</v>
      </c>
      <c r="AB10" s="13">
        <f t="shared" ref="AB10" si="12">AB9/AB6</f>
        <v>-8.2512892639474922E-2</v>
      </c>
      <c r="AC10" s="14" t="e">
        <f t="shared" ref="AC10" si="13">AC9/AC6</f>
        <v>#DIV/0!</v>
      </c>
      <c r="AD10" s="228">
        <f t="shared" si="10"/>
        <v>-4.2711843006651443E-2</v>
      </c>
      <c r="AE10" s="13">
        <f t="shared" si="10"/>
        <v>-0.52823678954058473</v>
      </c>
      <c r="AF10" s="13">
        <f t="shared" si="10"/>
        <v>-0.36480275756415165</v>
      </c>
      <c r="AG10" s="13">
        <f t="shared" si="10"/>
        <v>2.143365531265887</v>
      </c>
      <c r="AH10" s="13" t="e">
        <f t="shared" si="10"/>
        <v>#DIV/0!</v>
      </c>
      <c r="AI10" s="13" t="e">
        <f t="shared" si="10"/>
        <v>#DIV/0!</v>
      </c>
      <c r="AJ10" s="13">
        <f t="shared" si="10"/>
        <v>-0.57659641396665617</v>
      </c>
      <c r="AK10" s="13">
        <f t="shared" si="10"/>
        <v>-1.2334534731323723</v>
      </c>
      <c r="AL10" s="13">
        <f t="shared" si="10"/>
        <v>-0.81293213828425093</v>
      </c>
      <c r="AM10" s="13">
        <f t="shared" si="10"/>
        <v>-0.57744107744107742</v>
      </c>
      <c r="AN10" s="13">
        <f t="shared" si="10"/>
        <v>-1</v>
      </c>
      <c r="AO10" s="162">
        <f t="shared" si="10"/>
        <v>-9.0344474324497381E-2</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-0.38380229269018906</v>
      </c>
      <c r="AX10" s="13">
        <f t="shared" si="10"/>
        <v>-0.17168291649003814</v>
      </c>
      <c r="AY10" s="13">
        <f t="shared" si="10"/>
        <v>0.64021447721179625</v>
      </c>
      <c r="AZ10" s="13" t="e">
        <f t="shared" si="10"/>
        <v>#DIV/0!</v>
      </c>
      <c r="BA10" s="13" t="e">
        <f t="shared" si="10"/>
        <v>#DIV/0!</v>
      </c>
      <c r="BB10" s="14" t="e">
        <f t="shared" si="10"/>
        <v>#DIV/0!</v>
      </c>
      <c r="BC10" s="13">
        <f t="shared" si="10"/>
        <v>-0.22260094389092816</v>
      </c>
      <c r="BD10" s="13">
        <f t="shared" si="10"/>
        <v>-0.22260094389092816</v>
      </c>
      <c r="BE10" s="13">
        <f t="shared" si="10"/>
        <v>-1</v>
      </c>
      <c r="BF10" s="13">
        <f t="shared" si="10"/>
        <v>-7.8107810781078105E-2</v>
      </c>
      <c r="BG10" s="13">
        <f t="shared" si="10"/>
        <v>-0.73391054542552769</v>
      </c>
      <c r="BH10" s="162">
        <f t="shared" si="10"/>
        <v>-0.11894466144997949</v>
      </c>
      <c r="BI10" s="228">
        <f t="shared" si="10"/>
        <v>-4.8100436158116044E-2</v>
      </c>
      <c r="BJ10" s="13">
        <f t="shared" si="10"/>
        <v>7.34</v>
      </c>
      <c r="BK10" s="50">
        <f t="shared" si="10"/>
        <v>-5.05528600479224E-2</v>
      </c>
      <c r="BM10" s="162" t="e">
        <f t="shared" si="10"/>
        <v>#DIV/0!</v>
      </c>
    </row>
    <row r="11" spans="1:67" ht="15.75" x14ac:dyDescent="0.25">
      <c r="A11" s="128"/>
      <c r="B11" s="5" t="s">
        <v>134</v>
      </c>
      <c r="C11" s="11">
        <f>C8-C7</f>
        <v>-7791</v>
      </c>
      <c r="D11" s="11">
        <f t="shared" ref="D11:BK11" si="14">D8-D7</f>
        <v>48238</v>
      </c>
      <c r="E11" s="11">
        <f t="shared" si="14"/>
        <v>-222</v>
      </c>
      <c r="F11" s="11">
        <f t="shared" si="14"/>
        <v>1707</v>
      </c>
      <c r="G11" s="11">
        <f t="shared" si="14"/>
        <v>1872</v>
      </c>
      <c r="H11" s="11">
        <f t="shared" si="14"/>
        <v>0</v>
      </c>
      <c r="I11" s="11">
        <f t="shared" si="14"/>
        <v>0</v>
      </c>
      <c r="J11" s="11">
        <f t="shared" si="14"/>
        <v>-337</v>
      </c>
      <c r="K11" s="11">
        <f t="shared" si="14"/>
        <v>0</v>
      </c>
      <c r="L11" s="11">
        <f t="shared" si="14"/>
        <v>-2807</v>
      </c>
      <c r="M11" s="11">
        <f t="shared" si="14"/>
        <v>-177</v>
      </c>
      <c r="N11" s="11">
        <f t="shared" si="14"/>
        <v>2583</v>
      </c>
      <c r="O11" s="11">
        <f t="shared" si="14"/>
        <v>981</v>
      </c>
      <c r="P11" s="11">
        <f t="shared" si="14"/>
        <v>3321</v>
      </c>
      <c r="Q11" s="11">
        <f t="shared" si="14"/>
        <v>0</v>
      </c>
      <c r="R11" s="11">
        <f t="shared" si="14"/>
        <v>696</v>
      </c>
      <c r="S11" s="11">
        <f t="shared" si="14"/>
        <v>0</v>
      </c>
      <c r="T11" s="11">
        <f t="shared" si="14"/>
        <v>0</v>
      </c>
      <c r="U11" s="11">
        <f t="shared" ref="U11" si="15">U8-U7</f>
        <v>-672</v>
      </c>
      <c r="V11" s="9">
        <f t="shared" si="14"/>
        <v>0</v>
      </c>
      <c r="W11" s="11">
        <f t="shared" si="14"/>
        <v>-442</v>
      </c>
      <c r="X11" s="11">
        <f t="shared" si="14"/>
        <v>0</v>
      </c>
      <c r="Y11" s="11">
        <f t="shared" si="14"/>
        <v>2998</v>
      </c>
      <c r="Z11" s="11">
        <f t="shared" si="14"/>
        <v>-359</v>
      </c>
      <c r="AA11" s="11">
        <f t="shared" si="14"/>
        <v>2276</v>
      </c>
      <c r="AB11" s="11">
        <f t="shared" ref="AB11" si="16">AB8-AB7</f>
        <v>1957</v>
      </c>
      <c r="AC11" s="10">
        <f t="shared" ref="AC11" si="17">AC8-AC7</f>
        <v>0</v>
      </c>
      <c r="AD11" s="227">
        <f t="shared" si="14"/>
        <v>53822</v>
      </c>
      <c r="AE11" s="11">
        <f t="shared" si="14"/>
        <v>-3566</v>
      </c>
      <c r="AF11" s="11">
        <f t="shared" si="14"/>
        <v>-664</v>
      </c>
      <c r="AG11" s="11">
        <f t="shared" si="14"/>
        <v>-6698</v>
      </c>
      <c r="AH11" s="11">
        <f t="shared" si="14"/>
        <v>41</v>
      </c>
      <c r="AI11" s="11">
        <f t="shared" si="14"/>
        <v>0</v>
      </c>
      <c r="AJ11" s="11">
        <f t="shared" si="14"/>
        <v>-2004</v>
      </c>
      <c r="AK11" s="11">
        <f t="shared" si="14"/>
        <v>-7357</v>
      </c>
      <c r="AL11" s="11">
        <f t="shared" si="14"/>
        <v>-7133</v>
      </c>
      <c r="AM11" s="11">
        <f t="shared" si="14"/>
        <v>-444</v>
      </c>
      <c r="AN11" s="11">
        <f t="shared" si="14"/>
        <v>1</v>
      </c>
      <c r="AO11" s="9">
        <f t="shared" si="14"/>
        <v>-5125</v>
      </c>
      <c r="AP11" s="11">
        <f t="shared" si="14"/>
        <v>0</v>
      </c>
      <c r="AQ11" s="10">
        <f t="shared" si="14"/>
        <v>0</v>
      </c>
      <c r="AR11" s="11">
        <f t="shared" si="14"/>
        <v>0</v>
      </c>
      <c r="AS11" s="11">
        <f t="shared" si="14"/>
        <v>0</v>
      </c>
      <c r="AT11" s="11">
        <f t="shared" si="14"/>
        <v>0</v>
      </c>
      <c r="AU11" s="11">
        <f t="shared" si="14"/>
        <v>0</v>
      </c>
      <c r="AV11" s="11">
        <f t="shared" si="14"/>
        <v>0</v>
      </c>
      <c r="AW11" s="11">
        <f t="shared" si="14"/>
        <v>-742</v>
      </c>
      <c r="AX11" s="11">
        <f t="shared" si="14"/>
        <v>-1658</v>
      </c>
      <c r="AY11" s="11">
        <f t="shared" si="14"/>
        <v>690</v>
      </c>
      <c r="AZ11" s="11">
        <f t="shared" si="14"/>
        <v>0</v>
      </c>
      <c r="BA11" s="11">
        <f t="shared" si="14"/>
        <v>0</v>
      </c>
      <c r="BB11" s="10">
        <f t="shared" si="14"/>
        <v>0</v>
      </c>
      <c r="BC11" s="11">
        <f t="shared" si="14"/>
        <v>-1209</v>
      </c>
      <c r="BD11" s="11">
        <f t="shared" si="14"/>
        <v>-1209</v>
      </c>
      <c r="BE11" s="11">
        <f t="shared" si="14"/>
        <v>0</v>
      </c>
      <c r="BF11" s="11">
        <f t="shared" si="14"/>
        <v>-797</v>
      </c>
      <c r="BG11" s="11">
        <f t="shared" si="14"/>
        <v>-11698</v>
      </c>
      <c r="BH11" s="9">
        <f t="shared" si="14"/>
        <v>-49572</v>
      </c>
      <c r="BI11" s="227">
        <f t="shared" si="14"/>
        <v>4250</v>
      </c>
      <c r="BJ11" s="11">
        <f t="shared" si="14"/>
        <v>4512</v>
      </c>
      <c r="BK11" s="49">
        <f t="shared" si="14"/>
        <v>-262</v>
      </c>
      <c r="BM11" s="30">
        <f t="shared" si="4"/>
        <v>-54084</v>
      </c>
    </row>
    <row r="12" spans="1:67" ht="15.75" x14ac:dyDescent="0.25">
      <c r="A12" s="128"/>
      <c r="B12" s="5" t="s">
        <v>135</v>
      </c>
      <c r="C12" s="13">
        <f>C11/C7</f>
        <v>-6.8055555555555551E-3</v>
      </c>
      <c r="D12" s="13">
        <f t="shared" ref="D12:BM12" si="18">D11/D7</f>
        <v>0.25503724734457361</v>
      </c>
      <c r="E12" s="13">
        <f t="shared" si="18"/>
        <v>-0.27509293680297398</v>
      </c>
      <c r="F12" s="13">
        <f t="shared" si="18"/>
        <v>1.4329967008336062E-2</v>
      </c>
      <c r="G12" s="13">
        <f t="shared" si="18"/>
        <v>4.0883181550153969E-2</v>
      </c>
      <c r="H12" s="13" t="e">
        <f t="shared" si="18"/>
        <v>#DIV/0!</v>
      </c>
      <c r="I12" s="13" t="e">
        <f t="shared" si="18"/>
        <v>#DIV/0!</v>
      </c>
      <c r="J12" s="13">
        <f t="shared" si="18"/>
        <v>-0.23241379310344829</v>
      </c>
      <c r="K12" s="13" t="e">
        <f t="shared" si="18"/>
        <v>#DIV/0!</v>
      </c>
      <c r="L12" s="13">
        <f t="shared" si="18"/>
        <v>-0.78671524663677128</v>
      </c>
      <c r="M12" s="13">
        <f t="shared" si="18"/>
        <v>-2.9939106901217861E-2</v>
      </c>
      <c r="N12" s="13">
        <f t="shared" si="18"/>
        <v>1.5769230769230769</v>
      </c>
      <c r="O12" s="13">
        <f t="shared" si="18"/>
        <v>0.18949198377438672</v>
      </c>
      <c r="P12" s="13">
        <f t="shared" si="18"/>
        <v>0.12401971767869147</v>
      </c>
      <c r="Q12" s="13" t="e">
        <f t="shared" si="18"/>
        <v>#DIV/0!</v>
      </c>
      <c r="R12" s="13">
        <f t="shared" si="18"/>
        <v>0.21167883211678831</v>
      </c>
      <c r="S12" s="13" t="e">
        <f t="shared" si="18"/>
        <v>#DIV/0!</v>
      </c>
      <c r="T12" s="13" t="e">
        <f t="shared" si="18"/>
        <v>#DIV/0!</v>
      </c>
      <c r="U12" s="13">
        <f t="shared" ref="U12" si="19">U11/U7</f>
        <v>-1</v>
      </c>
      <c r="V12" s="162" t="e">
        <f t="shared" si="18"/>
        <v>#DIV/0!</v>
      </c>
      <c r="W12" s="13">
        <f t="shared" si="18"/>
        <v>-1</v>
      </c>
      <c r="X12" s="13" t="e">
        <f t="shared" si="18"/>
        <v>#DIV/0!</v>
      </c>
      <c r="Y12" s="13">
        <f t="shared" si="18"/>
        <v>0.69883449883449889</v>
      </c>
      <c r="Z12" s="13">
        <f t="shared" si="18"/>
        <v>-0.260522496371553</v>
      </c>
      <c r="AA12" s="13">
        <f t="shared" si="18"/>
        <v>4.6543967280163603</v>
      </c>
      <c r="AB12" s="13" t="e">
        <f t="shared" ref="AB12" si="20">AB11/AB7</f>
        <v>#DIV/0!</v>
      </c>
      <c r="AC12" s="14" t="e">
        <f t="shared" ref="AC12" si="21">AC11/AC7</f>
        <v>#DIV/0!</v>
      </c>
      <c r="AD12" s="228">
        <f t="shared" si="18"/>
        <v>3.4618006869315772E-2</v>
      </c>
      <c r="AE12" s="13">
        <f t="shared" si="18"/>
        <v>-0.40698470668797077</v>
      </c>
      <c r="AF12" s="13">
        <f t="shared" si="18"/>
        <v>-0.16679226325043958</v>
      </c>
      <c r="AG12" s="13">
        <f t="shared" si="18"/>
        <v>-0.11926213453936825</v>
      </c>
      <c r="AH12" s="13" t="e">
        <f t="shared" si="18"/>
        <v>#DIV/0!</v>
      </c>
      <c r="AI12" s="13" t="e">
        <f t="shared" si="18"/>
        <v>#DIV/0!</v>
      </c>
      <c r="AJ12" s="13">
        <f t="shared" si="18"/>
        <v>-0.59820895522388062</v>
      </c>
      <c r="AK12" s="13">
        <f t="shared" si="18"/>
        <v>-1.2402225219150371</v>
      </c>
      <c r="AL12" s="13">
        <f t="shared" si="18"/>
        <v>-0.82999767279497327</v>
      </c>
      <c r="AM12" s="13">
        <f t="shared" si="18"/>
        <v>-0.63884892086330936</v>
      </c>
      <c r="AN12" s="13">
        <f t="shared" si="18"/>
        <v>-1</v>
      </c>
      <c r="AO12" s="162">
        <f t="shared" si="18"/>
        <v>-0.15280717970124333</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-0.15201802909239909</v>
      </c>
      <c r="AX12" s="13">
        <f t="shared" si="18"/>
        <v>-0.29787998562702123</v>
      </c>
      <c r="AY12" s="13">
        <f t="shared" si="18"/>
        <v>0.29126213592233008</v>
      </c>
      <c r="AZ12" s="13" t="e">
        <f t="shared" si="18"/>
        <v>#DIV/0!</v>
      </c>
      <c r="BA12" s="13" t="e">
        <f t="shared" si="18"/>
        <v>#DIV/0!</v>
      </c>
      <c r="BB12" s="14" t="e">
        <f t="shared" si="18"/>
        <v>#DIV/0!</v>
      </c>
      <c r="BC12" s="13">
        <f t="shared" si="18"/>
        <v>-0.28965021562050791</v>
      </c>
      <c r="BD12" s="13">
        <f t="shared" si="18"/>
        <v>-0.28965021562050791</v>
      </c>
      <c r="BE12" s="13" t="e">
        <f t="shared" si="18"/>
        <v>#DIV/0!</v>
      </c>
      <c r="BF12" s="13">
        <f t="shared" si="18"/>
        <v>-0.4874617737003058</v>
      </c>
      <c r="BG12" s="13">
        <f t="shared" si="18"/>
        <v>-0.63690314150378391</v>
      </c>
      <c r="BH12" s="162">
        <f t="shared" si="18"/>
        <v>-0.30566037735849055</v>
      </c>
      <c r="BI12" s="228">
        <f t="shared" si="18"/>
        <v>2.4753628590732241E-3</v>
      </c>
      <c r="BJ12" s="13">
        <f t="shared" si="18"/>
        <v>9.1707317073170724</v>
      </c>
      <c r="BK12" s="50">
        <f t="shared" si="18"/>
        <v>-1.526425809879587E-4</v>
      </c>
      <c r="BM12" s="14">
        <f t="shared" si="18"/>
        <v>-0.33449606649844144</v>
      </c>
      <c r="BO12" s="36"/>
    </row>
    <row r="13" spans="1:67" ht="15.75" x14ac:dyDescent="0.25">
      <c r="A13" s="128"/>
      <c r="B13" s="5" t="s">
        <v>296</v>
      </c>
      <c r="C13" s="126">
        <f>C8/C5</f>
        <v>0.42778149831447149</v>
      </c>
      <c r="D13" s="126">
        <f t="shared" ref="D13:BM13" si="22">D8/D5</f>
        <v>0.31370043319334062</v>
      </c>
      <c r="E13" s="126">
        <f t="shared" si="22"/>
        <v>8.0669626851264508E-3</v>
      </c>
      <c r="F13" s="126">
        <f t="shared" si="22"/>
        <v>0.42583755665357964</v>
      </c>
      <c r="G13" s="126">
        <f t="shared" si="22"/>
        <v>0.40457192333157904</v>
      </c>
      <c r="H13" s="126" t="e">
        <f t="shared" si="22"/>
        <v>#DIV/0!</v>
      </c>
      <c r="I13" s="126" t="e">
        <f t="shared" si="22"/>
        <v>#DIV/0!</v>
      </c>
      <c r="J13" s="126">
        <f t="shared" si="22"/>
        <v>0.29098039215686272</v>
      </c>
      <c r="K13" s="126">
        <f t="shared" si="22"/>
        <v>0</v>
      </c>
      <c r="L13" s="126">
        <f t="shared" si="22"/>
        <v>8.2708401260732534E-2</v>
      </c>
      <c r="M13" s="126">
        <f t="shared" si="22"/>
        <v>0.39516295734858403</v>
      </c>
      <c r="N13" s="126">
        <f t="shared" si="22"/>
        <v>0.40944805509748761</v>
      </c>
      <c r="O13" s="126">
        <f t="shared" si="22"/>
        <v>0.38097005691660479</v>
      </c>
      <c r="P13" s="126">
        <f t="shared" si="22"/>
        <v>0.47462036993235251</v>
      </c>
      <c r="Q13" s="126" t="e">
        <f t="shared" si="22"/>
        <v>#DIV/0!</v>
      </c>
      <c r="R13" s="126">
        <f t="shared" si="22"/>
        <v>0.19651753563853402</v>
      </c>
      <c r="S13" s="126" t="e">
        <f t="shared" si="22"/>
        <v>#DIV/0!</v>
      </c>
      <c r="T13" s="126" t="e">
        <f t="shared" si="22"/>
        <v>#DIV/0!</v>
      </c>
      <c r="U13" s="126" t="e">
        <f t="shared" si="22"/>
        <v>#DIV/0!</v>
      </c>
      <c r="V13" s="177" t="e">
        <f t="shared" si="22"/>
        <v>#DIV/0!</v>
      </c>
      <c r="W13" s="126">
        <f t="shared" si="22"/>
        <v>0</v>
      </c>
      <c r="X13" s="126">
        <f t="shared" si="22"/>
        <v>0</v>
      </c>
      <c r="Y13" s="126">
        <f t="shared" si="22"/>
        <v>1.9617765814266488</v>
      </c>
      <c r="Z13" s="126">
        <f t="shared" si="22"/>
        <v>6.4904458598726116</v>
      </c>
      <c r="AA13" s="126">
        <f t="shared" si="22"/>
        <v>16.757575757575758</v>
      </c>
      <c r="AB13" s="126">
        <f t="shared" ref="AB13" si="23">AB8/AB5</f>
        <v>0.40400495458298924</v>
      </c>
      <c r="AC13" s="215" t="e">
        <f t="shared" si="22"/>
        <v>#DIV/0!</v>
      </c>
      <c r="AD13" s="229">
        <f t="shared" si="22"/>
        <v>0.39848529401928462</v>
      </c>
      <c r="AE13" s="126">
        <f t="shared" si="22"/>
        <v>0.20759089093088295</v>
      </c>
      <c r="AF13" s="126">
        <f t="shared" si="22"/>
        <v>0.27953817630203942</v>
      </c>
      <c r="AG13" s="126">
        <f t="shared" si="22"/>
        <v>1.3829121002012972</v>
      </c>
      <c r="AH13" s="126" t="e">
        <f t="shared" si="22"/>
        <v>#DIV/0!</v>
      </c>
      <c r="AI13" s="126" t="e">
        <f t="shared" si="22"/>
        <v>#DIV/0!</v>
      </c>
      <c r="AJ13" s="126">
        <f t="shared" si="22"/>
        <v>0.18645241723230363</v>
      </c>
      <c r="AK13" s="126">
        <f t="shared" si="22"/>
        <v>-0.10273231922716458</v>
      </c>
      <c r="AL13" s="126">
        <f t="shared" si="22"/>
        <v>8.2295949980285027E-2</v>
      </c>
      <c r="AM13" s="126">
        <f t="shared" si="22"/>
        <v>0.18620178041543026</v>
      </c>
      <c r="AN13" s="126">
        <f t="shared" si="22"/>
        <v>0</v>
      </c>
      <c r="AO13" s="177">
        <f t="shared" si="22"/>
        <v>0.40022536798366082</v>
      </c>
      <c r="AP13" s="126">
        <f t="shared" si="22"/>
        <v>0</v>
      </c>
      <c r="AQ13" s="215" t="e">
        <f t="shared" si="22"/>
        <v>#DIV/0!</v>
      </c>
      <c r="AR13" s="126" t="e">
        <f t="shared" si="22"/>
        <v>#DIV/0!</v>
      </c>
      <c r="AS13" s="126" t="e">
        <f t="shared" si="22"/>
        <v>#DIV/0!</v>
      </c>
      <c r="AT13" s="126" t="e">
        <f t="shared" si="22"/>
        <v>#DIV/0!</v>
      </c>
      <c r="AU13" s="126" t="e">
        <f t="shared" si="22"/>
        <v>#DIV/0!</v>
      </c>
      <c r="AV13" s="126" t="e">
        <f t="shared" si="22"/>
        <v>#DIV/0!</v>
      </c>
      <c r="AW13" s="126">
        <f t="shared" si="22"/>
        <v>0.27114313789715033</v>
      </c>
      <c r="AX13" s="126">
        <f t="shared" si="22"/>
        <v>0.36445024713233237</v>
      </c>
      <c r="AY13" s="126">
        <f t="shared" si="22"/>
        <v>0.72163246048596363</v>
      </c>
      <c r="AZ13" s="126" t="e">
        <f t="shared" si="22"/>
        <v>#DIV/0!</v>
      </c>
      <c r="BA13" s="126" t="e">
        <f t="shared" si="22"/>
        <v>#DIV/0!</v>
      </c>
      <c r="BB13" s="215" t="e">
        <f t="shared" si="22"/>
        <v>#DIV/0!</v>
      </c>
      <c r="BC13" s="126">
        <f t="shared" si="22"/>
        <v>0.34214170320793907</v>
      </c>
      <c r="BD13" s="126">
        <f t="shared" si="22"/>
        <v>0.34214170320793907</v>
      </c>
      <c r="BE13" s="126">
        <f t="shared" si="22"/>
        <v>0</v>
      </c>
      <c r="BF13" s="126">
        <f t="shared" si="22"/>
        <v>0.40522243713733075</v>
      </c>
      <c r="BG13" s="126">
        <f t="shared" si="22"/>
        <v>0.11708627409670283</v>
      </c>
      <c r="BH13" s="177">
        <f t="shared" si="22"/>
        <v>0.38767514717526769</v>
      </c>
      <c r="BI13" s="229">
        <f t="shared" si="22"/>
        <v>0.39775963963439309</v>
      </c>
      <c r="BJ13" s="126">
        <f t="shared" si="22"/>
        <v>3.4774148714384991</v>
      </c>
      <c r="BK13" s="126">
        <f t="shared" si="22"/>
        <v>0.39673515773782964</v>
      </c>
      <c r="BM13" s="126" t="e">
        <f t="shared" si="22"/>
        <v>#DIV/0!</v>
      </c>
    </row>
    <row r="14" spans="1:67" s="180" customFormat="1" ht="15.75" x14ac:dyDescent="0.25">
      <c r="A14" s="128"/>
      <c r="B14" s="5" t="s">
        <v>297</v>
      </c>
      <c r="C14" s="11">
        <f>C5-C8</f>
        <v>1520911</v>
      </c>
      <c r="D14" s="11">
        <f>D5-D8</f>
        <v>519327</v>
      </c>
      <c r="E14" s="11">
        <f>E5-E8</f>
        <v>71933</v>
      </c>
      <c r="F14" s="11">
        <f>F5-F8</f>
        <v>162914</v>
      </c>
      <c r="G14" s="11">
        <f t="shared" ref="G14:BM14" si="24">G5-G8</f>
        <v>70145</v>
      </c>
      <c r="H14" s="11">
        <f t="shared" si="24"/>
        <v>0</v>
      </c>
      <c r="I14" s="11">
        <f t="shared" si="24"/>
        <v>0</v>
      </c>
      <c r="J14" s="11">
        <f t="shared" si="24"/>
        <v>2712</v>
      </c>
      <c r="K14" s="11">
        <f t="shared" si="24"/>
        <v>6</v>
      </c>
      <c r="L14" s="11">
        <f t="shared" si="24"/>
        <v>8440</v>
      </c>
      <c r="M14" s="11">
        <f t="shared" si="24"/>
        <v>8778</v>
      </c>
      <c r="N14" s="11">
        <f t="shared" si="24"/>
        <v>6088</v>
      </c>
      <c r="O14" s="11">
        <f t="shared" si="24"/>
        <v>10006</v>
      </c>
      <c r="P14" s="11">
        <f t="shared" si="24"/>
        <v>33318</v>
      </c>
      <c r="Q14" s="11">
        <f t="shared" si="24"/>
        <v>0</v>
      </c>
      <c r="R14" s="11">
        <f t="shared" si="24"/>
        <v>16289</v>
      </c>
      <c r="S14" s="11">
        <f t="shared" si="24"/>
        <v>0</v>
      </c>
      <c r="T14" s="11">
        <f t="shared" si="24"/>
        <v>0</v>
      </c>
      <c r="U14" s="11">
        <f t="shared" si="24"/>
        <v>0</v>
      </c>
      <c r="V14" s="9">
        <f t="shared" si="24"/>
        <v>0</v>
      </c>
      <c r="W14" s="11">
        <f t="shared" si="24"/>
        <v>1004</v>
      </c>
      <c r="X14" s="11">
        <f t="shared" si="24"/>
        <v>406</v>
      </c>
      <c r="Y14" s="11">
        <f t="shared" si="24"/>
        <v>-3573</v>
      </c>
      <c r="Z14" s="11">
        <f t="shared" si="24"/>
        <v>-862</v>
      </c>
      <c r="AA14" s="11">
        <f t="shared" si="24"/>
        <v>-2600</v>
      </c>
      <c r="AB14" s="11">
        <f t="shared" ref="AB14" si="25">AB5-AB8</f>
        <v>2887</v>
      </c>
      <c r="AC14" s="10">
        <f t="shared" si="24"/>
        <v>0</v>
      </c>
      <c r="AD14" s="227">
        <f t="shared" si="24"/>
        <v>2428129</v>
      </c>
      <c r="AE14" s="11">
        <f t="shared" si="24"/>
        <v>19834</v>
      </c>
      <c r="AF14" s="11">
        <f t="shared" si="24"/>
        <v>8549</v>
      </c>
      <c r="AG14" s="11">
        <f t="shared" si="24"/>
        <v>-13696</v>
      </c>
      <c r="AH14" s="11">
        <f t="shared" si="24"/>
        <v>-41</v>
      </c>
      <c r="AI14" s="11">
        <f t="shared" si="24"/>
        <v>0</v>
      </c>
      <c r="AJ14" s="11">
        <f t="shared" si="24"/>
        <v>5873</v>
      </c>
      <c r="AK14" s="11">
        <f t="shared" si="24"/>
        <v>15296</v>
      </c>
      <c r="AL14" s="11">
        <f t="shared" si="24"/>
        <v>16292</v>
      </c>
      <c r="AM14" s="11">
        <f t="shared" si="24"/>
        <v>1097</v>
      </c>
      <c r="AN14" s="11">
        <f t="shared" si="24"/>
        <v>19</v>
      </c>
      <c r="AO14" s="9">
        <f t="shared" si="24"/>
        <v>42581</v>
      </c>
      <c r="AP14" s="11">
        <f t="shared" si="24"/>
        <v>2</v>
      </c>
      <c r="AQ14" s="10">
        <f t="shared" si="24"/>
        <v>0</v>
      </c>
      <c r="AR14" s="11">
        <f t="shared" si="24"/>
        <v>0</v>
      </c>
      <c r="AS14" s="11">
        <f t="shared" si="24"/>
        <v>0</v>
      </c>
      <c r="AT14" s="11">
        <f t="shared" si="24"/>
        <v>0</v>
      </c>
      <c r="AU14" s="11">
        <f t="shared" si="24"/>
        <v>0</v>
      </c>
      <c r="AV14" s="11">
        <f t="shared" si="24"/>
        <v>0</v>
      </c>
      <c r="AW14" s="11">
        <f t="shared" si="24"/>
        <v>11126</v>
      </c>
      <c r="AX14" s="11">
        <f t="shared" si="24"/>
        <v>6815</v>
      </c>
      <c r="AY14" s="11">
        <f t="shared" si="24"/>
        <v>1180</v>
      </c>
      <c r="AZ14" s="11">
        <f t="shared" si="24"/>
        <v>0</v>
      </c>
      <c r="BA14" s="11">
        <f t="shared" si="24"/>
        <v>0</v>
      </c>
      <c r="BB14" s="10">
        <f t="shared" si="24"/>
        <v>0</v>
      </c>
      <c r="BC14" s="11">
        <f t="shared" si="24"/>
        <v>5701</v>
      </c>
      <c r="BD14" s="11">
        <f t="shared" si="24"/>
        <v>5701</v>
      </c>
      <c r="BE14" s="11">
        <f t="shared" si="24"/>
        <v>14</v>
      </c>
      <c r="BF14" s="11">
        <f t="shared" si="24"/>
        <v>1230</v>
      </c>
      <c r="BG14" s="11">
        <f t="shared" si="24"/>
        <v>50289</v>
      </c>
      <c r="BH14" s="11">
        <f t="shared" si="24"/>
        <v>177862</v>
      </c>
      <c r="BI14" s="227">
        <f t="shared" si="24"/>
        <v>2605991</v>
      </c>
      <c r="BJ14" s="11">
        <f t="shared" si="24"/>
        <v>-3565</v>
      </c>
      <c r="BK14" s="11">
        <f t="shared" si="24"/>
        <v>2609556</v>
      </c>
      <c r="BL14" s="11">
        <f t="shared" si="24"/>
        <v>-1716166</v>
      </c>
      <c r="BM14" s="11">
        <f t="shared" si="24"/>
        <v>-107604</v>
      </c>
    </row>
    <row r="15" spans="1:67" ht="15.75" x14ac:dyDescent="0.2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230"/>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230"/>
      <c r="BJ15" s="5"/>
      <c r="BK15" s="48"/>
    </row>
    <row r="16" spans="1:67" ht="15.75" x14ac:dyDescent="0.25">
      <c r="A16" s="15" t="s">
        <v>136</v>
      </c>
      <c r="B16" s="11" t="s">
        <v>301</v>
      </c>
      <c r="C16" s="120">
        <v>4776865</v>
      </c>
      <c r="D16" s="120">
        <v>1359634</v>
      </c>
      <c r="E16" s="120">
        <v>272943</v>
      </c>
      <c r="F16" s="120">
        <v>384668</v>
      </c>
      <c r="G16" s="120">
        <v>275484</v>
      </c>
      <c r="H16" s="120">
        <v>0</v>
      </c>
      <c r="I16" s="120">
        <v>0</v>
      </c>
      <c r="J16" s="120">
        <v>0</v>
      </c>
      <c r="K16" s="120">
        <v>0</v>
      </c>
      <c r="L16" s="120">
        <v>74988</v>
      </c>
      <c r="M16" s="120">
        <v>508892</v>
      </c>
      <c r="N16" s="120">
        <v>638</v>
      </c>
      <c r="O16" s="120">
        <v>9836</v>
      </c>
      <c r="P16" s="120">
        <v>277243</v>
      </c>
      <c r="Q16" s="120">
        <v>0</v>
      </c>
      <c r="R16" s="120">
        <v>7855</v>
      </c>
      <c r="S16" s="120">
        <v>0</v>
      </c>
      <c r="T16" s="120">
        <v>0</v>
      </c>
      <c r="U16" s="120"/>
      <c r="V16" s="189">
        <v>0</v>
      </c>
      <c r="W16" s="120">
        <v>0</v>
      </c>
      <c r="X16" s="120">
        <v>0</v>
      </c>
      <c r="Y16" s="120">
        <v>11205</v>
      </c>
      <c r="Z16" s="120">
        <v>710</v>
      </c>
      <c r="AA16" s="120">
        <v>1257</v>
      </c>
      <c r="AB16" s="120">
        <v>8704</v>
      </c>
      <c r="AC16" s="151">
        <v>0</v>
      </c>
      <c r="AD16" s="233">
        <f t="shared" ref="AD16:AD17" si="26">SUM(C16:AC16)</f>
        <v>7970922</v>
      </c>
      <c r="AE16" s="120">
        <v>3210</v>
      </c>
      <c r="AF16" s="120">
        <v>1005</v>
      </c>
      <c r="AG16" s="120">
        <v>16779</v>
      </c>
      <c r="AH16" s="120">
        <v>0</v>
      </c>
      <c r="AI16" s="120">
        <v>0</v>
      </c>
      <c r="AJ16" s="120">
        <v>141</v>
      </c>
      <c r="AK16" s="120">
        <v>264414</v>
      </c>
      <c r="AL16" s="120">
        <v>284909</v>
      </c>
      <c r="AM16" s="120">
        <v>0</v>
      </c>
      <c r="AN16" s="120">
        <v>101024</v>
      </c>
      <c r="AO16" s="189">
        <v>835503</v>
      </c>
      <c r="AP16" s="120">
        <v>18310</v>
      </c>
      <c r="AQ16" s="151">
        <v>0</v>
      </c>
      <c r="AR16" s="120">
        <v>0</v>
      </c>
      <c r="AS16" s="120"/>
      <c r="AT16" s="120"/>
      <c r="AU16" s="120">
        <v>0</v>
      </c>
      <c r="AV16" s="120"/>
      <c r="AW16" s="120">
        <v>2724</v>
      </c>
      <c r="AX16" s="120">
        <v>2363</v>
      </c>
      <c r="AY16" s="120">
        <v>1366</v>
      </c>
      <c r="AZ16" s="120">
        <v>0</v>
      </c>
      <c r="BA16" s="120">
        <v>0</v>
      </c>
      <c r="BB16" s="151">
        <v>0</v>
      </c>
      <c r="BC16" s="120">
        <v>30573</v>
      </c>
      <c r="BD16" s="120">
        <v>30575</v>
      </c>
      <c r="BE16" s="120">
        <v>0</v>
      </c>
      <c r="BF16" s="120">
        <v>10406</v>
      </c>
      <c r="BG16" s="120">
        <v>22367</v>
      </c>
      <c r="BH16" s="9">
        <f>SUM(AE16:BG16)</f>
        <v>1625669</v>
      </c>
      <c r="BI16" s="226">
        <f>AD16+BH16</f>
        <v>9596591</v>
      </c>
      <c r="BJ16" s="96">
        <v>32950</v>
      </c>
      <c r="BK16" s="49">
        <f t="shared" ref="BK16:BK17" si="27">BI16-BJ16</f>
        <v>9563641</v>
      </c>
      <c r="BL16">
        <v>2</v>
      </c>
      <c r="BM16" s="30"/>
    </row>
    <row r="17" spans="1:65" s="41" customFormat="1" ht="15.75" x14ac:dyDescent="0.25">
      <c r="A17" s="134" t="s">
        <v>136</v>
      </c>
      <c r="B17" s="216" t="s">
        <v>324</v>
      </c>
      <c r="C17" s="10">
        <v>2101821</v>
      </c>
      <c r="D17" s="10">
        <v>483421</v>
      </c>
      <c r="E17" s="10">
        <v>-1</v>
      </c>
      <c r="F17" s="10">
        <v>169231</v>
      </c>
      <c r="G17" s="10">
        <v>121210</v>
      </c>
      <c r="H17" s="10">
        <v>0</v>
      </c>
      <c r="I17" s="10">
        <v>0</v>
      </c>
      <c r="J17" s="10">
        <v>0</v>
      </c>
      <c r="K17" s="10">
        <v>0</v>
      </c>
      <c r="L17" s="10">
        <v>32995</v>
      </c>
      <c r="M17" s="10">
        <v>223911</v>
      </c>
      <c r="N17" s="10">
        <v>281</v>
      </c>
      <c r="O17" s="10">
        <v>4328</v>
      </c>
      <c r="P17" s="10">
        <v>121989</v>
      </c>
      <c r="Q17" s="10">
        <v>0</v>
      </c>
      <c r="R17" s="10">
        <v>3455</v>
      </c>
      <c r="S17" s="10">
        <v>0</v>
      </c>
      <c r="T17" s="10">
        <v>0</v>
      </c>
      <c r="U17" s="10"/>
      <c r="V17" s="10">
        <v>0</v>
      </c>
      <c r="W17" s="10">
        <v>0</v>
      </c>
      <c r="X17" s="10">
        <v>0</v>
      </c>
      <c r="Y17" s="10">
        <v>4931</v>
      </c>
      <c r="Z17" s="10">
        <v>313</v>
      </c>
      <c r="AA17" s="10">
        <v>575</v>
      </c>
      <c r="AB17" s="10">
        <v>3829</v>
      </c>
      <c r="AC17" s="10">
        <v>0</v>
      </c>
      <c r="AD17" s="233">
        <f t="shared" si="26"/>
        <v>3272289</v>
      </c>
      <c r="AE17" s="10">
        <v>1413</v>
      </c>
      <c r="AF17" s="10">
        <v>442</v>
      </c>
      <c r="AG17" s="10">
        <v>7383</v>
      </c>
      <c r="AH17" s="10">
        <v>0</v>
      </c>
      <c r="AI17" s="10">
        <v>0</v>
      </c>
      <c r="AJ17" s="10">
        <v>61</v>
      </c>
      <c r="AK17" s="10">
        <v>116343</v>
      </c>
      <c r="AL17" s="10">
        <v>125362</v>
      </c>
      <c r="AM17" s="10">
        <v>0</v>
      </c>
      <c r="AN17" s="10">
        <v>44450</v>
      </c>
      <c r="AO17" s="10">
        <v>367622</v>
      </c>
      <c r="AP17" s="10">
        <v>8057</v>
      </c>
      <c r="AQ17" s="10">
        <v>0</v>
      </c>
      <c r="AR17" s="10">
        <v>0</v>
      </c>
      <c r="AS17" s="10"/>
      <c r="AT17" s="10"/>
      <c r="AU17" s="10">
        <v>0</v>
      </c>
      <c r="AV17" s="10"/>
      <c r="AW17" s="10">
        <v>1198</v>
      </c>
      <c r="AX17" s="10">
        <v>1039</v>
      </c>
      <c r="AY17" s="10">
        <v>601</v>
      </c>
      <c r="AZ17" s="10">
        <v>0</v>
      </c>
      <c r="BA17" s="10">
        <v>0</v>
      </c>
      <c r="BB17" s="10">
        <v>0</v>
      </c>
      <c r="BC17" s="10">
        <v>13452</v>
      </c>
      <c r="BD17" s="10">
        <v>13454</v>
      </c>
      <c r="BE17" s="10">
        <v>0</v>
      </c>
      <c r="BF17" s="10">
        <v>4579</v>
      </c>
      <c r="BG17" s="10">
        <v>9843</v>
      </c>
      <c r="BH17" s="10">
        <f>SUM(AE17:BG17)</f>
        <v>715299</v>
      </c>
      <c r="BI17" s="226">
        <f>AD17+BH17</f>
        <v>3987588</v>
      </c>
      <c r="BJ17" s="10">
        <v>13729</v>
      </c>
      <c r="BK17" s="10">
        <f t="shared" si="27"/>
        <v>3973859</v>
      </c>
      <c r="BM17" s="217"/>
    </row>
    <row r="18" spans="1:65" ht="15.75" x14ac:dyDescent="0.25">
      <c r="A18" s="128"/>
      <c r="B18" s="12" t="s">
        <v>325</v>
      </c>
      <c r="C18" s="9">
        <f>IF('Upto Month COPPY'!$C$4="",0,'Upto Month COPPY'!$C$4)</f>
        <v>1970595</v>
      </c>
      <c r="D18" s="9">
        <f>IF('Upto Month COPPY'!$C$5="",0,'Upto Month COPPY'!$C$5)</f>
        <v>314823</v>
      </c>
      <c r="E18" s="9">
        <f>IF('Upto Month COPPY'!$C$6="",0,'Upto Month COPPY'!$C$6)</f>
        <v>2314</v>
      </c>
      <c r="F18" s="9">
        <f>IF('Upto Month COPPY'!$C$7="",0,'Upto Month COPPY'!$C$7)</f>
        <v>145273</v>
      </c>
      <c r="G18" s="9">
        <f>IF('Upto Month COPPY'!$C$8="",0,'Upto Month COPPY'!$C$8)</f>
        <v>108626</v>
      </c>
      <c r="H18" s="9">
        <f>IF('Upto Month COPPY'!$C$9="",0,'Upto Month COPPY'!$C$9)</f>
        <v>0</v>
      </c>
      <c r="I18" s="9">
        <f>IF('Upto Month COPPY'!$C$10="",0,'Upto Month COPPY'!$C$10)</f>
        <v>0</v>
      </c>
      <c r="J18" s="9">
        <f>IF('Upto Month COPPY'!$C$11="",0,'Upto Month COPPY'!$C$11)</f>
        <v>156</v>
      </c>
      <c r="K18" s="9">
        <f>IF('Upto Month COPPY'!$C$12="",0,'Upto Month COPPY'!$C$12)</f>
        <v>98</v>
      </c>
      <c r="L18" s="9">
        <f>IF('Upto Month COPPY'!$C$13="",0,'Upto Month COPPY'!$C$13)</f>
        <v>38466</v>
      </c>
      <c r="M18" s="9">
        <f>IF('Upto Month COPPY'!$C$14="",0,'Upto Month COPPY'!$C$14)</f>
        <v>223473</v>
      </c>
      <c r="N18" s="9">
        <f>IF('Upto Month COPPY'!$C$15="",0,'Upto Month COPPY'!$C$15)</f>
        <v>249</v>
      </c>
      <c r="O18" s="9">
        <f>IF('Upto Month COPPY'!$C$16="",0,'Upto Month COPPY'!$C$16)</f>
        <v>3564</v>
      </c>
      <c r="P18" s="9">
        <f>IF('Upto Month COPPY'!$C$17="",0,'Upto Month COPPY'!$C$17)</f>
        <v>152640</v>
      </c>
      <c r="Q18" s="9">
        <f>IF('Upto Month COPPY'!$C$18="",0,'Upto Month COPPY'!$C$18)</f>
        <v>0</v>
      </c>
      <c r="R18" s="9">
        <f>IF('Upto Month COPPY'!$C$21="",0,'Upto Month COPPY'!$C$21)</f>
        <v>1431</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8686</v>
      </c>
      <c r="Z18" s="9">
        <f>IF('Upto Month COPPY'!$C$43="",0,'Upto Month COPPY'!$C$43)</f>
        <v>234</v>
      </c>
      <c r="AA18" s="9">
        <f>IF('Upto Month COPPY'!$C$44="",0,'Upto Month COPPY'!$C$44)</f>
        <v>459</v>
      </c>
      <c r="AB18" s="9">
        <f>IF('Upto Month COPPY'!$C$48="",0,'Upto Month COPPY'!$C$48)</f>
        <v>0</v>
      </c>
      <c r="AC18" s="10">
        <f>IF('Upto Month COPPY'!$C$51="",0,'Upto Month COPPY'!$C$51)</f>
        <v>0</v>
      </c>
      <c r="AD18" s="233">
        <f t="shared" ref="AD18:AD19" si="28">SUM(C18:AC18)</f>
        <v>2971087</v>
      </c>
      <c r="AE18" s="9">
        <f>IF('Upto Month COPPY'!$C$19="",0,'Upto Month COPPY'!$C$19)</f>
        <v>869</v>
      </c>
      <c r="AF18" s="9">
        <f>IF('Upto Month COPPY'!$C$20="",0,'Upto Month COPPY'!$C$20)</f>
        <v>513</v>
      </c>
      <c r="AG18" s="9">
        <f>IF('Upto Month COPPY'!$C$22="",0,'Upto Month COPPY'!$C$22)</f>
        <v>22255</v>
      </c>
      <c r="AH18" s="9">
        <f>IF('Upto Month COPPY'!$C$23="",0,'Upto Month COPPY'!$C$23)</f>
        <v>0</v>
      </c>
      <c r="AI18" s="9">
        <f>IF('Upto Month COPPY'!$C$24="",0,'Upto Month COPPY'!$C$24)</f>
        <v>0</v>
      </c>
      <c r="AJ18" s="9">
        <f>IF('Upto Month COPPY'!$C$25="",0,'Upto Month COPPY'!$C$25)</f>
        <v>280</v>
      </c>
      <c r="AK18" s="9">
        <f>IF('Upto Month COPPY'!$C$28="",0,'Upto Month COPPY'!$C$28)</f>
        <v>105127</v>
      </c>
      <c r="AL18" s="9">
        <f>IF('Upto Month COPPY'!$C$29="",0,'Upto Month COPPY'!$C$29)</f>
        <v>106549</v>
      </c>
      <c r="AM18" s="9">
        <f>IF('Upto Month COPPY'!$C$31="",0,'Upto Month COPPY'!$C$31)</f>
        <v>0</v>
      </c>
      <c r="AN18" s="9">
        <f>IF('Upto Month COPPY'!$C$32="",0,'Upto Month COPPY'!$C$32)</f>
        <v>63785</v>
      </c>
      <c r="AO18" s="9">
        <f>IF('Upto Month COPPY'!$C$33="",0,'Upto Month COPPY'!$C$33)</f>
        <v>438595</v>
      </c>
      <c r="AP18" s="9">
        <f>IF('Upto Month COPPY'!$C$34="",0,'Upto Month COPPY'!$C$34)</f>
        <v>101775</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61</v>
      </c>
      <c r="AX18" s="9">
        <f>IF('Upto Month COPPY'!$C$46="",0,'Upto Month COPPY'!$C$46)</f>
        <v>926</v>
      </c>
      <c r="AY18" s="9">
        <f>IF('Upto Month COPPY'!$C$47="",0,'Upto Month COPPY'!$C$47)</f>
        <v>0</v>
      </c>
      <c r="AZ18" s="9">
        <f>IF('Upto Month COPPY'!$C$49="",0,'Upto Month COPPY'!$C$49)</f>
        <v>0</v>
      </c>
      <c r="BA18" s="9">
        <f>IF('Upto Month COPPY'!$C$50="",0,'Upto Month COPPY'!$C$50)</f>
        <v>0</v>
      </c>
      <c r="BB18" s="10">
        <f>IF('Upto Month COPPY'!$C$52="",0,'Upto Month COPPY'!$C$52)</f>
        <v>0</v>
      </c>
      <c r="BC18" s="9">
        <f>IF('Upto Month COPPY'!$C$53="",0,'Upto Month COPPY'!$C$53)</f>
        <v>15354</v>
      </c>
      <c r="BD18" s="9">
        <f>IF('Upto Month COPPY'!$C$54="",0,'Upto Month COPPY'!$C$54)</f>
        <v>15354</v>
      </c>
      <c r="BE18" s="9">
        <f>IF('Upto Month COPPY'!$C$55="",0,'Upto Month COPPY'!$C$55)</f>
        <v>0</v>
      </c>
      <c r="BF18" s="9">
        <f>IF('Upto Month COPPY'!$C$56="",0,'Upto Month COPPY'!$C$56)</f>
        <v>4590</v>
      </c>
      <c r="BG18" s="9">
        <f>IF('Upto Month COPPY'!$C$58="",0,'Upto Month COPPY'!$C$58)</f>
        <v>5677</v>
      </c>
      <c r="BH18" s="9">
        <f>SUM(AE18:BG18)</f>
        <v>881710</v>
      </c>
      <c r="BI18" s="226">
        <f>AD18+BH18</f>
        <v>3852797</v>
      </c>
      <c r="BJ18" s="9">
        <f>IF('Upto Month COPPY'!$C$60="",0,'Upto Month COPPY'!$C$60)</f>
        <v>2996</v>
      </c>
      <c r="BK18" s="49">
        <f t="shared" ref="BK18:BK19" si="29">BI18-BJ18</f>
        <v>3849801</v>
      </c>
      <c r="BL18">
        <f>'Upto Month COPPY'!$C$61</f>
        <v>3849799</v>
      </c>
      <c r="BM18" s="30">
        <f t="shared" ref="BM18:BM22" si="30">BK18-AD18</f>
        <v>878714</v>
      </c>
    </row>
    <row r="19" spans="1:65" ht="15.75" x14ac:dyDescent="0.25">
      <c r="A19" s="128"/>
      <c r="B19" s="182" t="s">
        <v>326</v>
      </c>
      <c r="C19" s="9">
        <f>IF('Upto Month Current'!$C$4="",0,'Upto Month Current'!$C$4)</f>
        <v>2022589</v>
      </c>
      <c r="D19" s="9">
        <f>IF('Upto Month Current'!$C$5="",0,'Upto Month Current'!$C$5)</f>
        <v>405794</v>
      </c>
      <c r="E19" s="9">
        <f>IF('Upto Month Current'!$C$6="",0,'Upto Month Current'!$C$6)</f>
        <v>1085</v>
      </c>
      <c r="F19" s="9">
        <f>IF('Upto Month Current'!$C$7="",0,'Upto Month Current'!$C$7)</f>
        <v>151918</v>
      </c>
      <c r="G19" s="9">
        <f>IF('Upto Month Current'!$C$8="",0,'Upto Month Current'!$C$8)</f>
        <v>116102</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29926</v>
      </c>
      <c r="M19" s="9">
        <f>IF('Upto Month Current'!$C$14="",0,'Upto Month Current'!$C$14)</f>
        <v>244961</v>
      </c>
      <c r="N19" s="9">
        <f>IF('Upto Month Current'!$C$15="",0,'Upto Month Current'!$C$15)</f>
        <v>147</v>
      </c>
      <c r="O19" s="9">
        <f>IF('Upto Month Current'!$C$16="",0,'Upto Month Current'!$C$16)</f>
        <v>2373</v>
      </c>
      <c r="P19" s="9">
        <f>IF('Upto Month Current'!$C$17="",0,'Upto Month Current'!$C$17)</f>
        <v>142461</v>
      </c>
      <c r="Q19" s="9">
        <f>IF('Upto Month Current'!$C$18="",0,'Upto Month Current'!$C$18)</f>
        <v>0</v>
      </c>
      <c r="R19" s="9">
        <f>IF('Upto Month Current'!$C$21="",0,'Upto Month Current'!$C$21)</f>
        <v>2299</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21489</v>
      </c>
      <c r="Z19" s="9">
        <f>IF('Upto Month Current'!$C$43="",0,'Upto Month Current'!$C$43)</f>
        <v>1845</v>
      </c>
      <c r="AA19" s="9">
        <f>IF('Upto Month Current'!$C$44="",0,'Upto Month Current'!$C$44)</f>
        <v>993</v>
      </c>
      <c r="AB19" s="9">
        <f>IF('Upto Month Current'!$C$48="",0,'Upto Month Current'!$C$48)</f>
        <v>0</v>
      </c>
      <c r="AC19" s="10">
        <f>IF('Upto Month Current'!$C$51="",0,'Upto Month Current'!$C$51)</f>
        <v>0</v>
      </c>
      <c r="AD19" s="233">
        <f t="shared" si="28"/>
        <v>3143982</v>
      </c>
      <c r="AE19" s="9">
        <f>IF('Upto Month Current'!$C$19="",0,'Upto Month Current'!$C$19)</f>
        <v>1225</v>
      </c>
      <c r="AF19" s="9">
        <f>IF('Upto Month Current'!$C$20="",0,'Upto Month Current'!$C$20)</f>
        <v>357</v>
      </c>
      <c r="AG19" s="9">
        <f>IF('Upto Month Current'!$C$22="",0,'Upto Month Current'!$C$22)</f>
        <v>18652</v>
      </c>
      <c r="AH19" s="9">
        <f>IF('Upto Month Current'!$C$23="",0,'Upto Month Current'!$C$23)</f>
        <v>0</v>
      </c>
      <c r="AI19" s="9">
        <f>IF('Upto Month Current'!$C$24="",0,'Upto Month Current'!$C$24)</f>
        <v>0</v>
      </c>
      <c r="AJ19" s="9">
        <f>IF('Upto Month Current'!$C$25="",0,'Upto Month Current'!$C$25)</f>
        <v>44</v>
      </c>
      <c r="AK19" s="9">
        <f>IF('Upto Month Current'!$C$28="",0,'Upto Month Current'!$C$28)</f>
        <v>65249</v>
      </c>
      <c r="AL19" s="9">
        <f>IF('Upto Month Current'!$C$29="",0,'Upto Month Current'!$C$29)</f>
        <v>98850</v>
      </c>
      <c r="AM19" s="9">
        <f>IF('Upto Month Current'!$C$31="",0,'Upto Month Current'!$C$31)</f>
        <v>0</v>
      </c>
      <c r="AN19" s="9">
        <f>IF('Upto Month Current'!$C$32="",0,'Upto Month Current'!$C$32)</f>
        <v>75400</v>
      </c>
      <c r="AO19" s="9">
        <f>IF('Upto Month Current'!$C$33="",0,'Upto Month Current'!$C$33)</f>
        <v>390583</v>
      </c>
      <c r="AP19" s="9">
        <f>IF('Upto Month Current'!$C$34="",0,'Upto Month Current'!$C$34)</f>
        <v>192098</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348</v>
      </c>
      <c r="AY19" s="9">
        <f>IF('Upto Month Current'!$C$47="",0,'Upto Month Current'!$C$47)</f>
        <v>0</v>
      </c>
      <c r="AZ19" s="9">
        <f>IF('Upto Month Current'!$C$49="",0,'Upto Month Current'!$C$49)</f>
        <v>0</v>
      </c>
      <c r="BA19" s="9">
        <f>IF('Upto Month Current'!$C$50="",0,'Upto Month Current'!$C$50)</f>
        <v>0</v>
      </c>
      <c r="BB19" s="10">
        <f>IF('Upto Month Current'!$C$52="",0,'Upto Month Current'!$C$52)</f>
        <v>0</v>
      </c>
      <c r="BC19" s="9">
        <f>IF('Upto Month Current'!$C$53="",0,'Upto Month Current'!$C$53)</f>
        <v>17545</v>
      </c>
      <c r="BD19" s="9">
        <f>IF('Upto Month Current'!$C$54="",0,'Upto Month Current'!$C$54)</f>
        <v>17545</v>
      </c>
      <c r="BE19" s="9">
        <f>IF('Upto Month Current'!$C$55="",0,'Upto Month Current'!$C$55)</f>
        <v>0</v>
      </c>
      <c r="BF19" s="9">
        <f>IF('Upto Month Current'!$C$56="",0,'Upto Month Current'!$C$56)</f>
        <v>4884</v>
      </c>
      <c r="BG19" s="9">
        <f>IF('Upto Month Current'!$C$58="",0,'Upto Month Current'!$C$58)</f>
        <v>5212</v>
      </c>
      <c r="BH19" s="9">
        <f>SUM(AE19:BG19)</f>
        <v>887992</v>
      </c>
      <c r="BI19" s="226">
        <f>AD19+BH19</f>
        <v>4031974</v>
      </c>
      <c r="BJ19" s="9">
        <f>IF('Upto Month Current'!$C$60="",0,'Upto Month Current'!$C$60)</f>
        <v>67987</v>
      </c>
      <c r="BK19" s="49">
        <f t="shared" si="29"/>
        <v>3963987</v>
      </c>
      <c r="BL19">
        <f>'Upto Month Current'!$C$61</f>
        <v>3963988</v>
      </c>
      <c r="BM19" s="30">
        <f t="shared" si="30"/>
        <v>820005</v>
      </c>
    </row>
    <row r="20" spans="1:65" ht="15.75" x14ac:dyDescent="0.25">
      <c r="A20" s="128"/>
      <c r="B20" s="5" t="s">
        <v>132</v>
      </c>
      <c r="C20" s="11">
        <f>C19-C17</f>
        <v>-79232</v>
      </c>
      <c r="D20" s="11">
        <f t="shared" ref="D20" si="31">D19-D17</f>
        <v>-77627</v>
      </c>
      <c r="E20" s="11">
        <f t="shared" ref="E20" si="32">E19-E17</f>
        <v>1086</v>
      </c>
      <c r="F20" s="11">
        <f t="shared" ref="F20" si="33">F19-F17</f>
        <v>-17313</v>
      </c>
      <c r="G20" s="11">
        <f t="shared" ref="G20" si="34">G19-G17</f>
        <v>-5108</v>
      </c>
      <c r="H20" s="11">
        <f t="shared" ref="H20" si="35">H19-H17</f>
        <v>0</v>
      </c>
      <c r="I20" s="11">
        <f t="shared" ref="I20" si="36">I19-I17</f>
        <v>0</v>
      </c>
      <c r="J20" s="11">
        <f t="shared" ref="J20" si="37">J19-J17</f>
        <v>0</v>
      </c>
      <c r="K20" s="11">
        <f t="shared" ref="K20" si="38">K19-K17</f>
        <v>0</v>
      </c>
      <c r="L20" s="11">
        <f t="shared" ref="L20" si="39">L19-L17</f>
        <v>-3069</v>
      </c>
      <c r="M20" s="11">
        <f t="shared" ref="M20" si="40">M19-M17</f>
        <v>21050</v>
      </c>
      <c r="N20" s="11">
        <f t="shared" ref="N20" si="41">N19-N17</f>
        <v>-134</v>
      </c>
      <c r="O20" s="11">
        <f t="shared" ref="O20" si="42">O19-O17</f>
        <v>-1955</v>
      </c>
      <c r="P20" s="11">
        <f t="shared" ref="P20" si="43">P19-P17</f>
        <v>20472</v>
      </c>
      <c r="Q20" s="11">
        <f t="shared" ref="Q20" si="44">Q19-Q17</f>
        <v>0</v>
      </c>
      <c r="R20" s="11">
        <f t="shared" ref="R20" si="45">R19-R17</f>
        <v>-1156</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16558</v>
      </c>
      <c r="Z20" s="11">
        <f t="shared" ref="Z20" si="52">Z19-Z17</f>
        <v>1532</v>
      </c>
      <c r="AA20" s="11">
        <f t="shared" ref="AA20:AD20" si="53">AA19-AA17</f>
        <v>418</v>
      </c>
      <c r="AB20" s="11">
        <f t="shared" ref="AB20" si="54">AB19-AB17</f>
        <v>-3829</v>
      </c>
      <c r="AC20" s="10">
        <f t="shared" si="53"/>
        <v>0</v>
      </c>
      <c r="AD20" s="227">
        <f t="shared" si="53"/>
        <v>-128307</v>
      </c>
      <c r="AE20" s="11">
        <f t="shared" ref="AE20" si="55">AE19-AE17</f>
        <v>-188</v>
      </c>
      <c r="AF20" s="11">
        <f t="shared" ref="AF20" si="56">AF19-AF17</f>
        <v>-85</v>
      </c>
      <c r="AG20" s="11">
        <f t="shared" ref="AG20" si="57">AG19-AG17</f>
        <v>11269</v>
      </c>
      <c r="AH20" s="11">
        <f t="shared" ref="AH20" si="58">AH19-AH17</f>
        <v>0</v>
      </c>
      <c r="AI20" s="11">
        <f t="shared" ref="AI20" si="59">AI19-AI17</f>
        <v>0</v>
      </c>
      <c r="AJ20" s="11">
        <f t="shared" ref="AJ20" si="60">AJ19-AJ17</f>
        <v>-17</v>
      </c>
      <c r="AK20" s="11">
        <f t="shared" ref="AK20" si="61">AK19-AK17</f>
        <v>-51094</v>
      </c>
      <c r="AL20" s="11">
        <f t="shared" ref="AL20" si="62">AL19-AL17</f>
        <v>-26512</v>
      </c>
      <c r="AM20" s="11">
        <f t="shared" ref="AM20" si="63">AM19-AM17</f>
        <v>0</v>
      </c>
      <c r="AN20" s="11">
        <f t="shared" ref="AN20" si="64">AN19-AN17</f>
        <v>30950</v>
      </c>
      <c r="AO20" s="9">
        <f t="shared" ref="AO20" si="65">AO19-AO17</f>
        <v>22961</v>
      </c>
      <c r="AP20" s="11">
        <f t="shared" ref="AP20" si="66">AP19-AP17</f>
        <v>184041</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-1198</v>
      </c>
      <c r="AX20" s="11">
        <f t="shared" ref="AX20" si="74">AX19-AX17</f>
        <v>-691</v>
      </c>
      <c r="AY20" s="11">
        <f t="shared" ref="AY20" si="75">AY19-AY17</f>
        <v>-601</v>
      </c>
      <c r="AZ20" s="11">
        <f t="shared" ref="AZ20" si="76">AZ19-AZ17</f>
        <v>0</v>
      </c>
      <c r="BA20" s="11">
        <f t="shared" ref="BA20" si="77">BA19-BA17</f>
        <v>0</v>
      </c>
      <c r="BB20" s="10">
        <f t="shared" ref="BB20" si="78">BB19-BB17</f>
        <v>0</v>
      </c>
      <c r="BC20" s="11">
        <f t="shared" ref="BC20" si="79">BC19-BC17</f>
        <v>4093</v>
      </c>
      <c r="BD20" s="11">
        <f t="shared" ref="BD20" si="80">BD19-BD17</f>
        <v>4091</v>
      </c>
      <c r="BE20" s="11">
        <f t="shared" ref="BE20" si="81">BE19-BE17</f>
        <v>0</v>
      </c>
      <c r="BF20" s="11">
        <f t="shared" ref="BF20" si="82">BF19-BF17</f>
        <v>305</v>
      </c>
      <c r="BG20" s="11">
        <f t="shared" ref="BG20:BH20" si="83">BG19-BG17</f>
        <v>-4631</v>
      </c>
      <c r="BH20" s="9">
        <f t="shared" si="83"/>
        <v>172693</v>
      </c>
      <c r="BI20" s="227">
        <f t="shared" ref="BI20" si="84">BI19-BI17</f>
        <v>44386</v>
      </c>
      <c r="BJ20" s="11">
        <f t="shared" ref="BJ20:BK20" si="85">BJ19-BJ17</f>
        <v>54258</v>
      </c>
      <c r="BK20" s="49">
        <f t="shared" si="85"/>
        <v>-9872</v>
      </c>
      <c r="BM20" s="30">
        <f t="shared" si="30"/>
        <v>118435</v>
      </c>
    </row>
    <row r="21" spans="1:65" ht="15.75" x14ac:dyDescent="0.25">
      <c r="A21" s="128"/>
      <c r="B21" s="5" t="s">
        <v>133</v>
      </c>
      <c r="C21" s="13">
        <f>C20/C17</f>
        <v>-3.7696835268084199E-2</v>
      </c>
      <c r="D21" s="13">
        <f t="shared" ref="D21" si="86">D20/D17</f>
        <v>-0.16057846059645733</v>
      </c>
      <c r="E21" s="13">
        <f t="shared" ref="E21" si="87">E20/E17</f>
        <v>-1086</v>
      </c>
      <c r="F21" s="13">
        <f t="shared" ref="F21" si="88">F20/F17</f>
        <v>-0.10230395140370263</v>
      </c>
      <c r="G21" s="13">
        <f t="shared" ref="G21" si="89">G20/G17</f>
        <v>-4.2141737480405908E-2</v>
      </c>
      <c r="H21" s="13" t="e">
        <f t="shared" ref="H21" si="90">H20/H17</f>
        <v>#DIV/0!</v>
      </c>
      <c r="I21" s="13" t="e">
        <f t="shared" ref="I21" si="91">I20/I17</f>
        <v>#DIV/0!</v>
      </c>
      <c r="J21" s="13" t="e">
        <f t="shared" ref="J21" si="92">J20/J17</f>
        <v>#DIV/0!</v>
      </c>
      <c r="K21" s="13" t="e">
        <f t="shared" ref="K21" si="93">K20/K17</f>
        <v>#DIV/0!</v>
      </c>
      <c r="L21" s="13">
        <f t="shared" ref="L21" si="94">L20/L17</f>
        <v>-9.301409304440067E-2</v>
      </c>
      <c r="M21" s="13">
        <f t="shared" ref="M21" si="95">M20/M17</f>
        <v>9.4010566698375694E-2</v>
      </c>
      <c r="N21" s="13">
        <f t="shared" ref="N21" si="96">N20/N17</f>
        <v>-0.47686832740213525</v>
      </c>
      <c r="O21" s="13">
        <f t="shared" ref="O21" si="97">O20/O17</f>
        <v>-0.45170979667282812</v>
      </c>
      <c r="P21" s="13">
        <f t="shared" ref="P21" si="98">P20/P17</f>
        <v>0.16781840985662641</v>
      </c>
      <c r="Q21" s="13" t="e">
        <f t="shared" ref="Q21" si="99">Q20/Q17</f>
        <v>#DIV/0!</v>
      </c>
      <c r="R21" s="13">
        <f t="shared" ref="R21" si="100">R20/R17</f>
        <v>-0.33458755426917514</v>
      </c>
      <c r="S21" s="13" t="e">
        <f t="shared" ref="S21" si="101">S20/S17</f>
        <v>#DIV/0!</v>
      </c>
      <c r="T21" s="13" t="e">
        <f t="shared" ref="T21:U21" si="102">T20/T17</f>
        <v>#DIV/0!</v>
      </c>
      <c r="U21" s="13" t="e">
        <f t="shared" si="102"/>
        <v>#DIV/0!</v>
      </c>
      <c r="V21" s="162" t="e">
        <f t="shared" ref="V21" si="103">V20/V17</f>
        <v>#DIV/0!</v>
      </c>
      <c r="W21" s="13" t="e">
        <f t="shared" ref="W21" si="104">W20/W17</f>
        <v>#DIV/0!</v>
      </c>
      <c r="X21" s="13" t="e">
        <f t="shared" ref="X21" si="105">X20/X17</f>
        <v>#DIV/0!</v>
      </c>
      <c r="Y21" s="13">
        <f t="shared" ref="Y21" si="106">Y20/Y17</f>
        <v>3.357939566010951</v>
      </c>
      <c r="Z21" s="13">
        <f t="shared" ref="Z21" si="107">Z20/Z17</f>
        <v>4.8945686900958467</v>
      </c>
      <c r="AA21" s="13">
        <f t="shared" ref="AA21:AD21" si="108">AA20/AA17</f>
        <v>0.72695652173913039</v>
      </c>
      <c r="AB21" s="13">
        <f t="shared" ref="AB21" si="109">AB20/AB17</f>
        <v>-1</v>
      </c>
      <c r="AC21" s="14" t="e">
        <f t="shared" si="108"/>
        <v>#DIV/0!</v>
      </c>
      <c r="AD21" s="228">
        <f t="shared" si="108"/>
        <v>-3.921016756160596E-2</v>
      </c>
      <c r="AE21" s="13">
        <f t="shared" ref="AE21" si="110">AE20/AE17</f>
        <v>-0.13305024769992924</v>
      </c>
      <c r="AF21" s="13">
        <f t="shared" ref="AF21" si="111">AF20/AF17</f>
        <v>-0.19230769230769232</v>
      </c>
      <c r="AG21" s="13">
        <f t="shared" ref="AG21" si="112">AG20/AG17</f>
        <v>1.5263443044832723</v>
      </c>
      <c r="AH21" s="13" t="e">
        <f t="shared" ref="AH21" si="113">AH20/AH17</f>
        <v>#DIV/0!</v>
      </c>
      <c r="AI21" s="13" t="e">
        <f t="shared" ref="AI21" si="114">AI20/AI17</f>
        <v>#DIV/0!</v>
      </c>
      <c r="AJ21" s="13">
        <f t="shared" ref="AJ21" si="115">AJ20/AJ17</f>
        <v>-0.27868852459016391</v>
      </c>
      <c r="AK21" s="13">
        <f t="shared" ref="AK21" si="116">AK20/AK17</f>
        <v>-0.43916694601308198</v>
      </c>
      <c r="AL21" s="13">
        <f t="shared" ref="AL21" si="117">AL20/AL17</f>
        <v>-0.21148354365756769</v>
      </c>
      <c r="AM21" s="13" t="e">
        <f t="shared" ref="AM21" si="118">AM20/AM17</f>
        <v>#DIV/0!</v>
      </c>
      <c r="AN21" s="13">
        <f t="shared" ref="AN21" si="119">AN20/AN17</f>
        <v>0.69628796400449944</v>
      </c>
      <c r="AO21" s="162">
        <f t="shared" ref="AO21" si="120">AO20/AO17</f>
        <v>6.2458177149354498E-2</v>
      </c>
      <c r="AP21" s="13">
        <f t="shared" ref="AP21" si="121">AP20/AP17</f>
        <v>22.842373091721484</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-1</v>
      </c>
      <c r="AX21" s="13">
        <f t="shared" ref="AX21" si="129">AX20/AX17</f>
        <v>-0.66506256015399423</v>
      </c>
      <c r="AY21" s="13">
        <f t="shared" ref="AY21" si="130">AY20/AY17</f>
        <v>-1</v>
      </c>
      <c r="AZ21" s="13" t="e">
        <f t="shared" ref="AZ21" si="131">AZ20/AZ17</f>
        <v>#DIV/0!</v>
      </c>
      <c r="BA21" s="13" t="e">
        <f t="shared" ref="BA21" si="132">BA20/BA17</f>
        <v>#DIV/0!</v>
      </c>
      <c r="BB21" s="14" t="e">
        <f t="shared" ref="BB21" si="133">BB20/BB17</f>
        <v>#DIV/0!</v>
      </c>
      <c r="BC21" s="13">
        <f t="shared" ref="BC21" si="134">BC20/BC17</f>
        <v>0.30426702349093071</v>
      </c>
      <c r="BD21" s="13">
        <f t="shared" ref="BD21" si="135">BD20/BD17</f>
        <v>0.30407313810019326</v>
      </c>
      <c r="BE21" s="13" t="e">
        <f t="shared" ref="BE21" si="136">BE20/BE17</f>
        <v>#DIV/0!</v>
      </c>
      <c r="BF21" s="13">
        <f t="shared" ref="BF21" si="137">BF20/BF17</f>
        <v>6.6608429788163351E-2</v>
      </c>
      <c r="BG21" s="13">
        <f t="shared" ref="BG21:BH21" si="138">BG20/BG17</f>
        <v>-0.47048664025195569</v>
      </c>
      <c r="BH21" s="162">
        <f t="shared" si="138"/>
        <v>0.24142771064967236</v>
      </c>
      <c r="BI21" s="228">
        <f t="shared" ref="BI21" si="139">BI20/BI17</f>
        <v>1.1131039615928226E-2</v>
      </c>
      <c r="BJ21" s="13">
        <f t="shared" ref="BJ21:BK21" si="140">BJ20/BJ17</f>
        <v>3.9520722558088717</v>
      </c>
      <c r="BK21" s="50">
        <f t="shared" si="140"/>
        <v>-2.4842350974204168E-3</v>
      </c>
      <c r="BM21" s="162" t="e">
        <f t="shared" ref="BM21" si="141">BM20/BM17</f>
        <v>#DIV/0!</v>
      </c>
    </row>
    <row r="22" spans="1:65" ht="15.75" x14ac:dyDescent="0.25">
      <c r="A22" s="128"/>
      <c r="B22" s="5" t="s">
        <v>134</v>
      </c>
      <c r="C22" s="11">
        <f>C19-C18</f>
        <v>51994</v>
      </c>
      <c r="D22" s="11">
        <f t="shared" ref="D22:BK22" si="142">D19-D18</f>
        <v>90971</v>
      </c>
      <c r="E22" s="11">
        <f t="shared" si="142"/>
        <v>-1229</v>
      </c>
      <c r="F22" s="11">
        <f t="shared" si="142"/>
        <v>6645</v>
      </c>
      <c r="G22" s="11">
        <f t="shared" si="142"/>
        <v>7476</v>
      </c>
      <c r="H22" s="11">
        <f t="shared" si="142"/>
        <v>0</v>
      </c>
      <c r="I22" s="11">
        <f t="shared" si="142"/>
        <v>0</v>
      </c>
      <c r="J22" s="11">
        <f t="shared" si="142"/>
        <v>-156</v>
      </c>
      <c r="K22" s="11">
        <f t="shared" si="142"/>
        <v>-98</v>
      </c>
      <c r="L22" s="11">
        <f t="shared" si="142"/>
        <v>-8540</v>
      </c>
      <c r="M22" s="11">
        <f t="shared" si="142"/>
        <v>21488</v>
      </c>
      <c r="N22" s="11">
        <f t="shared" si="142"/>
        <v>-102</v>
      </c>
      <c r="O22" s="11">
        <f t="shared" si="142"/>
        <v>-1191</v>
      </c>
      <c r="P22" s="11">
        <f t="shared" si="142"/>
        <v>-10179</v>
      </c>
      <c r="Q22" s="11">
        <f t="shared" si="142"/>
        <v>0</v>
      </c>
      <c r="R22" s="11">
        <f t="shared" si="142"/>
        <v>868</v>
      </c>
      <c r="S22" s="11">
        <f t="shared" si="142"/>
        <v>0</v>
      </c>
      <c r="T22" s="11">
        <f t="shared" si="142"/>
        <v>0</v>
      </c>
      <c r="U22" s="11">
        <f t="shared" ref="U22" si="143">U19-U18</f>
        <v>0</v>
      </c>
      <c r="V22" s="9">
        <f t="shared" si="142"/>
        <v>0</v>
      </c>
      <c r="W22" s="11">
        <f t="shared" si="142"/>
        <v>0</v>
      </c>
      <c r="X22" s="11">
        <f t="shared" si="142"/>
        <v>0</v>
      </c>
      <c r="Y22" s="11">
        <f t="shared" si="142"/>
        <v>12803</v>
      </c>
      <c r="Z22" s="11">
        <f t="shared" si="142"/>
        <v>1611</v>
      </c>
      <c r="AA22" s="11">
        <f t="shared" si="142"/>
        <v>534</v>
      </c>
      <c r="AB22" s="11">
        <f t="shared" ref="AB22" si="144">AB19-AB18</f>
        <v>0</v>
      </c>
      <c r="AC22" s="10">
        <f t="shared" ref="AC22:AD22" si="145">AC19-AC18</f>
        <v>0</v>
      </c>
      <c r="AD22" s="227">
        <f t="shared" si="145"/>
        <v>172895</v>
      </c>
      <c r="AE22" s="11">
        <f t="shared" si="142"/>
        <v>356</v>
      </c>
      <c r="AF22" s="11">
        <f t="shared" si="142"/>
        <v>-156</v>
      </c>
      <c r="AG22" s="11">
        <f t="shared" si="142"/>
        <v>-3603</v>
      </c>
      <c r="AH22" s="11">
        <f t="shared" si="142"/>
        <v>0</v>
      </c>
      <c r="AI22" s="11">
        <f t="shared" si="142"/>
        <v>0</v>
      </c>
      <c r="AJ22" s="11">
        <f t="shared" si="142"/>
        <v>-236</v>
      </c>
      <c r="AK22" s="11">
        <f t="shared" si="142"/>
        <v>-39878</v>
      </c>
      <c r="AL22" s="11">
        <f t="shared" si="142"/>
        <v>-7699</v>
      </c>
      <c r="AM22" s="11">
        <f t="shared" si="142"/>
        <v>0</v>
      </c>
      <c r="AN22" s="11">
        <f t="shared" si="142"/>
        <v>11615</v>
      </c>
      <c r="AO22" s="9">
        <f t="shared" si="142"/>
        <v>-48012</v>
      </c>
      <c r="AP22" s="11">
        <f t="shared" si="142"/>
        <v>90323</v>
      </c>
      <c r="AQ22" s="10">
        <f t="shared" si="142"/>
        <v>0</v>
      </c>
      <c r="AR22" s="11">
        <f t="shared" si="142"/>
        <v>0</v>
      </c>
      <c r="AS22" s="11">
        <f t="shared" si="142"/>
        <v>0</v>
      </c>
      <c r="AT22" s="11">
        <f t="shared" si="142"/>
        <v>0</v>
      </c>
      <c r="AU22" s="11">
        <f t="shared" si="142"/>
        <v>0</v>
      </c>
      <c r="AV22" s="11">
        <f t="shared" si="142"/>
        <v>0</v>
      </c>
      <c r="AW22" s="11">
        <f t="shared" si="142"/>
        <v>-61</v>
      </c>
      <c r="AX22" s="11">
        <f t="shared" si="142"/>
        <v>-578</v>
      </c>
      <c r="AY22" s="11">
        <f t="shared" si="142"/>
        <v>0</v>
      </c>
      <c r="AZ22" s="11">
        <f t="shared" si="142"/>
        <v>0</v>
      </c>
      <c r="BA22" s="11">
        <f t="shared" si="142"/>
        <v>0</v>
      </c>
      <c r="BB22" s="10">
        <f t="shared" si="142"/>
        <v>0</v>
      </c>
      <c r="BC22" s="11">
        <f t="shared" si="142"/>
        <v>2191</v>
      </c>
      <c r="BD22" s="11">
        <f t="shared" si="142"/>
        <v>2191</v>
      </c>
      <c r="BE22" s="11">
        <f t="shared" si="142"/>
        <v>0</v>
      </c>
      <c r="BF22" s="11">
        <f t="shared" si="142"/>
        <v>294</v>
      </c>
      <c r="BG22" s="11">
        <f t="shared" si="142"/>
        <v>-465</v>
      </c>
      <c r="BH22" s="9">
        <f t="shared" si="142"/>
        <v>6282</v>
      </c>
      <c r="BI22" s="227">
        <f t="shared" si="142"/>
        <v>179177</v>
      </c>
      <c r="BJ22" s="11">
        <f t="shared" si="142"/>
        <v>64991</v>
      </c>
      <c r="BK22" s="49">
        <f t="shared" si="142"/>
        <v>114186</v>
      </c>
      <c r="BM22" s="30">
        <f t="shared" si="30"/>
        <v>-58709</v>
      </c>
    </row>
    <row r="23" spans="1:65" ht="15.75" x14ac:dyDescent="0.25">
      <c r="A23" s="128"/>
      <c r="B23" s="5" t="s">
        <v>135</v>
      </c>
      <c r="C23" s="13">
        <f>C22/C18</f>
        <v>2.6384924350259693E-2</v>
      </c>
      <c r="D23" s="13">
        <f t="shared" ref="D23" si="146">D22/D18</f>
        <v>0.28895919294333644</v>
      </c>
      <c r="E23" s="13">
        <f t="shared" ref="E23" si="147">E22/E18</f>
        <v>-0.53111495246326712</v>
      </c>
      <c r="F23" s="13">
        <f t="shared" ref="F23" si="148">F22/F18</f>
        <v>4.5741466067335292E-2</v>
      </c>
      <c r="G23" s="13">
        <f t="shared" ref="G23" si="149">G22/G18</f>
        <v>6.8823301971903603E-2</v>
      </c>
      <c r="H23" s="13" t="e">
        <f t="shared" ref="H23" si="150">H22/H18</f>
        <v>#DIV/0!</v>
      </c>
      <c r="I23" s="13" t="e">
        <f t="shared" ref="I23" si="151">I22/I18</f>
        <v>#DIV/0!</v>
      </c>
      <c r="J23" s="13">
        <f t="shared" ref="J23" si="152">J22/J18</f>
        <v>-1</v>
      </c>
      <c r="K23" s="13">
        <f t="shared" ref="K23" si="153">K22/K18</f>
        <v>-1</v>
      </c>
      <c r="L23" s="13">
        <f t="shared" ref="L23" si="154">L22/L18</f>
        <v>-0.2220142463474237</v>
      </c>
      <c r="M23" s="13">
        <f t="shared" ref="M23" si="155">M22/M18</f>
        <v>9.6154792749012188E-2</v>
      </c>
      <c r="N23" s="13">
        <f t="shared" ref="N23" si="156">N22/N18</f>
        <v>-0.40963855421686746</v>
      </c>
      <c r="O23" s="13">
        <f t="shared" ref="O23" si="157">O22/O18</f>
        <v>-0.33417508417508418</v>
      </c>
      <c r="P23" s="13">
        <f t="shared" ref="P23" si="158">P22/P18</f>
        <v>-6.6686320754716977E-2</v>
      </c>
      <c r="Q23" s="13" t="e">
        <f t="shared" ref="Q23" si="159">Q22/Q18</f>
        <v>#DIV/0!</v>
      </c>
      <c r="R23" s="13">
        <f t="shared" ref="R23" si="160">R22/R18</f>
        <v>0.60656883298392728</v>
      </c>
      <c r="S23" s="13" t="e">
        <f t="shared" ref="S23" si="161">S22/S18</f>
        <v>#DIV/0!</v>
      </c>
      <c r="T23" s="13" t="e">
        <f t="shared" ref="T23:U23" si="162">T22/T18</f>
        <v>#DIV/0!</v>
      </c>
      <c r="U23" s="13" t="e">
        <f t="shared" si="162"/>
        <v>#DIV/0!</v>
      </c>
      <c r="V23" s="162" t="e">
        <f t="shared" ref="V23" si="163">V22/V18</f>
        <v>#DIV/0!</v>
      </c>
      <c r="W23" s="13" t="e">
        <f t="shared" ref="W23" si="164">W22/W18</f>
        <v>#DIV/0!</v>
      </c>
      <c r="X23" s="13" t="e">
        <f t="shared" ref="X23" si="165">X22/X18</f>
        <v>#DIV/0!</v>
      </c>
      <c r="Y23" s="13">
        <f t="shared" ref="Y23" si="166">Y22/Y18</f>
        <v>1.4739811190421368</v>
      </c>
      <c r="Z23" s="13">
        <f t="shared" ref="Z23" si="167">Z22/Z18</f>
        <v>6.884615384615385</v>
      </c>
      <c r="AA23" s="13">
        <f t="shared" ref="AA23:AD23" si="168">AA22/AA18</f>
        <v>1.1633986928104576</v>
      </c>
      <c r="AB23" s="13" t="e">
        <f t="shared" ref="AB23" si="169">AB22/AB18</f>
        <v>#DIV/0!</v>
      </c>
      <c r="AC23" s="14" t="e">
        <f t="shared" si="168"/>
        <v>#DIV/0!</v>
      </c>
      <c r="AD23" s="228">
        <f t="shared" si="168"/>
        <v>5.8192506648240189E-2</v>
      </c>
      <c r="AE23" s="13">
        <f t="shared" ref="AE23" si="170">AE22/AE18</f>
        <v>0.4096662830840046</v>
      </c>
      <c r="AF23" s="13">
        <f t="shared" ref="AF23" si="171">AF22/AF18</f>
        <v>-0.30409356725146197</v>
      </c>
      <c r="AG23" s="13">
        <f t="shared" ref="AG23" si="172">AG22/AG18</f>
        <v>-0.16189620310042688</v>
      </c>
      <c r="AH23" s="13" t="e">
        <f t="shared" ref="AH23" si="173">AH22/AH18</f>
        <v>#DIV/0!</v>
      </c>
      <c r="AI23" s="13" t="e">
        <f t="shared" ref="AI23" si="174">AI22/AI18</f>
        <v>#DIV/0!</v>
      </c>
      <c r="AJ23" s="13">
        <f t="shared" ref="AJ23" si="175">AJ22/AJ18</f>
        <v>-0.84285714285714286</v>
      </c>
      <c r="AK23" s="13">
        <f t="shared" ref="AK23" si="176">AK22/AK18</f>
        <v>-0.37933166550933634</v>
      </c>
      <c r="AL23" s="13">
        <f t="shared" ref="AL23" si="177">AL22/AL18</f>
        <v>-7.2257834423598538E-2</v>
      </c>
      <c r="AM23" s="13" t="e">
        <f t="shared" ref="AM23" si="178">AM22/AM18</f>
        <v>#DIV/0!</v>
      </c>
      <c r="AN23" s="13">
        <f t="shared" ref="AN23" si="179">AN22/AN18</f>
        <v>0.18209610409970997</v>
      </c>
      <c r="AO23" s="162">
        <f t="shared" ref="AO23" si="180">AO22/AO18</f>
        <v>-0.10946773219028945</v>
      </c>
      <c r="AP23" s="13">
        <f t="shared" ref="AP23" si="181">AP22/AP18</f>
        <v>0.88747727830999756</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-1</v>
      </c>
      <c r="AX23" s="13">
        <f t="shared" ref="AX23" si="189">AX22/AX18</f>
        <v>-0.62419006479481642</v>
      </c>
      <c r="AY23" s="13" t="e">
        <f t="shared" ref="AY23" si="190">AY22/AY18</f>
        <v>#DIV/0!</v>
      </c>
      <c r="AZ23" s="13" t="e">
        <f t="shared" ref="AZ23" si="191">AZ22/AZ18</f>
        <v>#DIV/0!</v>
      </c>
      <c r="BA23" s="13" t="e">
        <f t="shared" ref="BA23" si="192">BA22/BA18</f>
        <v>#DIV/0!</v>
      </c>
      <c r="BB23" s="14" t="e">
        <f t="shared" ref="BB23" si="193">BB22/BB18</f>
        <v>#DIV/0!</v>
      </c>
      <c r="BC23" s="13">
        <f t="shared" ref="BC23" si="194">BC22/BC18</f>
        <v>0.14269897095219486</v>
      </c>
      <c r="BD23" s="13">
        <f t="shared" ref="BD23" si="195">BD22/BD18</f>
        <v>0.14269897095219486</v>
      </c>
      <c r="BE23" s="13" t="e">
        <f t="shared" ref="BE23" si="196">BE22/BE18</f>
        <v>#DIV/0!</v>
      </c>
      <c r="BF23" s="13">
        <f t="shared" ref="BF23" si="197">BF22/BF18</f>
        <v>6.4052287581699341E-2</v>
      </c>
      <c r="BG23" s="13">
        <f t="shared" ref="BG23:BH23" si="198">BG22/BG18</f>
        <v>-8.1909459221419761E-2</v>
      </c>
      <c r="BH23" s="162">
        <f t="shared" si="198"/>
        <v>7.1247915981445149E-3</v>
      </c>
      <c r="BI23" s="228">
        <f t="shared" ref="BI23" si="199">BI22/BI18</f>
        <v>4.6505694434458913E-2</v>
      </c>
      <c r="BJ23" s="13">
        <f t="shared" ref="BJ23:BK23" si="200">BJ22/BJ18</f>
        <v>21.692590120160215</v>
      </c>
      <c r="BK23" s="50">
        <f t="shared" si="200"/>
        <v>2.9660234386140998E-2</v>
      </c>
      <c r="BM23" s="14">
        <f t="shared" ref="BM23" si="201">BM22/BM18</f>
        <v>-6.6812409953636798E-2</v>
      </c>
    </row>
    <row r="24" spans="1:65" ht="15.75" x14ac:dyDescent="0.25">
      <c r="A24" s="128"/>
      <c r="B24" s="5" t="s">
        <v>296</v>
      </c>
      <c r="C24" s="126">
        <f t="shared" ref="C24:AI24" si="202">C19/C16</f>
        <v>0.42341347306235366</v>
      </c>
      <c r="D24" s="126">
        <f t="shared" si="202"/>
        <v>0.2984582615615673</v>
      </c>
      <c r="E24" s="126">
        <f t="shared" si="202"/>
        <v>3.9751889588668697E-3</v>
      </c>
      <c r="F24" s="126">
        <f t="shared" si="202"/>
        <v>0.39493277319662667</v>
      </c>
      <c r="G24" s="126">
        <f t="shared" si="202"/>
        <v>0.42144734358438241</v>
      </c>
      <c r="H24" s="126" t="e">
        <f t="shared" si="202"/>
        <v>#DIV/0!</v>
      </c>
      <c r="I24" s="126" t="e">
        <f t="shared" si="202"/>
        <v>#DIV/0!</v>
      </c>
      <c r="J24" s="126" t="e">
        <f t="shared" si="202"/>
        <v>#DIV/0!</v>
      </c>
      <c r="K24" s="126" t="e">
        <f t="shared" si="202"/>
        <v>#DIV/0!</v>
      </c>
      <c r="L24" s="126">
        <f t="shared" si="202"/>
        <v>0.39907718568304262</v>
      </c>
      <c r="M24" s="126">
        <f t="shared" si="202"/>
        <v>0.48136146765914967</v>
      </c>
      <c r="N24" s="126">
        <f t="shared" si="202"/>
        <v>0.2304075235109718</v>
      </c>
      <c r="O24" s="126">
        <f t="shared" si="202"/>
        <v>0.24125660837738919</v>
      </c>
      <c r="P24" s="126">
        <f t="shared" si="202"/>
        <v>0.51384886182879275</v>
      </c>
      <c r="Q24" s="126" t="e">
        <f t="shared" si="202"/>
        <v>#DIV/0!</v>
      </c>
      <c r="R24" s="126">
        <f t="shared" si="202"/>
        <v>0.29267982176957352</v>
      </c>
      <c r="S24" s="126" t="e">
        <f t="shared" si="202"/>
        <v>#DIV/0!</v>
      </c>
      <c r="T24" s="126" t="e">
        <f t="shared" si="202"/>
        <v>#DIV/0!</v>
      </c>
      <c r="U24" s="126" t="e">
        <f t="shared" si="202"/>
        <v>#DIV/0!</v>
      </c>
      <c r="V24" s="177" t="e">
        <f t="shared" si="202"/>
        <v>#DIV/0!</v>
      </c>
      <c r="W24" s="126" t="e">
        <f t="shared" si="202"/>
        <v>#DIV/0!</v>
      </c>
      <c r="X24" s="126" t="e">
        <f t="shared" si="202"/>
        <v>#DIV/0!</v>
      </c>
      <c r="Y24" s="126">
        <f t="shared" si="202"/>
        <v>1.9178045515394913</v>
      </c>
      <c r="Z24" s="126">
        <f t="shared" si="202"/>
        <v>2.5985915492957745</v>
      </c>
      <c r="AA24" s="126">
        <f t="shared" si="202"/>
        <v>0.78997613365155128</v>
      </c>
      <c r="AB24" s="126">
        <f t="shared" ref="AB24" si="203">AB19/AB16</f>
        <v>0</v>
      </c>
      <c r="AC24" s="215" t="e">
        <f t="shared" si="202"/>
        <v>#DIV/0!</v>
      </c>
      <c r="AD24" s="229">
        <f t="shared" si="202"/>
        <v>0.39443140956591971</v>
      </c>
      <c r="AE24" s="126">
        <f t="shared" si="202"/>
        <v>0.38161993769470404</v>
      </c>
      <c r="AF24" s="126">
        <f t="shared" si="202"/>
        <v>0.35522388059701493</v>
      </c>
      <c r="AG24" s="126">
        <f t="shared" si="202"/>
        <v>1.1116276297753145</v>
      </c>
      <c r="AH24" s="126" t="e">
        <f t="shared" si="202"/>
        <v>#DIV/0!</v>
      </c>
      <c r="AI24" s="126" t="e">
        <f t="shared" si="202"/>
        <v>#DIV/0!</v>
      </c>
      <c r="AJ24" s="126">
        <f t="shared" ref="AJ24:BK24" si="204">AJ19/AJ16</f>
        <v>0.31205673758865249</v>
      </c>
      <c r="AK24" s="126">
        <f t="shared" si="204"/>
        <v>0.24676832542906199</v>
      </c>
      <c r="AL24" s="126">
        <f t="shared" si="204"/>
        <v>0.34695288671119551</v>
      </c>
      <c r="AM24" s="126" t="e">
        <f t="shared" si="204"/>
        <v>#DIV/0!</v>
      </c>
      <c r="AN24" s="126">
        <f t="shared" si="204"/>
        <v>0.74635730123535005</v>
      </c>
      <c r="AO24" s="177">
        <f t="shared" si="204"/>
        <v>0.46748246266021787</v>
      </c>
      <c r="AP24" s="126">
        <f t="shared" si="204"/>
        <v>10.491425450573457</v>
      </c>
      <c r="AQ24" s="215" t="e">
        <f t="shared" si="204"/>
        <v>#DIV/0!</v>
      </c>
      <c r="AR24" s="126" t="e">
        <f t="shared" si="204"/>
        <v>#DIV/0!</v>
      </c>
      <c r="AS24" s="126" t="e">
        <f t="shared" si="204"/>
        <v>#DIV/0!</v>
      </c>
      <c r="AT24" s="126" t="e">
        <f t="shared" si="204"/>
        <v>#DIV/0!</v>
      </c>
      <c r="AU24" s="126" t="e">
        <f t="shared" si="204"/>
        <v>#DIV/0!</v>
      </c>
      <c r="AV24" s="126" t="e">
        <f t="shared" si="204"/>
        <v>#DIV/0!</v>
      </c>
      <c r="AW24" s="126">
        <f t="shared" si="204"/>
        <v>0</v>
      </c>
      <c r="AX24" s="126">
        <f t="shared" si="204"/>
        <v>0.14727041895895049</v>
      </c>
      <c r="AY24" s="126">
        <f t="shared" si="204"/>
        <v>0</v>
      </c>
      <c r="AZ24" s="126" t="e">
        <f t="shared" si="204"/>
        <v>#DIV/0!</v>
      </c>
      <c r="BA24" s="126" t="e">
        <f t="shared" si="204"/>
        <v>#DIV/0!</v>
      </c>
      <c r="BB24" s="215" t="e">
        <f t="shared" si="204"/>
        <v>#DIV/0!</v>
      </c>
      <c r="BC24" s="126">
        <f t="shared" si="204"/>
        <v>0.57387237104634814</v>
      </c>
      <c r="BD24" s="126">
        <f t="shared" si="204"/>
        <v>0.57383483237939492</v>
      </c>
      <c r="BE24" s="126" t="e">
        <f t="shared" si="204"/>
        <v>#DIV/0!</v>
      </c>
      <c r="BF24" s="126">
        <f t="shared" si="204"/>
        <v>0.46934460887949259</v>
      </c>
      <c r="BG24" s="126">
        <f t="shared" si="204"/>
        <v>0.23302186256538651</v>
      </c>
      <c r="BH24" s="177">
        <f t="shared" si="204"/>
        <v>0.54623173598069474</v>
      </c>
      <c r="BI24" s="229">
        <f t="shared" si="204"/>
        <v>0.42014648743496519</v>
      </c>
      <c r="BJ24" s="126">
        <f t="shared" si="204"/>
        <v>2.0633383915022763</v>
      </c>
      <c r="BK24" s="126">
        <f t="shared" si="204"/>
        <v>0.41448513176101026</v>
      </c>
      <c r="BM24" s="126" t="e">
        <f>BM19/BM16</f>
        <v>#DIV/0!</v>
      </c>
    </row>
    <row r="25" spans="1:65" ht="15.75" x14ac:dyDescent="0.25">
      <c r="A25" s="128"/>
      <c r="B25" s="5" t="s">
        <v>298</v>
      </c>
      <c r="C25" s="11">
        <f t="shared" ref="C25:AI25" si="205">C19-C16</f>
        <v>-2754276</v>
      </c>
      <c r="D25" s="11">
        <f t="shared" si="205"/>
        <v>-953840</v>
      </c>
      <c r="E25" s="11">
        <f t="shared" si="205"/>
        <v>-271858</v>
      </c>
      <c r="F25" s="11">
        <f t="shared" si="205"/>
        <v>-232750</v>
      </c>
      <c r="G25" s="11">
        <f t="shared" si="205"/>
        <v>-159382</v>
      </c>
      <c r="H25" s="11">
        <f t="shared" si="205"/>
        <v>0</v>
      </c>
      <c r="I25" s="11">
        <f t="shared" si="205"/>
        <v>0</v>
      </c>
      <c r="J25" s="11">
        <f t="shared" si="205"/>
        <v>0</v>
      </c>
      <c r="K25" s="11">
        <f t="shared" si="205"/>
        <v>0</v>
      </c>
      <c r="L25" s="11">
        <f t="shared" si="205"/>
        <v>-45062</v>
      </c>
      <c r="M25" s="11">
        <f t="shared" si="205"/>
        <v>-263931</v>
      </c>
      <c r="N25" s="11">
        <f t="shared" si="205"/>
        <v>-491</v>
      </c>
      <c r="O25" s="11">
        <f t="shared" si="205"/>
        <v>-7463</v>
      </c>
      <c r="P25" s="11">
        <f t="shared" si="205"/>
        <v>-134782</v>
      </c>
      <c r="Q25" s="11">
        <f t="shared" si="205"/>
        <v>0</v>
      </c>
      <c r="R25" s="11">
        <f t="shared" si="205"/>
        <v>-5556</v>
      </c>
      <c r="S25" s="11">
        <f t="shared" si="205"/>
        <v>0</v>
      </c>
      <c r="T25" s="11">
        <f t="shared" si="205"/>
        <v>0</v>
      </c>
      <c r="U25" s="11">
        <f t="shared" si="205"/>
        <v>0</v>
      </c>
      <c r="V25" s="9">
        <f t="shared" si="205"/>
        <v>0</v>
      </c>
      <c r="W25" s="11">
        <f t="shared" si="205"/>
        <v>0</v>
      </c>
      <c r="X25" s="11">
        <f t="shared" si="205"/>
        <v>0</v>
      </c>
      <c r="Y25" s="11">
        <f t="shared" si="205"/>
        <v>10284</v>
      </c>
      <c r="Z25" s="11">
        <f t="shared" si="205"/>
        <v>1135</v>
      </c>
      <c r="AA25" s="11">
        <f t="shared" si="205"/>
        <v>-264</v>
      </c>
      <c r="AB25" s="11">
        <f t="shared" ref="AB25" si="206">AB19-AB16</f>
        <v>-8704</v>
      </c>
      <c r="AC25" s="10">
        <f t="shared" si="205"/>
        <v>0</v>
      </c>
      <c r="AD25" s="227">
        <f t="shared" si="205"/>
        <v>-4826940</v>
      </c>
      <c r="AE25" s="11">
        <f t="shared" si="205"/>
        <v>-1985</v>
      </c>
      <c r="AF25" s="11">
        <f t="shared" si="205"/>
        <v>-648</v>
      </c>
      <c r="AG25" s="11">
        <f t="shared" si="205"/>
        <v>1873</v>
      </c>
      <c r="AH25" s="11">
        <f t="shared" si="205"/>
        <v>0</v>
      </c>
      <c r="AI25" s="11">
        <f t="shared" si="205"/>
        <v>0</v>
      </c>
      <c r="AJ25" s="11">
        <f t="shared" ref="AJ25:BM25" si="207">AJ19-AJ16</f>
        <v>-97</v>
      </c>
      <c r="AK25" s="11">
        <f t="shared" si="207"/>
        <v>-199165</v>
      </c>
      <c r="AL25" s="11">
        <f t="shared" si="207"/>
        <v>-186059</v>
      </c>
      <c r="AM25" s="11">
        <f t="shared" si="207"/>
        <v>0</v>
      </c>
      <c r="AN25" s="11">
        <f t="shared" si="207"/>
        <v>-25624</v>
      </c>
      <c r="AO25" s="9">
        <f t="shared" si="207"/>
        <v>-444920</v>
      </c>
      <c r="AP25" s="11">
        <f t="shared" si="207"/>
        <v>173788</v>
      </c>
      <c r="AQ25" s="10">
        <f t="shared" si="207"/>
        <v>0</v>
      </c>
      <c r="AR25" s="11">
        <f t="shared" si="207"/>
        <v>0</v>
      </c>
      <c r="AS25" s="11">
        <f t="shared" si="207"/>
        <v>0</v>
      </c>
      <c r="AT25" s="11">
        <f t="shared" si="207"/>
        <v>0</v>
      </c>
      <c r="AU25" s="11">
        <f t="shared" si="207"/>
        <v>0</v>
      </c>
      <c r="AV25" s="11">
        <f t="shared" si="207"/>
        <v>0</v>
      </c>
      <c r="AW25" s="11">
        <f t="shared" si="207"/>
        <v>-2724</v>
      </c>
      <c r="AX25" s="11">
        <f t="shared" si="207"/>
        <v>-2015</v>
      </c>
      <c r="AY25" s="11">
        <f t="shared" si="207"/>
        <v>-1366</v>
      </c>
      <c r="AZ25" s="11">
        <f t="shared" si="207"/>
        <v>0</v>
      </c>
      <c r="BA25" s="11">
        <f t="shared" si="207"/>
        <v>0</v>
      </c>
      <c r="BB25" s="10">
        <f t="shared" si="207"/>
        <v>0</v>
      </c>
      <c r="BC25" s="11">
        <f t="shared" si="207"/>
        <v>-13028</v>
      </c>
      <c r="BD25" s="11">
        <f t="shared" si="207"/>
        <v>-13030</v>
      </c>
      <c r="BE25" s="11">
        <f t="shared" si="207"/>
        <v>0</v>
      </c>
      <c r="BF25" s="11">
        <f t="shared" si="207"/>
        <v>-5522</v>
      </c>
      <c r="BG25" s="11">
        <f t="shared" si="207"/>
        <v>-17155</v>
      </c>
      <c r="BH25" s="11">
        <f t="shared" si="207"/>
        <v>-737677</v>
      </c>
      <c r="BI25" s="227">
        <f t="shared" si="207"/>
        <v>-5564617</v>
      </c>
      <c r="BJ25" s="11">
        <f t="shared" si="207"/>
        <v>35037</v>
      </c>
      <c r="BK25" s="11">
        <f t="shared" si="207"/>
        <v>-5599654</v>
      </c>
      <c r="BL25" s="11">
        <f t="shared" si="207"/>
        <v>3963986</v>
      </c>
      <c r="BM25" s="11">
        <f t="shared" si="207"/>
        <v>820005</v>
      </c>
    </row>
    <row r="26" spans="1:65" s="180" customFormat="1" ht="15.75" x14ac:dyDescent="0.25">
      <c r="A26" s="128"/>
      <c r="B26" s="5" t="s">
        <v>297</v>
      </c>
      <c r="C26" s="11">
        <f>C20-C17</f>
        <v>-2181053</v>
      </c>
      <c r="D26" s="11">
        <f t="shared" ref="D26:BM26" si="208">D20-D17</f>
        <v>-561048</v>
      </c>
      <c r="E26" s="11">
        <f t="shared" si="208"/>
        <v>1087</v>
      </c>
      <c r="F26" s="11">
        <f t="shared" si="208"/>
        <v>-186544</v>
      </c>
      <c r="G26" s="11">
        <f t="shared" si="208"/>
        <v>-126318</v>
      </c>
      <c r="H26" s="11">
        <f t="shared" si="208"/>
        <v>0</v>
      </c>
      <c r="I26" s="11">
        <f t="shared" si="208"/>
        <v>0</v>
      </c>
      <c r="J26" s="11">
        <f t="shared" si="208"/>
        <v>0</v>
      </c>
      <c r="K26" s="11">
        <f t="shared" si="208"/>
        <v>0</v>
      </c>
      <c r="L26" s="11">
        <f t="shared" si="208"/>
        <v>-36064</v>
      </c>
      <c r="M26" s="11">
        <f t="shared" si="208"/>
        <v>-202861</v>
      </c>
      <c r="N26" s="11">
        <f t="shared" si="208"/>
        <v>-415</v>
      </c>
      <c r="O26" s="11">
        <f t="shared" si="208"/>
        <v>-6283</v>
      </c>
      <c r="P26" s="11">
        <f t="shared" si="208"/>
        <v>-101517</v>
      </c>
      <c r="Q26" s="11">
        <f t="shared" si="208"/>
        <v>0</v>
      </c>
      <c r="R26" s="11">
        <f t="shared" si="208"/>
        <v>-4611</v>
      </c>
      <c r="S26" s="11">
        <f t="shared" si="208"/>
        <v>0</v>
      </c>
      <c r="T26" s="11">
        <f t="shared" si="208"/>
        <v>0</v>
      </c>
      <c r="U26" s="11">
        <f t="shared" si="208"/>
        <v>0</v>
      </c>
      <c r="V26" s="9">
        <f t="shared" si="208"/>
        <v>0</v>
      </c>
      <c r="W26" s="11">
        <f t="shared" si="208"/>
        <v>0</v>
      </c>
      <c r="X26" s="11">
        <f t="shared" si="208"/>
        <v>0</v>
      </c>
      <c r="Y26" s="11">
        <f t="shared" si="208"/>
        <v>11627</v>
      </c>
      <c r="Z26" s="11">
        <f t="shared" si="208"/>
        <v>1219</v>
      </c>
      <c r="AA26" s="11">
        <f t="shared" si="208"/>
        <v>-157</v>
      </c>
      <c r="AB26" s="11">
        <f t="shared" ref="AB26" si="209">AB20-AB17</f>
        <v>-7658</v>
      </c>
      <c r="AC26" s="10">
        <f t="shared" si="208"/>
        <v>0</v>
      </c>
      <c r="AD26" s="227">
        <f t="shared" si="208"/>
        <v>-3400596</v>
      </c>
      <c r="AE26" s="11">
        <f t="shared" si="208"/>
        <v>-1601</v>
      </c>
      <c r="AF26" s="11">
        <f t="shared" si="208"/>
        <v>-527</v>
      </c>
      <c r="AG26" s="11">
        <f t="shared" si="208"/>
        <v>3886</v>
      </c>
      <c r="AH26" s="11">
        <f t="shared" si="208"/>
        <v>0</v>
      </c>
      <c r="AI26" s="11">
        <f t="shared" si="208"/>
        <v>0</v>
      </c>
      <c r="AJ26" s="11">
        <f t="shared" si="208"/>
        <v>-78</v>
      </c>
      <c r="AK26" s="11">
        <f t="shared" si="208"/>
        <v>-167437</v>
      </c>
      <c r="AL26" s="11">
        <f t="shared" si="208"/>
        <v>-151874</v>
      </c>
      <c r="AM26" s="11">
        <f t="shared" si="208"/>
        <v>0</v>
      </c>
      <c r="AN26" s="11">
        <f t="shared" si="208"/>
        <v>-13500</v>
      </c>
      <c r="AO26" s="9">
        <f t="shared" si="208"/>
        <v>-344661</v>
      </c>
      <c r="AP26" s="11">
        <f t="shared" si="208"/>
        <v>175984</v>
      </c>
      <c r="AQ26" s="10">
        <f t="shared" si="208"/>
        <v>0</v>
      </c>
      <c r="AR26" s="11">
        <f t="shared" si="208"/>
        <v>0</v>
      </c>
      <c r="AS26" s="11">
        <f t="shared" si="208"/>
        <v>0</v>
      </c>
      <c r="AT26" s="11">
        <f t="shared" si="208"/>
        <v>0</v>
      </c>
      <c r="AU26" s="11">
        <f t="shared" si="208"/>
        <v>0</v>
      </c>
      <c r="AV26" s="11">
        <f t="shared" si="208"/>
        <v>0</v>
      </c>
      <c r="AW26" s="11">
        <f t="shared" si="208"/>
        <v>-2396</v>
      </c>
      <c r="AX26" s="11">
        <f t="shared" si="208"/>
        <v>-1730</v>
      </c>
      <c r="AY26" s="11">
        <f t="shared" si="208"/>
        <v>-1202</v>
      </c>
      <c r="AZ26" s="11">
        <f t="shared" si="208"/>
        <v>0</v>
      </c>
      <c r="BA26" s="11">
        <f t="shared" si="208"/>
        <v>0</v>
      </c>
      <c r="BB26" s="10">
        <f t="shared" si="208"/>
        <v>0</v>
      </c>
      <c r="BC26" s="11">
        <f t="shared" si="208"/>
        <v>-9359</v>
      </c>
      <c r="BD26" s="11">
        <f t="shared" si="208"/>
        <v>-9363</v>
      </c>
      <c r="BE26" s="11">
        <f t="shared" si="208"/>
        <v>0</v>
      </c>
      <c r="BF26" s="11">
        <f t="shared" si="208"/>
        <v>-4274</v>
      </c>
      <c r="BG26" s="11">
        <f t="shared" si="208"/>
        <v>-14474</v>
      </c>
      <c r="BH26" s="11">
        <f t="shared" si="208"/>
        <v>-542606</v>
      </c>
      <c r="BI26" s="227">
        <f t="shared" si="208"/>
        <v>-3943202</v>
      </c>
      <c r="BJ26" s="11">
        <f t="shared" si="208"/>
        <v>40529</v>
      </c>
      <c r="BK26" s="11">
        <f t="shared" si="208"/>
        <v>-3983731</v>
      </c>
      <c r="BL26" s="11">
        <f t="shared" si="208"/>
        <v>0</v>
      </c>
      <c r="BM26" s="11">
        <f t="shared" si="208"/>
        <v>118435</v>
      </c>
    </row>
    <row r="27" spans="1:65" s="180" customFormat="1" ht="15.75" x14ac:dyDescent="0.25">
      <c r="A27" s="128"/>
      <c r="B27" s="5"/>
      <c r="C27" s="11"/>
      <c r="D27" s="11"/>
      <c r="E27" s="11"/>
      <c r="F27" s="11"/>
      <c r="G27" s="11"/>
      <c r="H27" s="11"/>
      <c r="I27" s="11"/>
      <c r="J27" s="11"/>
      <c r="K27" s="11"/>
      <c r="L27" s="11"/>
      <c r="M27" s="11"/>
      <c r="N27" s="11"/>
      <c r="O27" s="11"/>
      <c r="P27" s="11"/>
      <c r="Q27" s="11"/>
      <c r="R27" s="11"/>
      <c r="S27" s="11"/>
      <c r="T27" s="11"/>
      <c r="U27" s="11"/>
      <c r="V27" s="9"/>
      <c r="W27" s="11"/>
      <c r="X27" s="11"/>
      <c r="Y27" s="11"/>
      <c r="Z27" s="11"/>
      <c r="AA27" s="11"/>
      <c r="AB27" s="11"/>
      <c r="AC27" s="10"/>
      <c r="AD27" s="227"/>
      <c r="AE27" s="11"/>
      <c r="AF27" s="11"/>
      <c r="AG27" s="11"/>
      <c r="AH27" s="11"/>
      <c r="AI27" s="11"/>
      <c r="AJ27" s="11"/>
      <c r="AK27" s="11"/>
      <c r="AL27" s="11"/>
      <c r="AM27" s="11"/>
      <c r="AN27" s="11"/>
      <c r="AO27" s="9"/>
      <c r="AP27" s="11"/>
      <c r="AQ27" s="10"/>
      <c r="AR27" s="11"/>
      <c r="AS27" s="11"/>
      <c r="AT27" s="11"/>
      <c r="AU27" s="11"/>
      <c r="AV27" s="11"/>
      <c r="AW27" s="11"/>
      <c r="AX27" s="11"/>
      <c r="AY27" s="11"/>
      <c r="AZ27" s="11"/>
      <c r="BA27" s="11"/>
      <c r="BB27" s="10"/>
      <c r="BC27" s="11"/>
      <c r="BD27" s="11"/>
      <c r="BE27" s="11"/>
      <c r="BF27" s="11"/>
      <c r="BG27" s="11"/>
      <c r="BH27" s="11"/>
      <c r="BI27" s="227"/>
      <c r="BJ27" s="11"/>
      <c r="BK27" s="11"/>
      <c r="BL27" s="181"/>
      <c r="BM27" s="181"/>
    </row>
    <row r="28" spans="1:65" ht="15.75" x14ac:dyDescent="0.25">
      <c r="A28" s="15" t="s">
        <v>137</v>
      </c>
      <c r="B28" s="11" t="s">
        <v>301</v>
      </c>
      <c r="C28" s="120">
        <v>984195</v>
      </c>
      <c r="D28" s="120">
        <v>280100</v>
      </c>
      <c r="E28" s="120">
        <v>50198</v>
      </c>
      <c r="F28" s="120">
        <v>113315</v>
      </c>
      <c r="G28" s="120">
        <v>72743</v>
      </c>
      <c r="H28" s="120">
        <v>0</v>
      </c>
      <c r="I28" s="120">
        <v>0</v>
      </c>
      <c r="J28" s="120">
        <v>0</v>
      </c>
      <c r="K28" s="120">
        <v>625</v>
      </c>
      <c r="L28" s="120">
        <v>9488</v>
      </c>
      <c r="M28" s="120">
        <v>24887</v>
      </c>
      <c r="N28" s="120">
        <v>1527</v>
      </c>
      <c r="O28" s="120">
        <v>2435</v>
      </c>
      <c r="P28" s="120">
        <v>16944</v>
      </c>
      <c r="Q28" s="120">
        <v>0</v>
      </c>
      <c r="R28" s="120">
        <v>5624</v>
      </c>
      <c r="S28" s="120">
        <v>0</v>
      </c>
      <c r="T28" s="120">
        <v>0</v>
      </c>
      <c r="U28" s="120"/>
      <c r="V28" s="189">
        <v>6871</v>
      </c>
      <c r="W28" s="120">
        <v>0</v>
      </c>
      <c r="X28" s="120">
        <v>0</v>
      </c>
      <c r="Y28" s="120">
        <v>1134</v>
      </c>
      <c r="Z28" s="120">
        <v>0</v>
      </c>
      <c r="AA28" s="120">
        <v>3</v>
      </c>
      <c r="AB28" s="120">
        <v>1793</v>
      </c>
      <c r="AC28" s="151">
        <v>175996</v>
      </c>
      <c r="AD28" s="233">
        <f t="shared" ref="AD28:AD29" si="210">SUM(C28:AC28)</f>
        <v>1747878</v>
      </c>
      <c r="AE28" s="120">
        <v>424</v>
      </c>
      <c r="AF28" s="120">
        <v>350</v>
      </c>
      <c r="AG28" s="120">
        <v>247</v>
      </c>
      <c r="AH28" s="120">
        <v>0</v>
      </c>
      <c r="AI28" s="120">
        <v>0</v>
      </c>
      <c r="AJ28" s="120">
        <v>14</v>
      </c>
      <c r="AK28" s="120">
        <v>325486</v>
      </c>
      <c r="AL28" s="120">
        <v>92108</v>
      </c>
      <c r="AM28" s="120">
        <v>0</v>
      </c>
      <c r="AN28" s="120">
        <v>0</v>
      </c>
      <c r="AO28" s="189">
        <v>101248</v>
      </c>
      <c r="AP28" s="120">
        <v>153826</v>
      </c>
      <c r="AQ28" s="151">
        <v>0</v>
      </c>
      <c r="AR28" s="120">
        <v>0</v>
      </c>
      <c r="AS28" s="120"/>
      <c r="AT28" s="120"/>
      <c r="AU28" s="120">
        <v>0</v>
      </c>
      <c r="AV28" s="120"/>
      <c r="AW28" s="120">
        <v>839</v>
      </c>
      <c r="AX28" s="120">
        <v>72</v>
      </c>
      <c r="AY28" s="120">
        <v>27</v>
      </c>
      <c r="AZ28" s="120">
        <v>0</v>
      </c>
      <c r="BA28" s="120">
        <v>0</v>
      </c>
      <c r="BB28" s="151">
        <v>111696</v>
      </c>
      <c r="BC28" s="120">
        <v>2408</v>
      </c>
      <c r="BD28" s="120">
        <v>2408</v>
      </c>
      <c r="BE28" s="120">
        <v>0</v>
      </c>
      <c r="BF28" s="120">
        <v>7348</v>
      </c>
      <c r="BG28" s="120">
        <v>845</v>
      </c>
      <c r="BH28" s="9">
        <f>SUM(AE28:BG28)</f>
        <v>799346</v>
      </c>
      <c r="BI28" s="226">
        <f>AD28+BH28</f>
        <v>2547224</v>
      </c>
      <c r="BJ28" s="96">
        <v>64278</v>
      </c>
      <c r="BK28" s="49">
        <f t="shared" ref="BK28:BK29" si="211">BI28-BJ28</f>
        <v>2482946</v>
      </c>
      <c r="BL28">
        <v>3</v>
      </c>
      <c r="BM28" s="30"/>
    </row>
    <row r="29" spans="1:65" s="41" customFormat="1" ht="15.75" x14ac:dyDescent="0.25">
      <c r="A29" s="134" t="s">
        <v>137</v>
      </c>
      <c r="B29" s="216" t="s">
        <v>324</v>
      </c>
      <c r="C29" s="10">
        <v>433047</v>
      </c>
      <c r="D29" s="10">
        <v>99591</v>
      </c>
      <c r="E29" s="10">
        <v>0</v>
      </c>
      <c r="F29" s="10">
        <v>49858</v>
      </c>
      <c r="G29" s="10">
        <v>32007</v>
      </c>
      <c r="H29" s="10">
        <v>0</v>
      </c>
      <c r="I29" s="10">
        <v>0</v>
      </c>
      <c r="J29" s="10">
        <v>0</v>
      </c>
      <c r="K29" s="10">
        <v>275</v>
      </c>
      <c r="L29" s="10">
        <v>4175</v>
      </c>
      <c r="M29" s="10">
        <v>10953</v>
      </c>
      <c r="N29" s="10">
        <v>672</v>
      </c>
      <c r="O29" s="10">
        <v>1072</v>
      </c>
      <c r="P29" s="10">
        <v>7456</v>
      </c>
      <c r="Q29" s="10">
        <v>0</v>
      </c>
      <c r="R29" s="10">
        <v>2473</v>
      </c>
      <c r="S29" s="10">
        <v>0</v>
      </c>
      <c r="T29" s="10">
        <v>0</v>
      </c>
      <c r="U29" s="10"/>
      <c r="V29" s="10">
        <v>3014</v>
      </c>
      <c r="W29" s="10">
        <v>0</v>
      </c>
      <c r="X29" s="10">
        <v>0</v>
      </c>
      <c r="Y29" s="10">
        <v>501</v>
      </c>
      <c r="Z29" s="10">
        <v>0</v>
      </c>
      <c r="AA29" s="10">
        <v>1</v>
      </c>
      <c r="AB29" s="10">
        <v>788</v>
      </c>
      <c r="AC29" s="10">
        <v>77439</v>
      </c>
      <c r="AD29" s="233">
        <f t="shared" si="210"/>
        <v>723322</v>
      </c>
      <c r="AE29" s="10">
        <v>186</v>
      </c>
      <c r="AF29" s="10">
        <v>153</v>
      </c>
      <c r="AG29" s="10">
        <v>109</v>
      </c>
      <c r="AH29" s="10">
        <v>0</v>
      </c>
      <c r="AI29" s="10">
        <v>0</v>
      </c>
      <c r="AJ29" s="10">
        <v>5</v>
      </c>
      <c r="AK29" s="10">
        <v>143213</v>
      </c>
      <c r="AL29" s="10">
        <v>40528</v>
      </c>
      <c r="AM29" s="10">
        <v>0</v>
      </c>
      <c r="AN29" s="10">
        <v>0</v>
      </c>
      <c r="AO29" s="10">
        <v>44550</v>
      </c>
      <c r="AP29" s="10">
        <v>67684</v>
      </c>
      <c r="AQ29" s="10">
        <v>0</v>
      </c>
      <c r="AR29" s="10">
        <v>0</v>
      </c>
      <c r="AS29" s="10"/>
      <c r="AT29" s="10"/>
      <c r="AU29" s="10">
        <v>0</v>
      </c>
      <c r="AV29" s="10"/>
      <c r="AW29" s="10">
        <v>369</v>
      </c>
      <c r="AX29" s="10">
        <v>32</v>
      </c>
      <c r="AY29" s="10">
        <v>12</v>
      </c>
      <c r="AZ29" s="10">
        <v>0</v>
      </c>
      <c r="BA29" s="10">
        <v>0</v>
      </c>
      <c r="BB29" s="10">
        <v>49147</v>
      </c>
      <c r="BC29" s="10">
        <v>1060</v>
      </c>
      <c r="BD29" s="10">
        <v>1060</v>
      </c>
      <c r="BE29" s="10">
        <v>0</v>
      </c>
      <c r="BF29" s="10">
        <v>3233</v>
      </c>
      <c r="BG29" s="10">
        <v>378</v>
      </c>
      <c r="BH29" s="10">
        <f>SUM(AE29:BG29)</f>
        <v>351719</v>
      </c>
      <c r="BI29" s="226">
        <f>AD29+BH29</f>
        <v>1075041</v>
      </c>
      <c r="BJ29" s="10">
        <v>26785</v>
      </c>
      <c r="BK29" s="10">
        <f t="shared" si="211"/>
        <v>1048256</v>
      </c>
      <c r="BM29" s="217"/>
    </row>
    <row r="30" spans="1:65" ht="15.75" x14ac:dyDescent="0.25">
      <c r="A30" s="128"/>
      <c r="B30" s="12" t="s">
        <v>325</v>
      </c>
      <c r="C30" s="9">
        <f>IF('Upto Month COPPY'!$D$4="",0,'Upto Month COPPY'!$D$4)</f>
        <v>409182</v>
      </c>
      <c r="D30" s="9">
        <f>IF('Upto Month COPPY'!$D$5="",0,'Upto Month COPPY'!$D$5)</f>
        <v>67479</v>
      </c>
      <c r="E30" s="9">
        <f>IF('Upto Month COPPY'!$D$6="",0,'Upto Month COPPY'!$D$6)</f>
        <v>534</v>
      </c>
      <c r="F30" s="9">
        <f>IF('Upto Month COPPY'!$D$7="",0,'Upto Month COPPY'!$D$7)</f>
        <v>43344</v>
      </c>
      <c r="G30" s="9">
        <f>IF('Upto Month COPPY'!$D$8="",0,'Upto Month COPPY'!$D$8)</f>
        <v>27574</v>
      </c>
      <c r="H30" s="9">
        <f>IF('Upto Month COPPY'!$D$9="",0,'Upto Month COPPY'!$D$9)</f>
        <v>0</v>
      </c>
      <c r="I30" s="9">
        <f>IF('Upto Month COPPY'!$D$10="",0,'Upto Month COPPY'!$D$10)</f>
        <v>0</v>
      </c>
      <c r="J30" s="9">
        <f>IF('Upto Month COPPY'!$D$11="",0,'Upto Month COPPY'!$D$11)</f>
        <v>0</v>
      </c>
      <c r="K30" s="9">
        <f>IF('Upto Month COPPY'!$D$12="",0,'Upto Month COPPY'!$D$12)</f>
        <v>221</v>
      </c>
      <c r="L30" s="9">
        <f>IF('Upto Month COPPY'!$D$13="",0,'Upto Month COPPY'!$D$13)</f>
        <v>3881</v>
      </c>
      <c r="M30" s="9">
        <f>IF('Upto Month COPPY'!$D$14="",0,'Upto Month COPPY'!$D$14)</f>
        <v>8588</v>
      </c>
      <c r="N30" s="9">
        <f>IF('Upto Month COPPY'!$D$15="",0,'Upto Month COPPY'!$D$15)</f>
        <v>113</v>
      </c>
      <c r="O30" s="9">
        <f>IF('Upto Month COPPY'!$D$16="",0,'Upto Month COPPY'!$D$16)</f>
        <v>194</v>
      </c>
      <c r="P30" s="9">
        <f>IF('Upto Month COPPY'!$D$17="",0,'Upto Month COPPY'!$D$17)</f>
        <v>5786</v>
      </c>
      <c r="Q30" s="9">
        <f>IF('Upto Month COPPY'!$D$18="",0,'Upto Month COPPY'!$D$18)</f>
        <v>0</v>
      </c>
      <c r="R30" s="9">
        <f>IF('Upto Month COPPY'!$D$21="",0,'Upto Month COPPY'!$D$21)</f>
        <v>574</v>
      </c>
      <c r="S30" s="9">
        <f>IF('Upto Month COPPY'!$D$26="",0,'Upto Month COPPY'!$D$26)</f>
        <v>0</v>
      </c>
      <c r="T30" s="9">
        <f>IF('Upto Month COPPY'!$D$27="",0,'Upto Month COPPY'!$D$27)</f>
        <v>0</v>
      </c>
      <c r="U30" s="9">
        <f>IF('Upto Month COPPY'!$D$30="",0,'Upto Month COPPY'!$D$30)</f>
        <v>0</v>
      </c>
      <c r="V30" s="9">
        <f>IF('Upto Month COPPY'!$D$35="",0,'Upto Month COPPY'!$D$35)</f>
        <v>0</v>
      </c>
      <c r="W30" s="9">
        <f>IF('Upto Month COPPY'!$D$39="",0,'Upto Month COPPY'!$D$39)</f>
        <v>0</v>
      </c>
      <c r="X30" s="9">
        <f>IF('Upto Month COPPY'!$D$40="",0,'Upto Month COPPY'!$D$40)</f>
        <v>0</v>
      </c>
      <c r="Y30" s="9">
        <f>IF('Upto Month COPPY'!$D$42="",0,'Upto Month COPPY'!$D$42)</f>
        <v>370</v>
      </c>
      <c r="Z30" s="9">
        <f>IF('Upto Month COPPY'!$D$43="",0,'Upto Month COPPY'!$D$43)</f>
        <v>1</v>
      </c>
      <c r="AA30" s="9">
        <f>IF('Upto Month COPPY'!$D$44="",0,'Upto Month COPPY'!$D$44)</f>
        <v>1</v>
      </c>
      <c r="AB30" s="9">
        <f>IF('Upto Month COPPY'!$D$48="",0,'Upto Month COPPY'!$D$48)</f>
        <v>0</v>
      </c>
      <c r="AC30" s="10">
        <f>IF('Upto Month COPPY'!$D$51="",0,'Upto Month COPPY'!$D$51)</f>
        <v>25509</v>
      </c>
      <c r="AD30" s="233">
        <f t="shared" ref="AD30:AD31" si="212">SUM(C30:AC30)</f>
        <v>593351</v>
      </c>
      <c r="AE30" s="9">
        <f>IF('Upto Month COPPY'!$D$19="",0,'Upto Month COPPY'!$D$19)</f>
        <v>499</v>
      </c>
      <c r="AF30" s="9">
        <f>IF('Upto Month COPPY'!$D$20="",0,'Upto Month COPPY'!$D$20)</f>
        <v>265</v>
      </c>
      <c r="AG30" s="9">
        <f>IF('Upto Month COPPY'!$D$22="",0,'Upto Month COPPY'!$D$22)</f>
        <v>0</v>
      </c>
      <c r="AH30" s="9">
        <f>IF('Upto Month COPPY'!$D$23="",0,'Upto Month COPPY'!$D$23)</f>
        <v>0</v>
      </c>
      <c r="AI30" s="9">
        <f>IF('Upto Month COPPY'!$D$24="",0,'Upto Month COPPY'!$D$24)</f>
        <v>0</v>
      </c>
      <c r="AJ30" s="9">
        <f>IF('Upto Month COPPY'!$D$25="",0,'Upto Month COPPY'!$D$25)</f>
        <v>139</v>
      </c>
      <c r="AK30" s="9">
        <f>IF('Upto Month COPPY'!$D$28="",0,'Upto Month COPPY'!$D$28)</f>
        <v>217702</v>
      </c>
      <c r="AL30" s="9">
        <f>IF('Upto Month COPPY'!$D$29="",0,'Upto Month COPPY'!$D$29)</f>
        <v>42576</v>
      </c>
      <c r="AM30" s="9">
        <f>IF('Upto Month COPPY'!$D$31="",0,'Upto Month COPPY'!$D$31)</f>
        <v>0</v>
      </c>
      <c r="AN30" s="9">
        <f>IF('Upto Month COPPY'!$D$32="",0,'Upto Month COPPY'!$D$32)</f>
        <v>90</v>
      </c>
      <c r="AO30" s="9">
        <f>IF('Upto Month COPPY'!$D$33="",0,'Upto Month COPPY'!$D$33)</f>
        <v>28291</v>
      </c>
      <c r="AP30" s="9">
        <f>IF('Upto Month COPPY'!$D$34="",0,'Upto Month COPPY'!$D$34)</f>
        <v>65235</v>
      </c>
      <c r="AQ30" s="10">
        <f>IF('Upto Month COPPY'!$D$36="",0,'Upto Month COPPY'!$D$36)</f>
        <v>0</v>
      </c>
      <c r="AR30" s="9">
        <f>IF('Upto Month COPPY'!$D$37="",0,'Upto Month COPPY'!$D$37)</f>
        <v>0</v>
      </c>
      <c r="AS30" s="9">
        <v>0</v>
      </c>
      <c r="AT30" s="9">
        <f>IF('Upto Month COPPY'!$D$38="",0,'Upto Month COPPY'!$D$38)</f>
        <v>0</v>
      </c>
      <c r="AU30" s="9">
        <f>IF('Upto Month COPPY'!$D$41="",0,'Upto Month COPPY'!$D$41)</f>
        <v>0</v>
      </c>
      <c r="AV30" s="9">
        <v>0</v>
      </c>
      <c r="AW30" s="9">
        <f>IF('Upto Month COPPY'!$D$45="",0,'Upto Month COPPY'!$D$45)</f>
        <v>0</v>
      </c>
      <c r="AX30" s="9">
        <f>IF('Upto Month COPPY'!$D$46="",0,'Upto Month COPPY'!$D$46)</f>
        <v>0</v>
      </c>
      <c r="AY30" s="9">
        <f>IF('Upto Month COPPY'!$D$47="",0,'Upto Month COPPY'!$D$47)</f>
        <v>0</v>
      </c>
      <c r="AZ30" s="9">
        <f>IF('Upto Month COPPY'!$D$49="",0,'Upto Month COPPY'!$D$49)</f>
        <v>0</v>
      </c>
      <c r="BA30" s="9">
        <f>IF('Upto Month COPPY'!$D$50="",0,'Upto Month COPPY'!$D$50)</f>
        <v>0</v>
      </c>
      <c r="BB30" s="10">
        <f>IF('Upto Month COPPY'!$D$52="",0,'Upto Month COPPY'!$D$52)</f>
        <v>88449</v>
      </c>
      <c r="BC30" s="9">
        <f>IF('Upto Month COPPY'!$D$53="",0,'Upto Month COPPY'!$D$53)</f>
        <v>1187</v>
      </c>
      <c r="BD30" s="9">
        <f>IF('Upto Month COPPY'!$D$54="",0,'Upto Month COPPY'!$D$54)</f>
        <v>1187</v>
      </c>
      <c r="BE30" s="9">
        <f>IF('Upto Month COPPY'!$D$55="",0,'Upto Month COPPY'!$D$55)</f>
        <v>0</v>
      </c>
      <c r="BF30" s="9">
        <f>IF('Upto Month COPPY'!$D$56="",0,'Upto Month COPPY'!$D$56)</f>
        <v>6977</v>
      </c>
      <c r="BG30" s="9">
        <f>IF('Upto Month COPPY'!$D$58="",0,'Upto Month COPPY'!$D$58)</f>
        <v>16</v>
      </c>
      <c r="BH30" s="9">
        <f>SUM(AE30:BG30)</f>
        <v>452613</v>
      </c>
      <c r="BI30" s="226">
        <f>AD30+BH30</f>
        <v>1045964</v>
      </c>
      <c r="BJ30" s="9">
        <f>IF('Upto Month COPPY'!$D$60="",0,'Upto Month COPPY'!$D$60)</f>
        <v>-7038</v>
      </c>
      <c r="BK30" s="49">
        <f t="shared" ref="BK30:BK31" si="213">BI30-BJ30</f>
        <v>1053002</v>
      </c>
      <c r="BL30">
        <f>'Upto Month COPPY'!$D$61</f>
        <v>1053002</v>
      </c>
      <c r="BM30" s="30">
        <f t="shared" ref="BM30:BM34" si="214">BK30-AD30</f>
        <v>459651</v>
      </c>
    </row>
    <row r="31" spans="1:65" ht="15.75" x14ac:dyDescent="0.25">
      <c r="A31" s="128"/>
      <c r="B31" s="182" t="s">
        <v>326</v>
      </c>
      <c r="C31" s="9">
        <f>IF('Upto Month Current'!$D$4="",0,'Upto Month Current'!$D$4)</f>
        <v>425139</v>
      </c>
      <c r="D31" s="9">
        <f>IF('Upto Month Current'!$D$5="",0,'Upto Month Current'!$D$5)</f>
        <v>90234</v>
      </c>
      <c r="E31" s="9">
        <f>IF('Upto Month Current'!$D$6="",0,'Upto Month Current'!$D$6)</f>
        <v>52</v>
      </c>
      <c r="F31" s="9">
        <f>IF('Upto Month Current'!$D$7="",0,'Upto Month Current'!$D$7)</f>
        <v>49941</v>
      </c>
      <c r="G31" s="9">
        <f>IF('Upto Month Current'!$D$8="",0,'Upto Month Current'!$D$8)</f>
        <v>32013</v>
      </c>
      <c r="H31" s="9">
        <f>IF('Upto Month Current'!$D$9="",0,'Upto Month Current'!$D$9)</f>
        <v>0</v>
      </c>
      <c r="I31" s="9">
        <f>IF('Upto Month Current'!$D$10="",0,'Upto Month Current'!$D$10)</f>
        <v>0</v>
      </c>
      <c r="J31" s="9">
        <f>IF('Upto Month Current'!$D$11="",0,'Upto Month Current'!$D$11)</f>
        <v>0</v>
      </c>
      <c r="K31" s="9">
        <f>IF('Upto Month Current'!$D$12="",0,'Upto Month Current'!$D$12)</f>
        <v>542</v>
      </c>
      <c r="L31" s="9">
        <f>IF('Upto Month Current'!$D$13="",0,'Upto Month Current'!$D$13)</f>
        <v>3080</v>
      </c>
      <c r="M31" s="9">
        <f>IF('Upto Month Current'!$D$14="",0,'Upto Month Current'!$D$14)</f>
        <v>8207</v>
      </c>
      <c r="N31" s="9">
        <f>IF('Upto Month Current'!$D$15="",0,'Upto Month Current'!$D$15)</f>
        <v>56</v>
      </c>
      <c r="O31" s="9">
        <f>IF('Upto Month Current'!$D$16="",0,'Upto Month Current'!$D$16)</f>
        <v>593</v>
      </c>
      <c r="P31" s="9">
        <f>IF('Upto Month Current'!$D$17="",0,'Upto Month Current'!$D$17)</f>
        <v>3975</v>
      </c>
      <c r="Q31" s="9">
        <f>IF('Upto Month Current'!$D$18="",0,'Upto Month Current'!$D$18)</f>
        <v>0</v>
      </c>
      <c r="R31" s="9">
        <f>IF('Upto Month Current'!$D$21="",0,'Upto Month Current'!$D$21)</f>
        <v>559</v>
      </c>
      <c r="S31" s="9">
        <f>IF('Upto Month Current'!$D$26="",0,'Upto Month Current'!$D$26)</f>
        <v>0</v>
      </c>
      <c r="T31" s="9">
        <f>IF('Upto Month Current'!$D$27="",0,'Upto Month Current'!$D$27)</f>
        <v>0</v>
      </c>
      <c r="U31" s="9">
        <f>IF('Upto Month Current'!$D$30="",0,'Upto Month Current'!$D$30)</f>
        <v>0</v>
      </c>
      <c r="V31" s="9">
        <f>IF('Upto Month Current'!$D$35="",0,'Upto Month Current'!$D$35)</f>
        <v>0</v>
      </c>
      <c r="W31" s="9">
        <f>IF('Upto Month Current'!$D$39="",0,'Upto Month Current'!$D$39)</f>
        <v>0</v>
      </c>
      <c r="X31" s="9">
        <f>IF('Upto Month Current'!$D$40="",0,'Upto Month Current'!$D$40)</f>
        <v>0</v>
      </c>
      <c r="Y31" s="9">
        <f>IF('Upto Month Current'!$D$42="",0,'Upto Month Current'!$D$42)</f>
        <v>387</v>
      </c>
      <c r="Z31" s="9">
        <f>IF('Upto Month Current'!$D$43="",0,'Upto Month Current'!$D$43)</f>
        <v>37</v>
      </c>
      <c r="AA31" s="9">
        <f>IF('Upto Month Current'!$D$44="",0,'Upto Month Current'!$D$44)</f>
        <v>51</v>
      </c>
      <c r="AB31" s="9">
        <f>IF('Upto Month Current'!$D$48="",0,'Upto Month Current'!$D$48)</f>
        <v>0</v>
      </c>
      <c r="AC31" s="10">
        <f>IF('Upto Month Current'!$D$51="",0,'Upto Month Current'!$D$51)</f>
        <v>47601</v>
      </c>
      <c r="AD31" s="233">
        <f t="shared" si="212"/>
        <v>662467</v>
      </c>
      <c r="AE31" s="9">
        <f>IF('Upto Month Current'!$D$19="",0,'Upto Month Current'!$D$19)</f>
        <v>373</v>
      </c>
      <c r="AF31" s="9">
        <f>IF('Upto Month Current'!$D$20="",0,'Upto Month Current'!$D$20)</f>
        <v>412</v>
      </c>
      <c r="AG31" s="9">
        <f>IF('Upto Month Current'!$D$22="",0,'Upto Month Current'!$D$22)</f>
        <v>0</v>
      </c>
      <c r="AH31" s="9">
        <f>IF('Upto Month Current'!$D$23="",0,'Upto Month Current'!$D$23)</f>
        <v>0</v>
      </c>
      <c r="AI31" s="9">
        <f>IF('Upto Month Current'!$D$24="",0,'Upto Month Current'!$D$24)</f>
        <v>0</v>
      </c>
      <c r="AJ31" s="9">
        <f>IF('Upto Month Current'!$D$25="",0,'Upto Month Current'!$D$25)</f>
        <v>85</v>
      </c>
      <c r="AK31" s="9">
        <f>IF('Upto Month Current'!$D$28="",0,'Upto Month Current'!$D$28)</f>
        <v>182839</v>
      </c>
      <c r="AL31" s="9">
        <f>IF('Upto Month Current'!$D$29="",0,'Upto Month Current'!$D$29)</f>
        <v>17767</v>
      </c>
      <c r="AM31" s="9">
        <f>IF('Upto Month Current'!$D$31="",0,'Upto Month Current'!$D$31)</f>
        <v>0</v>
      </c>
      <c r="AN31" s="9">
        <f>IF('Upto Month Current'!$D$32="",0,'Upto Month Current'!$D$32)</f>
        <v>100</v>
      </c>
      <c r="AO31" s="9">
        <f>IF('Upto Month Current'!$D$33="",0,'Upto Month Current'!$D$33)</f>
        <v>26630</v>
      </c>
      <c r="AP31" s="9">
        <f>IF('Upto Month Current'!$D$34="",0,'Upto Month Current'!$D$34)</f>
        <v>30862</v>
      </c>
      <c r="AQ31" s="10">
        <f>IF('Upto Month Current'!$D$36="",0,'Upto Month Current'!$D$36)</f>
        <v>0</v>
      </c>
      <c r="AR31" s="9">
        <f>IF('Upto Month Current'!$D$37="",0,'Upto Month Current'!$D$37)</f>
        <v>0</v>
      </c>
      <c r="AS31" s="9">
        <v>0</v>
      </c>
      <c r="AT31" s="9">
        <f>IF('Upto Month Current'!$D$38="",0,'Upto Month Current'!$D$38)</f>
        <v>0</v>
      </c>
      <c r="AU31" s="9">
        <f>IF('Upto Month Current'!$D$41="",0,'Upto Month Current'!$D$41)</f>
        <v>0</v>
      </c>
      <c r="AV31" s="9">
        <v>0</v>
      </c>
      <c r="AW31" s="9">
        <f>IF('Upto Month Current'!$D$45="",0,'Upto Month Current'!$D$45)</f>
        <v>0</v>
      </c>
      <c r="AX31" s="9">
        <f>IF('Upto Month Current'!$D$46="",0,'Upto Month Current'!$D$46)</f>
        <v>0</v>
      </c>
      <c r="AY31" s="9">
        <f>IF('Upto Month Current'!$D$47="",0,'Upto Month Current'!$D$47)</f>
        <v>153</v>
      </c>
      <c r="AZ31" s="9">
        <f>IF('Upto Month Current'!$D$49="",0,'Upto Month Current'!$D$49)</f>
        <v>0</v>
      </c>
      <c r="BA31" s="9">
        <f>IF('Upto Month Current'!$D$50="",0,'Upto Month Current'!$D$50)</f>
        <v>0</v>
      </c>
      <c r="BB31" s="10">
        <f>IF('Upto Month Current'!$D$52="",0,'Upto Month Current'!$D$52)</f>
        <v>114084</v>
      </c>
      <c r="BC31" s="9">
        <f>IF('Upto Month Current'!$D$53="",0,'Upto Month Current'!$D$53)</f>
        <v>1089</v>
      </c>
      <c r="BD31" s="9">
        <f>IF('Upto Month Current'!$D$54="",0,'Upto Month Current'!$D$54)</f>
        <v>1089</v>
      </c>
      <c r="BE31" s="9">
        <f>IF('Upto Month Current'!$D$55="",0,'Upto Month Current'!$D$55)</f>
        <v>0</v>
      </c>
      <c r="BF31" s="9">
        <f>IF('Upto Month Current'!$D$56="",0,'Upto Month Current'!$D$56)</f>
        <v>2910</v>
      </c>
      <c r="BG31" s="9">
        <f>IF('Upto Month Current'!$D$58="",0,'Upto Month Current'!$D$58)</f>
        <v>158</v>
      </c>
      <c r="BH31" s="9">
        <f>SUM(AE31:BG31)</f>
        <v>378551</v>
      </c>
      <c r="BI31" s="226">
        <f>AD31+BH31</f>
        <v>1041018</v>
      </c>
      <c r="BJ31" s="9">
        <f>IF('Upto Month Current'!$D$60="",0,'Upto Month Current'!$D$60)</f>
        <v>17313</v>
      </c>
      <c r="BK31" s="49">
        <f t="shared" si="213"/>
        <v>1023705</v>
      </c>
      <c r="BL31">
        <f>'Upto Month Current'!$D$61</f>
        <v>1023704</v>
      </c>
      <c r="BM31" s="30">
        <f t="shared" si="214"/>
        <v>361238</v>
      </c>
    </row>
    <row r="32" spans="1:65" ht="15.75" x14ac:dyDescent="0.25">
      <c r="A32" s="128"/>
      <c r="B32" s="5" t="s">
        <v>132</v>
      </c>
      <c r="C32" s="11">
        <f>C31-C29</f>
        <v>-7908</v>
      </c>
      <c r="D32" s="11">
        <f t="shared" ref="D32" si="215">D31-D29</f>
        <v>-9357</v>
      </c>
      <c r="E32" s="11">
        <f t="shared" ref="E32" si="216">E31-E29</f>
        <v>52</v>
      </c>
      <c r="F32" s="11">
        <f t="shared" ref="F32" si="217">F31-F29</f>
        <v>83</v>
      </c>
      <c r="G32" s="11">
        <f t="shared" ref="G32" si="218">G31-G29</f>
        <v>6</v>
      </c>
      <c r="H32" s="11">
        <f t="shared" ref="H32" si="219">H31-H29</f>
        <v>0</v>
      </c>
      <c r="I32" s="11">
        <f t="shared" ref="I32" si="220">I31-I29</f>
        <v>0</v>
      </c>
      <c r="J32" s="11">
        <f t="shared" ref="J32" si="221">J31-J29</f>
        <v>0</v>
      </c>
      <c r="K32" s="11">
        <f t="shared" ref="K32" si="222">K31-K29</f>
        <v>267</v>
      </c>
      <c r="L32" s="11">
        <f t="shared" ref="L32" si="223">L31-L29</f>
        <v>-1095</v>
      </c>
      <c r="M32" s="11">
        <f t="shared" ref="M32" si="224">M31-M29</f>
        <v>-2746</v>
      </c>
      <c r="N32" s="11">
        <f t="shared" ref="N32" si="225">N31-N29</f>
        <v>-616</v>
      </c>
      <c r="O32" s="11">
        <f t="shared" ref="O32" si="226">O31-O29</f>
        <v>-479</v>
      </c>
      <c r="P32" s="11">
        <f t="shared" ref="P32" si="227">P31-P29</f>
        <v>-3481</v>
      </c>
      <c r="Q32" s="11">
        <f t="shared" ref="Q32" si="228">Q31-Q29</f>
        <v>0</v>
      </c>
      <c r="R32" s="11">
        <f t="shared" ref="R32" si="229">R31-R29</f>
        <v>-1914</v>
      </c>
      <c r="S32" s="11">
        <f t="shared" ref="S32" si="230">S31-S29</f>
        <v>0</v>
      </c>
      <c r="T32" s="11">
        <f t="shared" ref="T32:U32" si="231">T31-T29</f>
        <v>0</v>
      </c>
      <c r="U32" s="11">
        <f t="shared" si="231"/>
        <v>0</v>
      </c>
      <c r="V32" s="9">
        <f t="shared" ref="V32" si="232">V31-V29</f>
        <v>-3014</v>
      </c>
      <c r="W32" s="11">
        <f t="shared" ref="W32" si="233">W31-W29</f>
        <v>0</v>
      </c>
      <c r="X32" s="11">
        <f t="shared" ref="X32" si="234">X31-X29</f>
        <v>0</v>
      </c>
      <c r="Y32" s="11">
        <f t="shared" ref="Y32" si="235">Y31-Y29</f>
        <v>-114</v>
      </c>
      <c r="Z32" s="11">
        <f t="shared" ref="Z32" si="236">Z31-Z29</f>
        <v>37</v>
      </c>
      <c r="AA32" s="11">
        <f t="shared" ref="AA32:AD32" si="237">AA31-AA29</f>
        <v>50</v>
      </c>
      <c r="AB32" s="11">
        <f t="shared" ref="AB32" si="238">AB31-AB29</f>
        <v>-788</v>
      </c>
      <c r="AC32" s="10">
        <f t="shared" si="237"/>
        <v>-29838</v>
      </c>
      <c r="AD32" s="227">
        <f t="shared" si="237"/>
        <v>-60855</v>
      </c>
      <c r="AE32" s="11">
        <f t="shared" ref="AE32" si="239">AE31-AE29</f>
        <v>187</v>
      </c>
      <c r="AF32" s="11">
        <f t="shared" ref="AF32" si="240">AF31-AF29</f>
        <v>259</v>
      </c>
      <c r="AG32" s="11">
        <f t="shared" ref="AG32" si="241">AG31-AG29</f>
        <v>-109</v>
      </c>
      <c r="AH32" s="11">
        <f t="shared" ref="AH32" si="242">AH31-AH29</f>
        <v>0</v>
      </c>
      <c r="AI32" s="11">
        <f t="shared" ref="AI32" si="243">AI31-AI29</f>
        <v>0</v>
      </c>
      <c r="AJ32" s="11">
        <f t="shared" ref="AJ32" si="244">AJ31-AJ29</f>
        <v>80</v>
      </c>
      <c r="AK32" s="11">
        <f t="shared" ref="AK32" si="245">AK31-AK29</f>
        <v>39626</v>
      </c>
      <c r="AL32" s="11">
        <f t="shared" ref="AL32" si="246">AL31-AL29</f>
        <v>-22761</v>
      </c>
      <c r="AM32" s="11">
        <f t="shared" ref="AM32" si="247">AM31-AM29</f>
        <v>0</v>
      </c>
      <c r="AN32" s="11">
        <f t="shared" ref="AN32" si="248">AN31-AN29</f>
        <v>100</v>
      </c>
      <c r="AO32" s="9">
        <f t="shared" ref="AO32" si="249">AO31-AO29</f>
        <v>-17920</v>
      </c>
      <c r="AP32" s="11">
        <f t="shared" ref="AP32" si="250">AP31-AP29</f>
        <v>-36822</v>
      </c>
      <c r="AQ32" s="10">
        <f t="shared" ref="AQ32" si="251">AQ31-AQ29</f>
        <v>0</v>
      </c>
      <c r="AR32" s="11">
        <f t="shared" ref="AR32" si="252">AR31-AR29</f>
        <v>0</v>
      </c>
      <c r="AS32" s="11">
        <f t="shared" ref="AS32" si="253">AS31-AS29</f>
        <v>0</v>
      </c>
      <c r="AT32" s="11">
        <f t="shared" ref="AT32" si="254">AT31-AT29</f>
        <v>0</v>
      </c>
      <c r="AU32" s="11">
        <f t="shared" ref="AU32" si="255">AU31-AU29</f>
        <v>0</v>
      </c>
      <c r="AV32" s="11">
        <f t="shared" ref="AV32" si="256">AV31-AV29</f>
        <v>0</v>
      </c>
      <c r="AW32" s="11">
        <f t="shared" ref="AW32" si="257">AW31-AW29</f>
        <v>-369</v>
      </c>
      <c r="AX32" s="11">
        <f t="shared" ref="AX32" si="258">AX31-AX29</f>
        <v>-32</v>
      </c>
      <c r="AY32" s="11">
        <f t="shared" ref="AY32" si="259">AY31-AY29</f>
        <v>141</v>
      </c>
      <c r="AZ32" s="11">
        <f t="shared" ref="AZ32" si="260">AZ31-AZ29</f>
        <v>0</v>
      </c>
      <c r="BA32" s="11">
        <f t="shared" ref="BA32" si="261">BA31-BA29</f>
        <v>0</v>
      </c>
      <c r="BB32" s="10">
        <f t="shared" ref="BB32" si="262">BB31-BB29</f>
        <v>64937</v>
      </c>
      <c r="BC32" s="11">
        <f t="shared" ref="BC32" si="263">BC31-BC29</f>
        <v>29</v>
      </c>
      <c r="BD32" s="11">
        <f t="shared" ref="BD32" si="264">BD31-BD29</f>
        <v>29</v>
      </c>
      <c r="BE32" s="11">
        <f t="shared" ref="BE32" si="265">BE31-BE29</f>
        <v>0</v>
      </c>
      <c r="BF32" s="11">
        <f t="shared" ref="BF32" si="266">BF31-BF29</f>
        <v>-323</v>
      </c>
      <c r="BG32" s="11">
        <f t="shared" ref="BG32:BH32" si="267">BG31-BG29</f>
        <v>-220</v>
      </c>
      <c r="BH32" s="9">
        <f t="shared" si="267"/>
        <v>26832</v>
      </c>
      <c r="BI32" s="227">
        <f t="shared" ref="BI32" si="268">BI31-BI29</f>
        <v>-34023</v>
      </c>
      <c r="BJ32" s="11">
        <f t="shared" ref="BJ32:BK32" si="269">BJ31-BJ29</f>
        <v>-9472</v>
      </c>
      <c r="BK32" s="49">
        <f t="shared" si="269"/>
        <v>-24551</v>
      </c>
      <c r="BM32" s="30">
        <f t="shared" si="214"/>
        <v>36304</v>
      </c>
    </row>
    <row r="33" spans="1:65" ht="15.75" x14ac:dyDescent="0.25">
      <c r="A33" s="128"/>
      <c r="B33" s="5" t="s">
        <v>133</v>
      </c>
      <c r="C33" s="13">
        <f>C32/C29</f>
        <v>-1.8261297272582421E-2</v>
      </c>
      <c r="D33" s="13">
        <f t="shared" ref="D33" si="270">D32/D29</f>
        <v>-9.3954272976473782E-2</v>
      </c>
      <c r="E33" s="13" t="e">
        <f t="shared" ref="E33" si="271">E32/E29</f>
        <v>#DIV/0!</v>
      </c>
      <c r="F33" s="13">
        <f t="shared" ref="F33" si="272">F32/F29</f>
        <v>1.6647278270287616E-3</v>
      </c>
      <c r="G33" s="13">
        <f t="shared" ref="G33" si="273">G32/G29</f>
        <v>1.8745899334520573E-4</v>
      </c>
      <c r="H33" s="13" t="e">
        <f t="shared" ref="H33" si="274">H32/H29</f>
        <v>#DIV/0!</v>
      </c>
      <c r="I33" s="13" t="e">
        <f t="shared" ref="I33" si="275">I32/I29</f>
        <v>#DIV/0!</v>
      </c>
      <c r="J33" s="13" t="e">
        <f t="shared" ref="J33" si="276">J32/J29</f>
        <v>#DIV/0!</v>
      </c>
      <c r="K33" s="13">
        <f t="shared" ref="K33" si="277">K32/K29</f>
        <v>0.97090909090909094</v>
      </c>
      <c r="L33" s="13">
        <f t="shared" ref="L33" si="278">L32/L29</f>
        <v>-0.2622754491017964</v>
      </c>
      <c r="M33" s="13">
        <f t="shared" ref="M33" si="279">M32/M29</f>
        <v>-0.25070756870263855</v>
      </c>
      <c r="N33" s="13">
        <f t="shared" ref="N33" si="280">N32/N29</f>
        <v>-0.91666666666666663</v>
      </c>
      <c r="O33" s="13">
        <f t="shared" ref="O33" si="281">O32/O29</f>
        <v>-0.44682835820895522</v>
      </c>
      <c r="P33" s="13">
        <f t="shared" ref="P33" si="282">P32/P29</f>
        <v>-0.4668723175965665</v>
      </c>
      <c r="Q33" s="13" t="e">
        <f t="shared" ref="Q33" si="283">Q32/Q29</f>
        <v>#DIV/0!</v>
      </c>
      <c r="R33" s="13">
        <f t="shared" ref="R33" si="284">R32/R29</f>
        <v>-0.77395875454913066</v>
      </c>
      <c r="S33" s="13" t="e">
        <f t="shared" ref="S33" si="285">S32/S29</f>
        <v>#DIV/0!</v>
      </c>
      <c r="T33" s="13" t="e">
        <f t="shared" ref="T33:U33" si="286">T32/T29</f>
        <v>#DIV/0!</v>
      </c>
      <c r="U33" s="13" t="e">
        <f t="shared" si="286"/>
        <v>#DIV/0!</v>
      </c>
      <c r="V33" s="162">
        <f t="shared" ref="V33" si="287">V32/V29</f>
        <v>-1</v>
      </c>
      <c r="W33" s="13" t="e">
        <f t="shared" ref="W33" si="288">W32/W29</f>
        <v>#DIV/0!</v>
      </c>
      <c r="X33" s="13" t="e">
        <f t="shared" ref="X33" si="289">X32/X29</f>
        <v>#DIV/0!</v>
      </c>
      <c r="Y33" s="13">
        <f t="shared" ref="Y33" si="290">Y32/Y29</f>
        <v>-0.22754491017964071</v>
      </c>
      <c r="Z33" s="13" t="e">
        <f t="shared" ref="Z33" si="291">Z32/Z29</f>
        <v>#DIV/0!</v>
      </c>
      <c r="AA33" s="13">
        <f t="shared" ref="AA33:AD33" si="292">AA32/AA29</f>
        <v>50</v>
      </c>
      <c r="AB33" s="13">
        <f t="shared" ref="AB33" si="293">AB32/AB29</f>
        <v>-1</v>
      </c>
      <c r="AC33" s="14">
        <f t="shared" si="292"/>
        <v>-0.38530972765660715</v>
      </c>
      <c r="AD33" s="228">
        <f t="shared" si="292"/>
        <v>-8.4132654613021593E-2</v>
      </c>
      <c r="AE33" s="13">
        <f t="shared" ref="AE33" si="294">AE32/AE29</f>
        <v>1.0053763440860215</v>
      </c>
      <c r="AF33" s="13">
        <f t="shared" ref="AF33" si="295">AF32/AF29</f>
        <v>1.6928104575163399</v>
      </c>
      <c r="AG33" s="13">
        <f t="shared" ref="AG33" si="296">AG32/AG29</f>
        <v>-1</v>
      </c>
      <c r="AH33" s="13" t="e">
        <f t="shared" ref="AH33" si="297">AH32/AH29</f>
        <v>#DIV/0!</v>
      </c>
      <c r="AI33" s="13" t="e">
        <f t="shared" ref="AI33" si="298">AI32/AI29</f>
        <v>#DIV/0!</v>
      </c>
      <c r="AJ33" s="13">
        <f t="shared" ref="AJ33" si="299">AJ32/AJ29</f>
        <v>16</v>
      </c>
      <c r="AK33" s="13">
        <f t="shared" ref="AK33" si="300">AK32/AK29</f>
        <v>0.27669275833897761</v>
      </c>
      <c r="AL33" s="13">
        <f t="shared" ref="AL33" si="301">AL32/AL29</f>
        <v>-0.56161172522700353</v>
      </c>
      <c r="AM33" s="13" t="e">
        <f t="shared" ref="AM33" si="302">AM32/AM29</f>
        <v>#DIV/0!</v>
      </c>
      <c r="AN33" s="13" t="e">
        <f t="shared" ref="AN33" si="303">AN32/AN29</f>
        <v>#DIV/0!</v>
      </c>
      <c r="AO33" s="162">
        <f t="shared" ref="AO33" si="304">AO32/AO29</f>
        <v>-0.40224466891133559</v>
      </c>
      <c r="AP33" s="13">
        <f t="shared" ref="AP33" si="305">AP32/AP29</f>
        <v>-0.54402813072513445</v>
      </c>
      <c r="AQ33" s="14" t="e">
        <f t="shared" ref="AQ33" si="306">AQ32/AQ29</f>
        <v>#DIV/0!</v>
      </c>
      <c r="AR33" s="13" t="e">
        <f t="shared" ref="AR33" si="307">AR32/AR29</f>
        <v>#DIV/0!</v>
      </c>
      <c r="AS33" s="13" t="e">
        <f t="shared" ref="AS33" si="308">AS32/AS29</f>
        <v>#DIV/0!</v>
      </c>
      <c r="AT33" s="13" t="e">
        <f t="shared" ref="AT33" si="309">AT32/AT29</f>
        <v>#DIV/0!</v>
      </c>
      <c r="AU33" s="13" t="e">
        <f t="shared" ref="AU33" si="310">AU32/AU29</f>
        <v>#DIV/0!</v>
      </c>
      <c r="AV33" s="13" t="e">
        <f t="shared" ref="AV33" si="311">AV32/AV29</f>
        <v>#DIV/0!</v>
      </c>
      <c r="AW33" s="13">
        <f t="shared" ref="AW33" si="312">AW32/AW29</f>
        <v>-1</v>
      </c>
      <c r="AX33" s="13">
        <f t="shared" ref="AX33" si="313">AX32/AX29</f>
        <v>-1</v>
      </c>
      <c r="AY33" s="13">
        <f t="shared" ref="AY33" si="314">AY32/AY29</f>
        <v>11.75</v>
      </c>
      <c r="AZ33" s="13" t="e">
        <f t="shared" ref="AZ33" si="315">AZ32/AZ29</f>
        <v>#DIV/0!</v>
      </c>
      <c r="BA33" s="13" t="e">
        <f t="shared" ref="BA33" si="316">BA32/BA29</f>
        <v>#DIV/0!</v>
      </c>
      <c r="BB33" s="14">
        <f t="shared" ref="BB33" si="317">BB32/BB29</f>
        <v>1.3212810547947993</v>
      </c>
      <c r="BC33" s="13">
        <f t="shared" ref="BC33" si="318">BC32/BC29</f>
        <v>2.7358490566037737E-2</v>
      </c>
      <c r="BD33" s="13">
        <f t="shared" ref="BD33" si="319">BD32/BD29</f>
        <v>2.7358490566037737E-2</v>
      </c>
      <c r="BE33" s="13" t="e">
        <f t="shared" ref="BE33" si="320">BE32/BE29</f>
        <v>#DIV/0!</v>
      </c>
      <c r="BF33" s="13">
        <f t="shared" ref="BF33" si="321">BF32/BF29</f>
        <v>-9.9907206928549333E-2</v>
      </c>
      <c r="BG33" s="13">
        <f t="shared" ref="BG33:BH33" si="322">BG32/BG29</f>
        <v>-0.58201058201058198</v>
      </c>
      <c r="BH33" s="162">
        <f t="shared" si="322"/>
        <v>7.6288173229197176E-2</v>
      </c>
      <c r="BI33" s="228">
        <f t="shared" ref="BI33" si="323">BI32/BI29</f>
        <v>-3.1648095281947383E-2</v>
      </c>
      <c r="BJ33" s="13">
        <f t="shared" ref="BJ33:BK33" si="324">BJ32/BJ29</f>
        <v>-0.35363076348702632</v>
      </c>
      <c r="BK33" s="50">
        <f t="shared" si="324"/>
        <v>-2.3420805604737773E-2</v>
      </c>
      <c r="BM33" s="162" t="e">
        <f t="shared" ref="BM33" si="325">BM32/BM29</f>
        <v>#DIV/0!</v>
      </c>
    </row>
    <row r="34" spans="1:65" ht="15.75" x14ac:dyDescent="0.25">
      <c r="A34" s="128"/>
      <c r="B34" s="5" t="s">
        <v>134</v>
      </c>
      <c r="C34" s="11">
        <f>C31-C30</f>
        <v>15957</v>
      </c>
      <c r="D34" s="11">
        <f t="shared" ref="D34:BK34" si="326">D31-D30</f>
        <v>22755</v>
      </c>
      <c r="E34" s="11">
        <f t="shared" si="326"/>
        <v>-482</v>
      </c>
      <c r="F34" s="11">
        <f t="shared" si="326"/>
        <v>6597</v>
      </c>
      <c r="G34" s="11">
        <f t="shared" si="326"/>
        <v>4439</v>
      </c>
      <c r="H34" s="11">
        <f t="shared" si="326"/>
        <v>0</v>
      </c>
      <c r="I34" s="11">
        <f t="shared" si="326"/>
        <v>0</v>
      </c>
      <c r="J34" s="11">
        <f t="shared" si="326"/>
        <v>0</v>
      </c>
      <c r="K34" s="11">
        <f t="shared" si="326"/>
        <v>321</v>
      </c>
      <c r="L34" s="11">
        <f t="shared" si="326"/>
        <v>-801</v>
      </c>
      <c r="M34" s="11">
        <f t="shared" si="326"/>
        <v>-381</v>
      </c>
      <c r="N34" s="11">
        <f t="shared" si="326"/>
        <v>-57</v>
      </c>
      <c r="O34" s="11">
        <f t="shared" si="326"/>
        <v>399</v>
      </c>
      <c r="P34" s="11">
        <f t="shared" si="326"/>
        <v>-1811</v>
      </c>
      <c r="Q34" s="11">
        <f t="shared" si="326"/>
        <v>0</v>
      </c>
      <c r="R34" s="11">
        <f t="shared" si="326"/>
        <v>-15</v>
      </c>
      <c r="S34" s="11">
        <f t="shared" si="326"/>
        <v>0</v>
      </c>
      <c r="T34" s="11">
        <f t="shared" si="326"/>
        <v>0</v>
      </c>
      <c r="U34" s="11">
        <f t="shared" ref="U34" si="327">U31-U30</f>
        <v>0</v>
      </c>
      <c r="V34" s="9">
        <f t="shared" si="326"/>
        <v>0</v>
      </c>
      <c r="W34" s="11">
        <f t="shared" si="326"/>
        <v>0</v>
      </c>
      <c r="X34" s="11">
        <f t="shared" si="326"/>
        <v>0</v>
      </c>
      <c r="Y34" s="11">
        <f t="shared" si="326"/>
        <v>17</v>
      </c>
      <c r="Z34" s="11">
        <f t="shared" si="326"/>
        <v>36</v>
      </c>
      <c r="AA34" s="11">
        <f t="shared" si="326"/>
        <v>50</v>
      </c>
      <c r="AB34" s="11">
        <f t="shared" ref="AB34" si="328">AB31-AB30</f>
        <v>0</v>
      </c>
      <c r="AC34" s="10">
        <f t="shared" ref="AC34:AD34" si="329">AC31-AC30</f>
        <v>22092</v>
      </c>
      <c r="AD34" s="227">
        <f t="shared" si="329"/>
        <v>69116</v>
      </c>
      <c r="AE34" s="11">
        <f t="shared" si="326"/>
        <v>-126</v>
      </c>
      <c r="AF34" s="11">
        <f t="shared" si="326"/>
        <v>147</v>
      </c>
      <c r="AG34" s="11">
        <f t="shared" si="326"/>
        <v>0</v>
      </c>
      <c r="AH34" s="11">
        <f t="shared" si="326"/>
        <v>0</v>
      </c>
      <c r="AI34" s="11">
        <f t="shared" si="326"/>
        <v>0</v>
      </c>
      <c r="AJ34" s="11">
        <f t="shared" si="326"/>
        <v>-54</v>
      </c>
      <c r="AK34" s="11">
        <f t="shared" si="326"/>
        <v>-34863</v>
      </c>
      <c r="AL34" s="11">
        <f t="shared" si="326"/>
        <v>-24809</v>
      </c>
      <c r="AM34" s="11">
        <f t="shared" si="326"/>
        <v>0</v>
      </c>
      <c r="AN34" s="11">
        <f t="shared" si="326"/>
        <v>10</v>
      </c>
      <c r="AO34" s="9">
        <f t="shared" si="326"/>
        <v>-1661</v>
      </c>
      <c r="AP34" s="11">
        <f t="shared" si="326"/>
        <v>-34373</v>
      </c>
      <c r="AQ34" s="10">
        <f t="shared" si="326"/>
        <v>0</v>
      </c>
      <c r="AR34" s="11">
        <f t="shared" si="326"/>
        <v>0</v>
      </c>
      <c r="AS34" s="11">
        <f t="shared" si="326"/>
        <v>0</v>
      </c>
      <c r="AT34" s="11">
        <f t="shared" si="326"/>
        <v>0</v>
      </c>
      <c r="AU34" s="11">
        <f t="shared" si="326"/>
        <v>0</v>
      </c>
      <c r="AV34" s="11">
        <f t="shared" si="326"/>
        <v>0</v>
      </c>
      <c r="AW34" s="11">
        <f t="shared" si="326"/>
        <v>0</v>
      </c>
      <c r="AX34" s="11">
        <f t="shared" si="326"/>
        <v>0</v>
      </c>
      <c r="AY34" s="11">
        <f t="shared" si="326"/>
        <v>153</v>
      </c>
      <c r="AZ34" s="11">
        <f t="shared" si="326"/>
        <v>0</v>
      </c>
      <c r="BA34" s="11">
        <f t="shared" si="326"/>
        <v>0</v>
      </c>
      <c r="BB34" s="10">
        <f t="shared" si="326"/>
        <v>25635</v>
      </c>
      <c r="BC34" s="11">
        <f t="shared" si="326"/>
        <v>-98</v>
      </c>
      <c r="BD34" s="11">
        <f t="shared" si="326"/>
        <v>-98</v>
      </c>
      <c r="BE34" s="11">
        <f t="shared" si="326"/>
        <v>0</v>
      </c>
      <c r="BF34" s="11">
        <f t="shared" si="326"/>
        <v>-4067</v>
      </c>
      <c r="BG34" s="11">
        <f t="shared" si="326"/>
        <v>142</v>
      </c>
      <c r="BH34" s="9">
        <f t="shared" si="326"/>
        <v>-74062</v>
      </c>
      <c r="BI34" s="227">
        <f t="shared" si="326"/>
        <v>-4946</v>
      </c>
      <c r="BJ34" s="11">
        <f t="shared" si="326"/>
        <v>24351</v>
      </c>
      <c r="BK34" s="49">
        <f t="shared" si="326"/>
        <v>-29297</v>
      </c>
      <c r="BM34" s="30">
        <f t="shared" si="214"/>
        <v>-98413</v>
      </c>
    </row>
    <row r="35" spans="1:65" ht="15.75" x14ac:dyDescent="0.25">
      <c r="A35" s="128"/>
      <c r="B35" s="5" t="s">
        <v>135</v>
      </c>
      <c r="C35" s="13">
        <f>C34/C30</f>
        <v>3.8997316597504286E-2</v>
      </c>
      <c r="D35" s="13">
        <f t="shared" ref="D35" si="330">D34/D30</f>
        <v>0.33721602276263729</v>
      </c>
      <c r="E35" s="13">
        <f t="shared" ref="E35" si="331">E34/E30</f>
        <v>-0.90262172284644193</v>
      </c>
      <c r="F35" s="13">
        <f t="shared" ref="F35" si="332">F34/F30</f>
        <v>0.15220099667774087</v>
      </c>
      <c r="G35" s="13">
        <f t="shared" ref="G35" si="333">G34/G30</f>
        <v>0.16098498585624138</v>
      </c>
      <c r="H35" s="13" t="e">
        <f t="shared" ref="H35" si="334">H34/H30</f>
        <v>#DIV/0!</v>
      </c>
      <c r="I35" s="13" t="e">
        <f t="shared" ref="I35" si="335">I34/I30</f>
        <v>#DIV/0!</v>
      </c>
      <c r="J35" s="13" t="e">
        <f t="shared" ref="J35" si="336">J34/J30</f>
        <v>#DIV/0!</v>
      </c>
      <c r="K35" s="13">
        <f t="shared" ref="K35" si="337">K34/K30</f>
        <v>1.4524886877828054</v>
      </c>
      <c r="L35" s="13">
        <f t="shared" ref="L35" si="338">L34/L30</f>
        <v>-0.20639010564287555</v>
      </c>
      <c r="M35" s="13">
        <f t="shared" ref="M35" si="339">M34/M30</f>
        <v>-4.4364229156963204E-2</v>
      </c>
      <c r="N35" s="13">
        <f t="shared" ref="N35" si="340">N34/N30</f>
        <v>-0.50442477876106195</v>
      </c>
      <c r="O35" s="13">
        <f t="shared" ref="O35" si="341">O34/O30</f>
        <v>2.0567010309278349</v>
      </c>
      <c r="P35" s="13">
        <f t="shared" ref="P35" si="342">P34/P30</f>
        <v>-0.31299688904251644</v>
      </c>
      <c r="Q35" s="13" t="e">
        <f t="shared" ref="Q35" si="343">Q34/Q30</f>
        <v>#DIV/0!</v>
      </c>
      <c r="R35" s="13">
        <f t="shared" ref="R35" si="344">R34/R30</f>
        <v>-2.6132404181184669E-2</v>
      </c>
      <c r="S35" s="13" t="e">
        <f t="shared" ref="S35" si="345">S34/S30</f>
        <v>#DIV/0!</v>
      </c>
      <c r="T35" s="13" t="e">
        <f t="shared" ref="T35:U35" si="346">T34/T30</f>
        <v>#DIV/0!</v>
      </c>
      <c r="U35" s="13" t="e">
        <f t="shared" si="346"/>
        <v>#DIV/0!</v>
      </c>
      <c r="V35" s="162" t="e">
        <f t="shared" ref="V35" si="347">V34/V30</f>
        <v>#DIV/0!</v>
      </c>
      <c r="W35" s="13" t="e">
        <f t="shared" ref="W35" si="348">W34/W30</f>
        <v>#DIV/0!</v>
      </c>
      <c r="X35" s="13" t="e">
        <f t="shared" ref="X35" si="349">X34/X30</f>
        <v>#DIV/0!</v>
      </c>
      <c r="Y35" s="13">
        <f t="shared" ref="Y35" si="350">Y34/Y30</f>
        <v>4.5945945945945948E-2</v>
      </c>
      <c r="Z35" s="13">
        <f t="shared" ref="Z35" si="351">Z34/Z30</f>
        <v>36</v>
      </c>
      <c r="AA35" s="13">
        <f t="shared" ref="AA35:AD35" si="352">AA34/AA30</f>
        <v>50</v>
      </c>
      <c r="AB35" s="13" t="e">
        <f t="shared" ref="AB35" si="353">AB34/AB30</f>
        <v>#DIV/0!</v>
      </c>
      <c r="AC35" s="14">
        <f t="shared" si="352"/>
        <v>0.86604727743149479</v>
      </c>
      <c r="AD35" s="228">
        <f t="shared" si="352"/>
        <v>0.11648417210049364</v>
      </c>
      <c r="AE35" s="13">
        <f t="shared" ref="AE35" si="354">AE34/AE30</f>
        <v>-0.25250501002004005</v>
      </c>
      <c r="AF35" s="13">
        <f t="shared" ref="AF35" si="355">AF34/AF30</f>
        <v>0.55471698113207546</v>
      </c>
      <c r="AG35" s="13" t="e">
        <f t="shared" ref="AG35" si="356">AG34/AG30</f>
        <v>#DIV/0!</v>
      </c>
      <c r="AH35" s="13" t="e">
        <f t="shared" ref="AH35" si="357">AH34/AH30</f>
        <v>#DIV/0!</v>
      </c>
      <c r="AI35" s="13" t="e">
        <f t="shared" ref="AI35" si="358">AI34/AI30</f>
        <v>#DIV/0!</v>
      </c>
      <c r="AJ35" s="13">
        <f t="shared" ref="AJ35" si="359">AJ34/AJ30</f>
        <v>-0.38848920863309355</v>
      </c>
      <c r="AK35" s="13">
        <f t="shared" ref="AK35" si="360">AK34/AK30</f>
        <v>-0.16014092658772083</v>
      </c>
      <c r="AL35" s="13">
        <f t="shared" ref="AL35" si="361">AL34/AL30</f>
        <v>-0.58269917324314169</v>
      </c>
      <c r="AM35" s="13" t="e">
        <f t="shared" ref="AM35" si="362">AM34/AM30</f>
        <v>#DIV/0!</v>
      </c>
      <c r="AN35" s="13">
        <f t="shared" ref="AN35" si="363">AN34/AN30</f>
        <v>0.1111111111111111</v>
      </c>
      <c r="AO35" s="162">
        <f t="shared" ref="AO35" si="364">AO34/AO30</f>
        <v>-5.8711250927856916E-2</v>
      </c>
      <c r="AP35" s="13">
        <f t="shared" ref="AP35" si="365">AP34/AP30</f>
        <v>-0.52691040085843488</v>
      </c>
      <c r="AQ35" s="14" t="e">
        <f t="shared" ref="AQ35" si="366">AQ34/AQ30</f>
        <v>#DIV/0!</v>
      </c>
      <c r="AR35" s="13" t="e">
        <f t="shared" ref="AR35" si="367">AR34/AR30</f>
        <v>#DIV/0!</v>
      </c>
      <c r="AS35" s="13" t="e">
        <f t="shared" ref="AS35" si="368">AS34/AS30</f>
        <v>#DIV/0!</v>
      </c>
      <c r="AT35" s="13" t="e">
        <f t="shared" ref="AT35" si="369">AT34/AT30</f>
        <v>#DIV/0!</v>
      </c>
      <c r="AU35" s="13" t="e">
        <f t="shared" ref="AU35" si="370">AU34/AU30</f>
        <v>#DIV/0!</v>
      </c>
      <c r="AV35" s="13" t="e">
        <f t="shared" ref="AV35" si="371">AV34/AV30</f>
        <v>#DIV/0!</v>
      </c>
      <c r="AW35" s="13" t="e">
        <f t="shared" ref="AW35" si="372">AW34/AW30</f>
        <v>#DIV/0!</v>
      </c>
      <c r="AX35" s="13" t="e">
        <f t="shared" ref="AX35" si="373">AX34/AX30</f>
        <v>#DIV/0!</v>
      </c>
      <c r="AY35" s="13" t="e">
        <f t="shared" ref="AY35" si="374">AY34/AY30</f>
        <v>#DIV/0!</v>
      </c>
      <c r="AZ35" s="13" t="e">
        <f t="shared" ref="AZ35" si="375">AZ34/AZ30</f>
        <v>#DIV/0!</v>
      </c>
      <c r="BA35" s="13" t="e">
        <f t="shared" ref="BA35" si="376">BA34/BA30</f>
        <v>#DIV/0!</v>
      </c>
      <c r="BB35" s="14">
        <f t="shared" ref="BB35" si="377">BB34/BB30</f>
        <v>0.28982803649560762</v>
      </c>
      <c r="BC35" s="13">
        <f t="shared" ref="BC35" si="378">BC34/BC30</f>
        <v>-8.2561078348778433E-2</v>
      </c>
      <c r="BD35" s="13">
        <f t="shared" ref="BD35" si="379">BD34/BD30</f>
        <v>-8.2561078348778433E-2</v>
      </c>
      <c r="BE35" s="13" t="e">
        <f t="shared" ref="BE35" si="380">BE34/BE30</f>
        <v>#DIV/0!</v>
      </c>
      <c r="BF35" s="13">
        <f t="shared" ref="BF35" si="381">BF34/BF30</f>
        <v>-0.5829152931059195</v>
      </c>
      <c r="BG35" s="13">
        <f t="shared" ref="BG35:BH35" si="382">BG34/BG30</f>
        <v>8.875</v>
      </c>
      <c r="BH35" s="162">
        <f t="shared" si="382"/>
        <v>-0.1636320653626829</v>
      </c>
      <c r="BI35" s="228">
        <f t="shared" ref="BI35" si="383">BI34/BI30</f>
        <v>-4.7286522289486065E-3</v>
      </c>
      <c r="BJ35" s="13">
        <f t="shared" ref="BJ35:BK35" si="384">BJ34/BJ30</f>
        <v>-3.4599317988064793</v>
      </c>
      <c r="BK35" s="50">
        <f t="shared" si="384"/>
        <v>-2.7822359311758194E-2</v>
      </c>
      <c r="BM35" s="14">
        <f t="shared" ref="BM35" si="385">BM34/BM30</f>
        <v>-0.21410374392745801</v>
      </c>
    </row>
    <row r="36" spans="1:65" ht="15.75" x14ac:dyDescent="0.25">
      <c r="A36" s="128"/>
      <c r="B36" s="5" t="s">
        <v>296</v>
      </c>
      <c r="C36" s="126">
        <f>C31/C28</f>
        <v>0.43196622620517278</v>
      </c>
      <c r="D36" s="126">
        <f t="shared" ref="D36:BK36" si="386">D31/D28</f>
        <v>0.32214923241699395</v>
      </c>
      <c r="E36" s="126">
        <f t="shared" si="386"/>
        <v>1.0358978445356389E-3</v>
      </c>
      <c r="F36" s="126">
        <f t="shared" si="386"/>
        <v>0.4407271764550148</v>
      </c>
      <c r="G36" s="126">
        <f t="shared" si="386"/>
        <v>0.44008358192540864</v>
      </c>
      <c r="H36" s="126" t="e">
        <f t="shared" si="386"/>
        <v>#DIV/0!</v>
      </c>
      <c r="I36" s="126" t="e">
        <f t="shared" si="386"/>
        <v>#DIV/0!</v>
      </c>
      <c r="J36" s="126" t="e">
        <f t="shared" si="386"/>
        <v>#DIV/0!</v>
      </c>
      <c r="K36" s="126">
        <f t="shared" si="386"/>
        <v>0.86719999999999997</v>
      </c>
      <c r="L36" s="126">
        <f t="shared" si="386"/>
        <v>0.3246205733558179</v>
      </c>
      <c r="M36" s="126">
        <f t="shared" si="386"/>
        <v>0.32977056294450918</v>
      </c>
      <c r="N36" s="126">
        <f t="shared" si="386"/>
        <v>3.6673215455140802E-2</v>
      </c>
      <c r="O36" s="126">
        <f t="shared" si="386"/>
        <v>0.24353182751540042</v>
      </c>
      <c r="P36" s="126">
        <f t="shared" si="386"/>
        <v>0.23459631728045327</v>
      </c>
      <c r="Q36" s="126" t="e">
        <f t="shared" si="386"/>
        <v>#DIV/0!</v>
      </c>
      <c r="R36" s="126">
        <f t="shared" si="386"/>
        <v>9.939544807965861E-2</v>
      </c>
      <c r="S36" s="126" t="e">
        <f t="shared" si="386"/>
        <v>#DIV/0!</v>
      </c>
      <c r="T36" s="126" t="e">
        <f t="shared" si="386"/>
        <v>#DIV/0!</v>
      </c>
      <c r="U36" s="126" t="e">
        <f t="shared" si="386"/>
        <v>#DIV/0!</v>
      </c>
      <c r="V36" s="177">
        <f t="shared" si="386"/>
        <v>0</v>
      </c>
      <c r="W36" s="126" t="e">
        <f t="shared" si="386"/>
        <v>#DIV/0!</v>
      </c>
      <c r="X36" s="126" t="e">
        <f t="shared" si="386"/>
        <v>#DIV/0!</v>
      </c>
      <c r="Y36" s="126">
        <f t="shared" si="386"/>
        <v>0.34126984126984128</v>
      </c>
      <c r="Z36" s="126" t="e">
        <f t="shared" si="386"/>
        <v>#DIV/0!</v>
      </c>
      <c r="AA36" s="126">
        <f t="shared" si="386"/>
        <v>17</v>
      </c>
      <c r="AB36" s="126">
        <f t="shared" ref="AB36" si="387">AB31/AB28</f>
        <v>0</v>
      </c>
      <c r="AC36" s="215">
        <f t="shared" si="386"/>
        <v>0.27046637423577807</v>
      </c>
      <c r="AD36" s="229">
        <f t="shared" si="386"/>
        <v>0.37901215073363242</v>
      </c>
      <c r="AE36" s="126">
        <f t="shared" si="386"/>
        <v>0.87971698113207553</v>
      </c>
      <c r="AF36" s="126">
        <f t="shared" si="386"/>
        <v>1.177142857142857</v>
      </c>
      <c r="AG36" s="126">
        <f t="shared" si="386"/>
        <v>0</v>
      </c>
      <c r="AH36" s="126" t="e">
        <f t="shared" si="386"/>
        <v>#DIV/0!</v>
      </c>
      <c r="AI36" s="126" t="e">
        <f t="shared" si="386"/>
        <v>#DIV/0!</v>
      </c>
      <c r="AJ36" s="126">
        <f t="shared" si="386"/>
        <v>6.0714285714285712</v>
      </c>
      <c r="AK36" s="126">
        <f t="shared" si="386"/>
        <v>0.56174151883644763</v>
      </c>
      <c r="AL36" s="126">
        <f t="shared" si="386"/>
        <v>0.19289312546141485</v>
      </c>
      <c r="AM36" s="126" t="e">
        <f t="shared" si="386"/>
        <v>#DIV/0!</v>
      </c>
      <c r="AN36" s="126" t="e">
        <f t="shared" si="386"/>
        <v>#DIV/0!</v>
      </c>
      <c r="AO36" s="177">
        <f t="shared" si="386"/>
        <v>0.26301754108723135</v>
      </c>
      <c r="AP36" s="126">
        <f t="shared" si="386"/>
        <v>0.20062928243599912</v>
      </c>
      <c r="AQ36" s="215" t="e">
        <f t="shared" si="386"/>
        <v>#DIV/0!</v>
      </c>
      <c r="AR36" s="126" t="e">
        <f t="shared" si="386"/>
        <v>#DIV/0!</v>
      </c>
      <c r="AS36" s="126" t="e">
        <f t="shared" si="386"/>
        <v>#DIV/0!</v>
      </c>
      <c r="AT36" s="126" t="e">
        <f t="shared" si="386"/>
        <v>#DIV/0!</v>
      </c>
      <c r="AU36" s="126" t="e">
        <f t="shared" si="386"/>
        <v>#DIV/0!</v>
      </c>
      <c r="AV36" s="126" t="e">
        <f t="shared" si="386"/>
        <v>#DIV/0!</v>
      </c>
      <c r="AW36" s="126">
        <f t="shared" si="386"/>
        <v>0</v>
      </c>
      <c r="AX36" s="126">
        <f t="shared" si="386"/>
        <v>0</v>
      </c>
      <c r="AY36" s="126">
        <f t="shared" si="386"/>
        <v>5.666666666666667</v>
      </c>
      <c r="AZ36" s="126" t="e">
        <f t="shared" si="386"/>
        <v>#DIV/0!</v>
      </c>
      <c r="BA36" s="126" t="e">
        <f t="shared" si="386"/>
        <v>#DIV/0!</v>
      </c>
      <c r="BB36" s="215">
        <f t="shared" si="386"/>
        <v>1.0213794585302964</v>
      </c>
      <c r="BC36" s="126">
        <f t="shared" si="386"/>
        <v>0.4522425249169435</v>
      </c>
      <c r="BD36" s="126">
        <f t="shared" si="386"/>
        <v>0.4522425249169435</v>
      </c>
      <c r="BE36" s="126" t="e">
        <f t="shared" si="386"/>
        <v>#DIV/0!</v>
      </c>
      <c r="BF36" s="126">
        <f t="shared" si="386"/>
        <v>0.39602612955906369</v>
      </c>
      <c r="BG36" s="126">
        <f t="shared" si="386"/>
        <v>0.18698224852071005</v>
      </c>
      <c r="BH36" s="177">
        <f t="shared" si="386"/>
        <v>0.4735758982968577</v>
      </c>
      <c r="BI36" s="229">
        <f t="shared" si="386"/>
        <v>0.40868726111248954</v>
      </c>
      <c r="BJ36" s="126">
        <f t="shared" si="386"/>
        <v>0.26934565481191075</v>
      </c>
      <c r="BK36" s="126">
        <f t="shared" si="386"/>
        <v>0.41229450821725483</v>
      </c>
      <c r="BM36" s="126" t="e">
        <f t="shared" ref="BM36" si="388">BM31/BM28</f>
        <v>#DIV/0!</v>
      </c>
    </row>
    <row r="37" spans="1:65" s="180" customFormat="1" ht="15.75" x14ac:dyDescent="0.25">
      <c r="A37" s="128"/>
      <c r="B37" s="5" t="s">
        <v>297</v>
      </c>
      <c r="C37" s="11">
        <f>C31-C28</f>
        <v>-559056</v>
      </c>
      <c r="D37" s="11">
        <f t="shared" ref="D37:BM37" si="389">D31-D28</f>
        <v>-189866</v>
      </c>
      <c r="E37" s="11">
        <f t="shared" si="389"/>
        <v>-50146</v>
      </c>
      <c r="F37" s="11">
        <f t="shared" si="389"/>
        <v>-63374</v>
      </c>
      <c r="G37" s="11">
        <f t="shared" si="389"/>
        <v>-40730</v>
      </c>
      <c r="H37" s="11">
        <f t="shared" si="389"/>
        <v>0</v>
      </c>
      <c r="I37" s="11">
        <f t="shared" si="389"/>
        <v>0</v>
      </c>
      <c r="J37" s="11">
        <f t="shared" si="389"/>
        <v>0</v>
      </c>
      <c r="K37" s="11">
        <f t="shared" si="389"/>
        <v>-83</v>
      </c>
      <c r="L37" s="11">
        <f t="shared" si="389"/>
        <v>-6408</v>
      </c>
      <c r="M37" s="11">
        <f t="shared" si="389"/>
        <v>-16680</v>
      </c>
      <c r="N37" s="11">
        <f t="shared" si="389"/>
        <v>-1471</v>
      </c>
      <c r="O37" s="11">
        <f t="shared" si="389"/>
        <v>-1842</v>
      </c>
      <c r="P37" s="11">
        <f t="shared" si="389"/>
        <v>-12969</v>
      </c>
      <c r="Q37" s="11">
        <f t="shared" si="389"/>
        <v>0</v>
      </c>
      <c r="R37" s="11">
        <f t="shared" si="389"/>
        <v>-5065</v>
      </c>
      <c r="S37" s="11">
        <f t="shared" si="389"/>
        <v>0</v>
      </c>
      <c r="T37" s="11">
        <f t="shared" si="389"/>
        <v>0</v>
      </c>
      <c r="U37" s="11">
        <f t="shared" si="389"/>
        <v>0</v>
      </c>
      <c r="V37" s="9">
        <f t="shared" si="389"/>
        <v>-6871</v>
      </c>
      <c r="W37" s="11">
        <f t="shared" si="389"/>
        <v>0</v>
      </c>
      <c r="X37" s="11">
        <f t="shared" si="389"/>
        <v>0</v>
      </c>
      <c r="Y37" s="11">
        <f t="shared" si="389"/>
        <v>-747</v>
      </c>
      <c r="Z37" s="11">
        <f t="shared" si="389"/>
        <v>37</v>
      </c>
      <c r="AA37" s="11">
        <f t="shared" si="389"/>
        <v>48</v>
      </c>
      <c r="AB37" s="11">
        <f t="shared" ref="AB37" si="390">AB31-AB28</f>
        <v>-1793</v>
      </c>
      <c r="AC37" s="10">
        <f t="shared" si="389"/>
        <v>-128395</v>
      </c>
      <c r="AD37" s="227">
        <f t="shared" si="389"/>
        <v>-1085411</v>
      </c>
      <c r="AE37" s="11">
        <f t="shared" si="389"/>
        <v>-51</v>
      </c>
      <c r="AF37" s="11">
        <f t="shared" si="389"/>
        <v>62</v>
      </c>
      <c r="AG37" s="11">
        <f t="shared" si="389"/>
        <v>-247</v>
      </c>
      <c r="AH37" s="11">
        <f t="shared" si="389"/>
        <v>0</v>
      </c>
      <c r="AI37" s="11">
        <f t="shared" si="389"/>
        <v>0</v>
      </c>
      <c r="AJ37" s="11">
        <f t="shared" si="389"/>
        <v>71</v>
      </c>
      <c r="AK37" s="11">
        <f t="shared" si="389"/>
        <v>-142647</v>
      </c>
      <c r="AL37" s="11">
        <f t="shared" si="389"/>
        <v>-74341</v>
      </c>
      <c r="AM37" s="11">
        <f t="shared" si="389"/>
        <v>0</v>
      </c>
      <c r="AN37" s="11">
        <f t="shared" si="389"/>
        <v>100</v>
      </c>
      <c r="AO37" s="9">
        <f t="shared" si="389"/>
        <v>-74618</v>
      </c>
      <c r="AP37" s="11">
        <f t="shared" si="389"/>
        <v>-122964</v>
      </c>
      <c r="AQ37" s="10">
        <f t="shared" si="389"/>
        <v>0</v>
      </c>
      <c r="AR37" s="11">
        <f t="shared" si="389"/>
        <v>0</v>
      </c>
      <c r="AS37" s="11">
        <f t="shared" si="389"/>
        <v>0</v>
      </c>
      <c r="AT37" s="11">
        <f t="shared" si="389"/>
        <v>0</v>
      </c>
      <c r="AU37" s="11">
        <f t="shared" si="389"/>
        <v>0</v>
      </c>
      <c r="AV37" s="11">
        <f t="shared" si="389"/>
        <v>0</v>
      </c>
      <c r="AW37" s="11">
        <f t="shared" si="389"/>
        <v>-839</v>
      </c>
      <c r="AX37" s="11">
        <f t="shared" si="389"/>
        <v>-72</v>
      </c>
      <c r="AY37" s="11">
        <f t="shared" si="389"/>
        <v>126</v>
      </c>
      <c r="AZ37" s="11">
        <f t="shared" si="389"/>
        <v>0</v>
      </c>
      <c r="BA37" s="11">
        <f t="shared" si="389"/>
        <v>0</v>
      </c>
      <c r="BB37" s="10">
        <f t="shared" si="389"/>
        <v>2388</v>
      </c>
      <c r="BC37" s="11">
        <f t="shared" si="389"/>
        <v>-1319</v>
      </c>
      <c r="BD37" s="11">
        <f t="shared" si="389"/>
        <v>-1319</v>
      </c>
      <c r="BE37" s="11">
        <f t="shared" si="389"/>
        <v>0</v>
      </c>
      <c r="BF37" s="11">
        <f t="shared" si="389"/>
        <v>-4438</v>
      </c>
      <c r="BG37" s="11">
        <f t="shared" si="389"/>
        <v>-687</v>
      </c>
      <c r="BH37" s="11">
        <f t="shared" si="389"/>
        <v>-420795</v>
      </c>
      <c r="BI37" s="227">
        <f t="shared" si="389"/>
        <v>-1506206</v>
      </c>
      <c r="BJ37" s="11">
        <f t="shared" si="389"/>
        <v>-46965</v>
      </c>
      <c r="BK37" s="11">
        <f t="shared" si="389"/>
        <v>-1459241</v>
      </c>
      <c r="BL37" s="11">
        <f t="shared" si="389"/>
        <v>1023701</v>
      </c>
      <c r="BM37" s="11">
        <f t="shared" si="389"/>
        <v>361238</v>
      </c>
    </row>
    <row r="38" spans="1:65" s="180" customFormat="1" ht="15.75" x14ac:dyDescent="0.25">
      <c r="A38" s="128"/>
      <c r="B38" s="5"/>
      <c r="C38" s="5"/>
      <c r="D38" s="5"/>
      <c r="E38" s="5"/>
      <c r="F38" s="5"/>
      <c r="G38" s="5"/>
      <c r="H38" s="5"/>
      <c r="I38" s="5"/>
      <c r="J38" s="5"/>
      <c r="K38" s="5"/>
      <c r="L38" s="5"/>
      <c r="M38" s="5"/>
      <c r="N38" s="5"/>
      <c r="O38" s="5"/>
      <c r="P38" s="5"/>
      <c r="Q38" s="5"/>
      <c r="R38" s="5"/>
      <c r="S38" s="5"/>
      <c r="T38" s="5"/>
      <c r="U38" s="5"/>
      <c r="V38" s="16"/>
      <c r="W38" s="5"/>
      <c r="X38" s="5"/>
      <c r="Y38" s="5"/>
      <c r="Z38" s="5"/>
      <c r="AA38" s="5"/>
      <c r="AB38" s="5"/>
      <c r="AC38" s="6"/>
      <c r="AD38" s="230"/>
      <c r="AE38" s="5"/>
      <c r="AF38" s="5"/>
      <c r="AG38" s="5"/>
      <c r="AH38" s="5"/>
      <c r="AI38" s="5"/>
      <c r="AJ38" s="5"/>
      <c r="AK38" s="5"/>
      <c r="AL38" s="5"/>
      <c r="AM38" s="5"/>
      <c r="AN38" s="5"/>
      <c r="AO38" s="16"/>
      <c r="AP38" s="5"/>
      <c r="AQ38" s="6"/>
      <c r="AR38" s="5"/>
      <c r="AS38" s="5"/>
      <c r="AT38" s="5"/>
      <c r="AU38" s="5"/>
      <c r="AV38" s="5"/>
      <c r="AW38" s="6"/>
      <c r="AX38" s="5"/>
      <c r="AY38" s="5"/>
      <c r="AZ38" s="5"/>
      <c r="BA38" s="5"/>
      <c r="BB38" s="6"/>
      <c r="BC38" s="5"/>
      <c r="BD38" s="5"/>
      <c r="BE38" s="5"/>
      <c r="BF38" s="5"/>
      <c r="BG38" s="5"/>
      <c r="BH38" s="16"/>
      <c r="BI38" s="230"/>
      <c r="BJ38" s="5"/>
      <c r="BK38" s="48"/>
    </row>
    <row r="39" spans="1:65" ht="15.75" x14ac:dyDescent="0.25">
      <c r="A39" s="15" t="s">
        <v>138</v>
      </c>
      <c r="B39" s="11" t="s">
        <v>301</v>
      </c>
      <c r="C39" s="120">
        <v>1538528</v>
      </c>
      <c r="D39" s="120">
        <v>438598</v>
      </c>
      <c r="E39" s="120">
        <v>65242</v>
      </c>
      <c r="F39" s="120">
        <v>185619</v>
      </c>
      <c r="G39" s="120">
        <v>98410</v>
      </c>
      <c r="H39" s="120">
        <v>0</v>
      </c>
      <c r="I39" s="120">
        <v>0</v>
      </c>
      <c r="J39" s="120">
        <v>0</v>
      </c>
      <c r="K39" s="120">
        <v>1451</v>
      </c>
      <c r="L39" s="120">
        <v>40822</v>
      </c>
      <c r="M39" s="120">
        <v>57025</v>
      </c>
      <c r="N39" s="120">
        <v>209</v>
      </c>
      <c r="O39" s="120">
        <v>3360</v>
      </c>
      <c r="P39" s="120">
        <v>28074</v>
      </c>
      <c r="Q39" s="120">
        <v>0</v>
      </c>
      <c r="R39" s="120">
        <v>5083</v>
      </c>
      <c r="S39" s="120">
        <v>0</v>
      </c>
      <c r="T39" s="120">
        <v>0</v>
      </c>
      <c r="U39" s="120"/>
      <c r="V39" s="189">
        <v>332810</v>
      </c>
      <c r="W39" s="120">
        <v>0</v>
      </c>
      <c r="X39" s="120">
        <v>0</v>
      </c>
      <c r="Y39" s="120">
        <v>243</v>
      </c>
      <c r="Z39" s="120">
        <v>24</v>
      </c>
      <c r="AA39" s="120">
        <v>206</v>
      </c>
      <c r="AB39" s="120">
        <v>2808</v>
      </c>
      <c r="AC39" s="151">
        <v>1155805</v>
      </c>
      <c r="AD39" s="233">
        <f t="shared" ref="AD39:AD40" si="391">SUM(C39:AC39)</f>
        <v>3954317</v>
      </c>
      <c r="AE39" s="120">
        <v>1049</v>
      </c>
      <c r="AF39" s="120">
        <v>224</v>
      </c>
      <c r="AG39" s="120">
        <v>4618</v>
      </c>
      <c r="AH39" s="120">
        <v>0</v>
      </c>
      <c r="AI39" s="120">
        <v>0</v>
      </c>
      <c r="AJ39" s="120">
        <v>0</v>
      </c>
      <c r="AK39" s="120">
        <v>173369</v>
      </c>
      <c r="AL39" s="120">
        <v>30087</v>
      </c>
      <c r="AM39" s="120">
        <v>525</v>
      </c>
      <c r="AN39" s="120">
        <v>0</v>
      </c>
      <c r="AO39" s="189">
        <v>122676</v>
      </c>
      <c r="AP39" s="120">
        <v>-80383</v>
      </c>
      <c r="AQ39" s="151">
        <v>145520</v>
      </c>
      <c r="AR39" s="120">
        <v>0</v>
      </c>
      <c r="AS39" s="120"/>
      <c r="AT39" s="120"/>
      <c r="AU39" s="120">
        <v>0</v>
      </c>
      <c r="AV39" s="120"/>
      <c r="AW39" s="120">
        <v>0</v>
      </c>
      <c r="AX39" s="120">
        <v>0</v>
      </c>
      <c r="AY39" s="120">
        <v>169</v>
      </c>
      <c r="AZ39" s="120">
        <v>0</v>
      </c>
      <c r="BA39" s="120">
        <v>0</v>
      </c>
      <c r="BB39" s="151">
        <v>650303</v>
      </c>
      <c r="BC39" s="120">
        <v>5071</v>
      </c>
      <c r="BD39" s="120">
        <v>5071</v>
      </c>
      <c r="BE39" s="120">
        <v>0</v>
      </c>
      <c r="BF39" s="120">
        <v>11395</v>
      </c>
      <c r="BG39" s="120">
        <v>471</v>
      </c>
      <c r="BH39" s="9">
        <f>SUM(AE39:BG39)</f>
        <v>1070165</v>
      </c>
      <c r="BI39" s="226">
        <f>AD39+BH39</f>
        <v>5024482</v>
      </c>
      <c r="BJ39" s="96">
        <v>81243</v>
      </c>
      <c r="BK39" s="49">
        <f t="shared" ref="BK39:BK40" si="392">BI39-BJ39</f>
        <v>4943239</v>
      </c>
      <c r="BL39">
        <v>4</v>
      </c>
      <c r="BM39" s="30"/>
    </row>
    <row r="40" spans="1:65" s="41" customFormat="1" ht="15.75" x14ac:dyDescent="0.25">
      <c r="A40" s="134" t="s">
        <v>138</v>
      </c>
      <c r="B40" s="216" t="s">
        <v>324</v>
      </c>
      <c r="C40" s="10">
        <v>676953</v>
      </c>
      <c r="D40" s="10">
        <v>155946</v>
      </c>
      <c r="E40" s="10">
        <v>0</v>
      </c>
      <c r="F40" s="10">
        <v>81673</v>
      </c>
      <c r="G40" s="10">
        <v>43299</v>
      </c>
      <c r="H40" s="10">
        <v>0</v>
      </c>
      <c r="I40" s="10">
        <v>0</v>
      </c>
      <c r="J40" s="10">
        <v>0</v>
      </c>
      <c r="K40" s="10">
        <v>638</v>
      </c>
      <c r="L40" s="10">
        <v>17963</v>
      </c>
      <c r="M40" s="10">
        <v>25092</v>
      </c>
      <c r="N40" s="10">
        <v>93</v>
      </c>
      <c r="O40" s="10">
        <v>1478</v>
      </c>
      <c r="P40" s="10">
        <v>12352</v>
      </c>
      <c r="Q40" s="10">
        <v>0</v>
      </c>
      <c r="R40" s="10">
        <v>2237</v>
      </c>
      <c r="S40" s="10">
        <v>0</v>
      </c>
      <c r="T40" s="10">
        <v>0</v>
      </c>
      <c r="U40" s="10"/>
      <c r="V40" s="10">
        <v>146437</v>
      </c>
      <c r="W40" s="10">
        <v>0</v>
      </c>
      <c r="X40" s="10">
        <v>0</v>
      </c>
      <c r="Y40" s="10">
        <v>106</v>
      </c>
      <c r="Z40" s="10">
        <v>10</v>
      </c>
      <c r="AA40" s="10">
        <v>90</v>
      </c>
      <c r="AB40" s="10">
        <v>1236</v>
      </c>
      <c r="AC40" s="10">
        <v>508553</v>
      </c>
      <c r="AD40" s="233">
        <f t="shared" si="391"/>
        <v>1674156</v>
      </c>
      <c r="AE40" s="10">
        <v>462</v>
      </c>
      <c r="AF40" s="10">
        <v>98</v>
      </c>
      <c r="AG40" s="10">
        <v>2031</v>
      </c>
      <c r="AH40" s="10">
        <v>0</v>
      </c>
      <c r="AI40" s="10">
        <v>0</v>
      </c>
      <c r="AJ40" s="10">
        <v>0</v>
      </c>
      <c r="AK40" s="10">
        <v>76284</v>
      </c>
      <c r="AL40" s="10">
        <v>13238</v>
      </c>
      <c r="AM40" s="10">
        <v>232</v>
      </c>
      <c r="AN40" s="10">
        <v>0</v>
      </c>
      <c r="AO40" s="10">
        <v>53978</v>
      </c>
      <c r="AP40" s="10">
        <v>-35369</v>
      </c>
      <c r="AQ40" s="10">
        <v>64030</v>
      </c>
      <c r="AR40" s="10">
        <v>0</v>
      </c>
      <c r="AS40" s="10"/>
      <c r="AT40" s="10"/>
      <c r="AU40" s="10">
        <v>0</v>
      </c>
      <c r="AV40" s="10"/>
      <c r="AW40" s="10">
        <v>0</v>
      </c>
      <c r="AX40" s="10">
        <v>0</v>
      </c>
      <c r="AY40" s="10">
        <v>76</v>
      </c>
      <c r="AZ40" s="10">
        <v>0</v>
      </c>
      <c r="BA40" s="10">
        <v>0</v>
      </c>
      <c r="BB40" s="10">
        <v>286134</v>
      </c>
      <c r="BC40" s="10">
        <v>2232</v>
      </c>
      <c r="BD40" s="10">
        <v>2202</v>
      </c>
      <c r="BE40" s="10">
        <v>0</v>
      </c>
      <c r="BF40" s="10">
        <v>5015</v>
      </c>
      <c r="BG40" s="10">
        <v>228</v>
      </c>
      <c r="BH40" s="10">
        <f>SUM(AE40:BG40)</f>
        <v>470871</v>
      </c>
      <c r="BI40" s="226">
        <f>AD40+BH40</f>
        <v>2145027</v>
      </c>
      <c r="BJ40" s="10">
        <v>33851</v>
      </c>
      <c r="BK40" s="10">
        <f t="shared" si="392"/>
        <v>2111176</v>
      </c>
      <c r="BM40" s="217"/>
    </row>
    <row r="41" spans="1:65" ht="15.75" x14ac:dyDescent="0.25">
      <c r="A41" s="128"/>
      <c r="B41" s="12" t="s">
        <v>325</v>
      </c>
      <c r="C41" s="9">
        <f>IF('Upto Month COPPY'!$E$4="",0,'Upto Month COPPY'!$E$4)</f>
        <v>639190</v>
      </c>
      <c r="D41" s="9">
        <f>IF('Upto Month COPPY'!$E$5="",0,'Upto Month COPPY'!$E$5)</f>
        <v>106830</v>
      </c>
      <c r="E41" s="9">
        <f>IF('Upto Month COPPY'!$E$6="",0,'Upto Month COPPY'!$E$6)</f>
        <v>-438</v>
      </c>
      <c r="F41" s="9">
        <f>IF('Upto Month COPPY'!$E$7="",0,'Upto Month COPPY'!$E$7)</f>
        <v>72242</v>
      </c>
      <c r="G41" s="9">
        <f>IF('Upto Month COPPY'!$E$8="",0,'Upto Month COPPY'!$E$8)</f>
        <v>37536</v>
      </c>
      <c r="H41" s="9">
        <f>IF('Upto Month COPPY'!$E$9="",0,'Upto Month COPPY'!$E$9)</f>
        <v>0</v>
      </c>
      <c r="I41" s="9">
        <f>IF('Upto Month COPPY'!$E$10="",0,'Upto Month COPPY'!$E$10)</f>
        <v>0</v>
      </c>
      <c r="J41" s="9">
        <f>IF('Upto Month COPPY'!$E$11="",0,'Upto Month COPPY'!$E$11)</f>
        <v>0</v>
      </c>
      <c r="K41" s="9">
        <f>IF('Upto Month COPPY'!$E$12="",0,'Upto Month COPPY'!$E$12)</f>
        <v>160</v>
      </c>
      <c r="L41" s="9">
        <f>IF('Upto Month COPPY'!$E$13="",0,'Upto Month COPPY'!$E$13)</f>
        <v>18335</v>
      </c>
      <c r="M41" s="9">
        <f>IF('Upto Month COPPY'!$E$14="",0,'Upto Month COPPY'!$E$14)</f>
        <v>20488</v>
      </c>
      <c r="N41" s="9">
        <f>IF('Upto Month COPPY'!$E$15="",0,'Upto Month COPPY'!$E$15)</f>
        <v>63</v>
      </c>
      <c r="O41" s="9">
        <f>IF('Upto Month COPPY'!$E$16="",0,'Upto Month COPPY'!$E$16)</f>
        <v>1165</v>
      </c>
      <c r="P41" s="9">
        <f>IF('Upto Month COPPY'!$E$17="",0,'Upto Month COPPY'!$E$17)</f>
        <v>11309</v>
      </c>
      <c r="Q41" s="9">
        <f>IF('Upto Month COPPY'!$E$18="",0,'Upto Month COPPY'!$E$18)</f>
        <v>0</v>
      </c>
      <c r="R41" s="9">
        <f>IF('Upto Month COPPY'!$E$21="",0,'Upto Month COPPY'!$E$21)</f>
        <v>601</v>
      </c>
      <c r="S41" s="9">
        <f>IF('Upto Month COPPY'!$E$26="",0,'Upto Month COPPY'!$E$26)</f>
        <v>0</v>
      </c>
      <c r="T41" s="9">
        <f>IF('Upto Month COPPY'!$E$27="",0,'Upto Month COPPY'!$E$27)</f>
        <v>0</v>
      </c>
      <c r="U41" s="9">
        <f>IF('Upto Month COPPY'!$E$30="",0,'Upto Month COPPY'!$E$30)</f>
        <v>176</v>
      </c>
      <c r="V41" s="9">
        <f>IF('Upto Month COPPY'!$E$35="",0,'Upto Month COPPY'!$E$35)</f>
        <v>110202</v>
      </c>
      <c r="W41" s="9">
        <f>IF('Upto Month COPPY'!$E$39="",0,'Upto Month COPPY'!$E$39)</f>
        <v>0</v>
      </c>
      <c r="X41" s="9">
        <f>IF('Upto Month COPPY'!$E$40="",0,'Upto Month COPPY'!$E$40)</f>
        <v>0</v>
      </c>
      <c r="Y41" s="9">
        <f>IF('Upto Month COPPY'!$E$42="",0,'Upto Month COPPY'!$E$42)</f>
        <v>290</v>
      </c>
      <c r="Z41" s="9">
        <f>IF('Upto Month COPPY'!$E$43="",0,'Upto Month COPPY'!$E$43)</f>
        <v>22</v>
      </c>
      <c r="AA41" s="9">
        <f>IF('Upto Month COPPY'!$E$44="",0,'Upto Month COPPY'!$E$44)</f>
        <v>68</v>
      </c>
      <c r="AB41" s="9">
        <f>IF('Upto Month COPPY'!$E$48="",0,'Upto Month COPPY'!$E$48)</f>
        <v>0</v>
      </c>
      <c r="AC41" s="10">
        <f>IF('Upto Month COPPY'!$E$51="",0,'Upto Month COPPY'!$E$51)</f>
        <v>445765</v>
      </c>
      <c r="AD41" s="233">
        <f t="shared" ref="AD41:AD42" si="393">SUM(C41:AC41)</f>
        <v>1464004</v>
      </c>
      <c r="AE41" s="9">
        <f>IF('Upto Month COPPY'!$E$19="",0,'Upto Month COPPY'!$E$19)</f>
        <v>212</v>
      </c>
      <c r="AF41" s="9">
        <f>IF('Upto Month COPPY'!$E$20="",0,'Upto Month COPPY'!$E$20)</f>
        <v>144</v>
      </c>
      <c r="AG41" s="9">
        <f>IF('Upto Month COPPY'!$E$22="",0,'Upto Month COPPY'!$E$22)</f>
        <v>3886</v>
      </c>
      <c r="AH41" s="9">
        <f>IF('Upto Month COPPY'!$E$23="",0,'Upto Month COPPY'!$E$23)</f>
        <v>0</v>
      </c>
      <c r="AI41" s="9">
        <f>IF('Upto Month COPPY'!$E$24="",0,'Upto Month COPPY'!$E$24)</f>
        <v>0</v>
      </c>
      <c r="AJ41" s="9">
        <f>IF('Upto Month COPPY'!$E$25="",0,'Upto Month COPPY'!$E$25)</f>
        <v>0</v>
      </c>
      <c r="AK41" s="9">
        <f>IF('Upto Month COPPY'!$E$28="",0,'Upto Month COPPY'!$E$28)</f>
        <v>70794</v>
      </c>
      <c r="AL41" s="9">
        <f>IF('Upto Month COPPY'!$E$29="",0,'Upto Month COPPY'!$E$29)</f>
        <v>10969</v>
      </c>
      <c r="AM41" s="9">
        <f>IF('Upto Month COPPY'!$E$31="",0,'Upto Month COPPY'!$E$31)</f>
        <v>238</v>
      </c>
      <c r="AN41" s="9">
        <f>IF('Upto Month COPPY'!$E$32="",0,'Upto Month COPPY'!$E$32)</f>
        <v>0</v>
      </c>
      <c r="AO41" s="9">
        <f>IF('Upto Month COPPY'!$E$33="",0,'Upto Month COPPY'!$E$33)</f>
        <v>67793</v>
      </c>
      <c r="AP41" s="9">
        <f>IF('Upto Month COPPY'!$E$34="",0,'Upto Month COPPY'!$E$34)</f>
        <v>-9269</v>
      </c>
      <c r="AQ41" s="10">
        <f>IF('Upto Month COPPY'!$E$36="",0,'Upto Month COPPY'!$E$36)</f>
        <v>49427</v>
      </c>
      <c r="AR41" s="9">
        <f>IF('Upto Month COPPY'!$E$37="",0,'Upto Month COPPY'!$E$37)</f>
        <v>0</v>
      </c>
      <c r="AS41" s="9">
        <v>0</v>
      </c>
      <c r="AT41" s="9">
        <f>IF('Upto Month COPPY'!$E$38="",0,'Upto Month COPPY'!$E$38)</f>
        <v>0</v>
      </c>
      <c r="AU41" s="9">
        <f>IF('Upto Month COPPY'!$E$41="",0,'Upto Month COPPY'!$E$41)</f>
        <v>0</v>
      </c>
      <c r="AV41" s="9">
        <v>0</v>
      </c>
      <c r="AW41" s="9">
        <f>IF('Upto Month COPPY'!$E$45="",0,'Upto Month COPPY'!$E$45)</f>
        <v>0</v>
      </c>
      <c r="AX41" s="9">
        <f>IF('Upto Month COPPY'!$E$46="",0,'Upto Month COPPY'!$E$46)</f>
        <v>0</v>
      </c>
      <c r="AY41" s="9">
        <f>IF('Upto Month COPPY'!$E$47="",0,'Upto Month COPPY'!$E$47)</f>
        <v>75</v>
      </c>
      <c r="AZ41" s="9">
        <f>IF('Upto Month COPPY'!$E$49="",0,'Upto Month COPPY'!$E$49)</f>
        <v>0</v>
      </c>
      <c r="BA41" s="9">
        <f>IF('Upto Month COPPY'!$E$50="",0,'Upto Month COPPY'!$E$50)</f>
        <v>0</v>
      </c>
      <c r="BB41" s="10">
        <f>IF('Upto Month COPPY'!$E$52="",0,'Upto Month COPPY'!$E$52)</f>
        <v>234557</v>
      </c>
      <c r="BC41" s="9">
        <f>IF('Upto Month COPPY'!$E$53="",0,'Upto Month COPPY'!$E$53)</f>
        <v>1547</v>
      </c>
      <c r="BD41" s="9">
        <f>IF('Upto Month COPPY'!$E$54="",0,'Upto Month COPPY'!$E$54)</f>
        <v>1547</v>
      </c>
      <c r="BE41" s="9">
        <f>IF('Upto Month COPPY'!$E$55="",0,'Upto Month COPPY'!$E$55)</f>
        <v>0</v>
      </c>
      <c r="BF41" s="9">
        <f>IF('Upto Month COPPY'!$E$56="",0,'Upto Month COPPY'!$E$56)</f>
        <v>6549</v>
      </c>
      <c r="BG41" s="10">
        <f>IF('Upto Month COPPY'!$E$58="",0,'Upto Month COPPY'!$E$58)</f>
        <v>69</v>
      </c>
      <c r="BH41" s="9">
        <f>SUM(AE41:BG41)</f>
        <v>438538</v>
      </c>
      <c r="BI41" s="226">
        <f>AD41+BH41</f>
        <v>1902542</v>
      </c>
      <c r="BJ41" s="9">
        <f>IF('Upto Month COPPY'!$E$60="",0,'Upto Month COPPY'!$E$60)</f>
        <v>2752</v>
      </c>
      <c r="BK41" s="9">
        <f t="shared" ref="BK41:BK42" si="394">BI41-BJ41</f>
        <v>1899790</v>
      </c>
      <c r="BL41">
        <f>'Upto Month COPPY'!$E$61</f>
        <v>1899791</v>
      </c>
      <c r="BM41" s="30">
        <f t="shared" ref="BM41:BM45" si="395">BK41-AD41</f>
        <v>435786</v>
      </c>
    </row>
    <row r="42" spans="1:65" ht="15.75" x14ac:dyDescent="0.25">
      <c r="A42" s="128"/>
      <c r="B42" s="182" t="s">
        <v>326</v>
      </c>
      <c r="C42" s="9">
        <f>IF('Upto Month Current'!$E$4="",0,'Upto Month Current'!$E$4)</f>
        <v>671248</v>
      </c>
      <c r="D42" s="9">
        <f>IF('Upto Month Current'!$E$5="",0,'Upto Month Current'!$E$5)</f>
        <v>142018</v>
      </c>
      <c r="E42" s="9">
        <f>IF('Upto Month Current'!$E$6="",0,'Upto Month Current'!$E$6)</f>
        <v>169</v>
      </c>
      <c r="F42" s="9">
        <f>IF('Upto Month Current'!$E$7="",0,'Upto Month Current'!$E$7)</f>
        <v>77685</v>
      </c>
      <c r="G42" s="9">
        <f>IF('Upto Month Current'!$E$8="",0,'Upto Month Current'!$E$8)</f>
        <v>40518</v>
      </c>
      <c r="H42" s="9">
        <f>IF('Upto Month Current'!$E$9="",0,'Upto Month Current'!$E$9)</f>
        <v>0</v>
      </c>
      <c r="I42" s="9">
        <f>IF('Upto Month Current'!$E$10="",0,'Upto Month Current'!$E$10)</f>
        <v>0</v>
      </c>
      <c r="J42" s="9">
        <f>IF('Upto Month Current'!$E$11="",0,'Upto Month Current'!$E$11)</f>
        <v>0</v>
      </c>
      <c r="K42" s="9">
        <f>IF('Upto Month Current'!$E$12="",0,'Upto Month Current'!$E$12)</f>
        <v>416</v>
      </c>
      <c r="L42" s="9">
        <f>IF('Upto Month Current'!$E$13="",0,'Upto Month Current'!$E$13)</f>
        <v>12610</v>
      </c>
      <c r="M42" s="9">
        <f>IF('Upto Month Current'!$E$14="",0,'Upto Month Current'!$E$14)</f>
        <v>21852</v>
      </c>
      <c r="N42" s="9">
        <f>IF('Upto Month Current'!$E$15="",0,'Upto Month Current'!$E$15)</f>
        <v>67</v>
      </c>
      <c r="O42" s="9">
        <f>IF('Upto Month Current'!$E$16="",0,'Upto Month Current'!$E$16)</f>
        <v>1084</v>
      </c>
      <c r="P42" s="9">
        <f>IF('Upto Month Current'!$E$17="",0,'Upto Month Current'!$E$17)</f>
        <v>14888</v>
      </c>
      <c r="Q42" s="9">
        <f>IF('Upto Month Current'!$E$18="",0,'Upto Month Current'!$E$18)</f>
        <v>0</v>
      </c>
      <c r="R42" s="9">
        <f>IF('Upto Month Current'!$E$21="",0,'Upto Month Current'!$E$21)</f>
        <v>1427</v>
      </c>
      <c r="S42" s="9">
        <f>IF('Upto Month Current'!$E$26="",0,'Upto Month Current'!$E$26)</f>
        <v>0</v>
      </c>
      <c r="T42" s="9">
        <f>IF('Upto Month Current'!$E$27="",0,'Upto Month Current'!$E$27)</f>
        <v>0</v>
      </c>
      <c r="U42" s="9">
        <f>IF('Upto Month Current'!$E$30="",0,'Upto Month Current'!$E$30)</f>
        <v>0</v>
      </c>
      <c r="V42" s="9">
        <f>IF('Upto Month Current'!$E$35="",0,'Upto Month Current'!$E$35)</f>
        <v>176046</v>
      </c>
      <c r="W42" s="9">
        <f>IF('Upto Month Current'!$E$39="",0,'Upto Month Current'!$E$39)</f>
        <v>0</v>
      </c>
      <c r="X42" s="9">
        <f>IF('Upto Month Current'!$E$40="",0,'Upto Month Current'!$E$40)</f>
        <v>0</v>
      </c>
      <c r="Y42" s="9">
        <f>IF('Upto Month Current'!$E$42="",0,'Upto Month Current'!$E$42)</f>
        <v>10261</v>
      </c>
      <c r="Z42" s="9">
        <f>IF('Upto Month Current'!$E$43="",0,'Upto Month Current'!$E$43)</f>
        <v>1000</v>
      </c>
      <c r="AA42" s="9">
        <f>IF('Upto Month Current'!$E$44="",0,'Upto Month Current'!$E$44)</f>
        <v>726</v>
      </c>
      <c r="AB42" s="9">
        <f>IF('Upto Month Current'!$E$48="",0,'Upto Month Current'!$E$48)</f>
        <v>54</v>
      </c>
      <c r="AC42" s="10">
        <f>IF('Upto Month Current'!$E$51="",0,'Upto Month Current'!$E$51)</f>
        <v>532927</v>
      </c>
      <c r="AD42" s="233">
        <f t="shared" si="393"/>
        <v>1704996</v>
      </c>
      <c r="AE42" s="9">
        <f>IF('Upto Month Current'!$E$19="",0,'Upto Month Current'!$E$19)</f>
        <v>184</v>
      </c>
      <c r="AF42" s="9">
        <f>IF('Upto Month Current'!$E$20="",0,'Upto Month Current'!$E$20)</f>
        <v>131</v>
      </c>
      <c r="AG42" s="9">
        <f>IF('Upto Month Current'!$E$22="",0,'Upto Month Current'!$E$22)</f>
        <v>0</v>
      </c>
      <c r="AH42" s="9">
        <f>IF('Upto Month Current'!$E$23="",0,'Upto Month Current'!$E$23)</f>
        <v>0</v>
      </c>
      <c r="AI42" s="9">
        <f>IF('Upto Month Current'!$E$24="",0,'Upto Month Current'!$E$24)</f>
        <v>0</v>
      </c>
      <c r="AJ42" s="9">
        <f>IF('Upto Month Current'!$E$25="",0,'Upto Month Current'!$E$25)</f>
        <v>0</v>
      </c>
      <c r="AK42" s="9">
        <f>IF('Upto Month Current'!$E$28="",0,'Upto Month Current'!$E$28)</f>
        <v>110039</v>
      </c>
      <c r="AL42" s="9">
        <f>IF('Upto Month Current'!$E$29="",0,'Upto Month Current'!$E$29)</f>
        <v>5481</v>
      </c>
      <c r="AM42" s="9">
        <f>IF('Upto Month Current'!$E$31="",0,'Upto Month Current'!$E$31)</f>
        <v>82</v>
      </c>
      <c r="AN42" s="9">
        <f>IF('Upto Month Current'!$E$32="",0,'Upto Month Current'!$E$32)</f>
        <v>0</v>
      </c>
      <c r="AO42" s="9">
        <f>IF('Upto Month Current'!$E$33="",0,'Upto Month Current'!$E$33)</f>
        <v>45362</v>
      </c>
      <c r="AP42" s="9">
        <f>IF('Upto Month Current'!$E$34="",0,'Upto Month Current'!$E$34)</f>
        <v>11150</v>
      </c>
      <c r="AQ42" s="10">
        <f>IF('Upto Month Current'!$E$36="",0,'Upto Month Current'!$E$36)</f>
        <v>142709</v>
      </c>
      <c r="AR42" s="9">
        <f>IF('Upto Month Current'!$E$37="",0,'Upto Month Current'!$E$37)</f>
        <v>0</v>
      </c>
      <c r="AS42" s="9">
        <v>0</v>
      </c>
      <c r="AT42" s="9">
        <f>IF('Upto Month Current'!$E$38="",0,'Upto Month Current'!$E$38)</f>
        <v>0</v>
      </c>
      <c r="AU42" s="9">
        <f>IF('Upto Month Current'!$E$41="",0,'Upto Month Current'!$E$41)</f>
        <v>0</v>
      </c>
      <c r="AV42" s="9">
        <v>0</v>
      </c>
      <c r="AW42" s="9">
        <f>IF('Upto Month Current'!$E$45="",0,'Upto Month Current'!$E$45)</f>
        <v>0</v>
      </c>
      <c r="AX42" s="9">
        <f>IF('Upto Month Current'!$E$46="",0,'Upto Month Current'!$E$46)</f>
        <v>0</v>
      </c>
      <c r="AY42" s="9">
        <f>IF('Upto Month Current'!$E$47="",0,'Upto Month Current'!$E$47)</f>
        <v>138</v>
      </c>
      <c r="AZ42" s="9">
        <f>IF('Upto Month Current'!$E$49="",0,'Upto Month Current'!$E$49)</f>
        <v>0</v>
      </c>
      <c r="BA42" s="9">
        <f>IF('Upto Month Current'!$E$50="",0,'Upto Month Current'!$E$50)</f>
        <v>0</v>
      </c>
      <c r="BB42" s="10">
        <f>IF('Upto Month Current'!$E$52="",0,'Upto Month Current'!$E$52)</f>
        <v>463607</v>
      </c>
      <c r="BC42" s="9">
        <f>IF('Upto Month Current'!$E$53="",0,'Upto Month Current'!$E$53)</f>
        <v>982</v>
      </c>
      <c r="BD42" s="9">
        <f>IF('Upto Month Current'!$E$54="",0,'Upto Month Current'!$E$54)</f>
        <v>982</v>
      </c>
      <c r="BE42" s="9">
        <f>IF('Upto Month Current'!$E$55="",0,'Upto Month Current'!$E$55)</f>
        <v>0</v>
      </c>
      <c r="BF42" s="9">
        <f>IF('Upto Month Current'!$E$56="",0,'Upto Month Current'!$E$56)</f>
        <v>5123</v>
      </c>
      <c r="BG42" s="9">
        <f>IF('Upto Month Current'!$E$58="",0,'Upto Month Current'!$E$58)</f>
        <v>-17</v>
      </c>
      <c r="BH42" s="9">
        <f>SUM(AE42:BG42)</f>
        <v>785953</v>
      </c>
      <c r="BI42" s="226">
        <f>AD42+BH42</f>
        <v>2490949</v>
      </c>
      <c r="BJ42" s="9">
        <f>IF('Upto Month Current'!$E$60="",0,'Upto Month Current'!$E$60)</f>
        <v>10178</v>
      </c>
      <c r="BK42" s="49">
        <f t="shared" si="394"/>
        <v>2480771</v>
      </c>
      <c r="BL42">
        <f>'Upto Month Current'!$E$61</f>
        <v>2480771</v>
      </c>
      <c r="BM42" s="30">
        <f t="shared" si="395"/>
        <v>775775</v>
      </c>
    </row>
    <row r="43" spans="1:65" ht="15.75" x14ac:dyDescent="0.25">
      <c r="A43" s="128"/>
      <c r="B43" s="5" t="s">
        <v>132</v>
      </c>
      <c r="C43" s="11">
        <f>C42-C40</f>
        <v>-5705</v>
      </c>
      <c r="D43" s="11">
        <f t="shared" ref="D43" si="396">D42-D40</f>
        <v>-13928</v>
      </c>
      <c r="E43" s="11">
        <f t="shared" ref="E43" si="397">E42-E40</f>
        <v>169</v>
      </c>
      <c r="F43" s="11">
        <f t="shared" ref="F43" si="398">F42-F40</f>
        <v>-3988</v>
      </c>
      <c r="G43" s="11">
        <f t="shared" ref="G43" si="399">G42-G40</f>
        <v>-2781</v>
      </c>
      <c r="H43" s="11">
        <f t="shared" ref="H43" si="400">H42-H40</f>
        <v>0</v>
      </c>
      <c r="I43" s="11">
        <f t="shared" ref="I43" si="401">I42-I40</f>
        <v>0</v>
      </c>
      <c r="J43" s="11">
        <f t="shared" ref="J43" si="402">J42-J40</f>
        <v>0</v>
      </c>
      <c r="K43" s="11">
        <f t="shared" ref="K43" si="403">K42-K40</f>
        <v>-222</v>
      </c>
      <c r="L43" s="11">
        <f t="shared" ref="L43" si="404">L42-L40</f>
        <v>-5353</v>
      </c>
      <c r="M43" s="11">
        <f t="shared" ref="M43" si="405">M42-M40</f>
        <v>-3240</v>
      </c>
      <c r="N43" s="11">
        <f t="shared" ref="N43" si="406">N42-N40</f>
        <v>-26</v>
      </c>
      <c r="O43" s="11">
        <f t="shared" ref="O43" si="407">O42-O40</f>
        <v>-394</v>
      </c>
      <c r="P43" s="11">
        <f t="shared" ref="P43" si="408">P42-P40</f>
        <v>2536</v>
      </c>
      <c r="Q43" s="11">
        <f t="shared" ref="Q43" si="409">Q42-Q40</f>
        <v>0</v>
      </c>
      <c r="R43" s="11">
        <f t="shared" ref="R43" si="410">R42-R40</f>
        <v>-810</v>
      </c>
      <c r="S43" s="11">
        <f t="shared" ref="S43" si="411">S42-S40</f>
        <v>0</v>
      </c>
      <c r="T43" s="11">
        <f t="shared" ref="T43:U43" si="412">T42-T40</f>
        <v>0</v>
      </c>
      <c r="U43" s="11">
        <f t="shared" si="412"/>
        <v>0</v>
      </c>
      <c r="V43" s="9">
        <f t="shared" ref="V43" si="413">V42-V40</f>
        <v>29609</v>
      </c>
      <c r="W43" s="11">
        <f t="shared" ref="W43" si="414">W42-W40</f>
        <v>0</v>
      </c>
      <c r="X43" s="11">
        <f t="shared" ref="X43" si="415">X42-X40</f>
        <v>0</v>
      </c>
      <c r="Y43" s="11">
        <f t="shared" ref="Y43" si="416">Y42-Y40</f>
        <v>10155</v>
      </c>
      <c r="Z43" s="11">
        <f t="shared" ref="Z43" si="417">Z42-Z40</f>
        <v>990</v>
      </c>
      <c r="AA43" s="11">
        <f t="shared" ref="AA43:AD43" si="418">AA42-AA40</f>
        <v>636</v>
      </c>
      <c r="AB43" s="11">
        <f t="shared" si="418"/>
        <v>-1182</v>
      </c>
      <c r="AC43" s="10">
        <f t="shared" si="418"/>
        <v>24374</v>
      </c>
      <c r="AD43" s="227">
        <f t="shared" si="418"/>
        <v>30840</v>
      </c>
      <c r="AE43" s="11">
        <f t="shared" ref="AE43" si="419">AE42-AE40</f>
        <v>-278</v>
      </c>
      <c r="AF43" s="11">
        <f t="shared" ref="AF43" si="420">AF42-AF40</f>
        <v>33</v>
      </c>
      <c r="AG43" s="11">
        <f t="shared" ref="AG43" si="421">AG42-AG40</f>
        <v>-2031</v>
      </c>
      <c r="AH43" s="11">
        <f t="shared" ref="AH43" si="422">AH42-AH40</f>
        <v>0</v>
      </c>
      <c r="AI43" s="11">
        <f t="shared" ref="AI43" si="423">AI42-AI40</f>
        <v>0</v>
      </c>
      <c r="AJ43" s="11">
        <f t="shared" ref="AJ43" si="424">AJ42-AJ40</f>
        <v>0</v>
      </c>
      <c r="AK43" s="11">
        <f t="shared" ref="AK43" si="425">AK42-AK40</f>
        <v>33755</v>
      </c>
      <c r="AL43" s="11">
        <f t="shared" ref="AL43" si="426">AL42-AL40</f>
        <v>-7757</v>
      </c>
      <c r="AM43" s="11">
        <f t="shared" ref="AM43" si="427">AM42-AM40</f>
        <v>-150</v>
      </c>
      <c r="AN43" s="11">
        <f t="shared" ref="AN43" si="428">AN42-AN40</f>
        <v>0</v>
      </c>
      <c r="AO43" s="9">
        <f t="shared" ref="AO43" si="429">AO42-AO40</f>
        <v>-8616</v>
      </c>
      <c r="AP43" s="11">
        <f t="shared" ref="AP43" si="430">AP42-AP40</f>
        <v>46519</v>
      </c>
      <c r="AQ43" s="10">
        <f t="shared" ref="AQ43" si="431">AQ42-AQ40</f>
        <v>78679</v>
      </c>
      <c r="AR43" s="11">
        <f t="shared" ref="AR43" si="432">AR42-AR40</f>
        <v>0</v>
      </c>
      <c r="AS43" s="11">
        <f t="shared" ref="AS43" si="433">AS42-AS40</f>
        <v>0</v>
      </c>
      <c r="AT43" s="11">
        <f t="shared" ref="AT43" si="434">AT42-AT40</f>
        <v>0</v>
      </c>
      <c r="AU43" s="11">
        <f t="shared" ref="AU43" si="435">AU42-AU40</f>
        <v>0</v>
      </c>
      <c r="AV43" s="11">
        <f t="shared" ref="AV43" si="436">AV42-AV40</f>
        <v>0</v>
      </c>
      <c r="AW43" s="11">
        <f t="shared" ref="AW43" si="437">AW42-AW40</f>
        <v>0</v>
      </c>
      <c r="AX43" s="11">
        <f t="shared" ref="AX43" si="438">AX42-AX40</f>
        <v>0</v>
      </c>
      <c r="AY43" s="11">
        <f t="shared" ref="AY43" si="439">AY42-AY40</f>
        <v>62</v>
      </c>
      <c r="AZ43" s="11">
        <f t="shared" ref="AZ43" si="440">AZ42-AZ40</f>
        <v>0</v>
      </c>
      <c r="BA43" s="11">
        <f t="shared" ref="BA43" si="441">BA42-BA40</f>
        <v>0</v>
      </c>
      <c r="BB43" s="10">
        <f t="shared" ref="BB43" si="442">BB42-BB40</f>
        <v>177473</v>
      </c>
      <c r="BC43" s="11">
        <f t="shared" ref="BC43" si="443">BC42-BC40</f>
        <v>-1250</v>
      </c>
      <c r="BD43" s="11">
        <f t="shared" ref="BD43" si="444">BD42-BD40</f>
        <v>-1220</v>
      </c>
      <c r="BE43" s="11">
        <f t="shared" ref="BE43" si="445">BE42-BE40</f>
        <v>0</v>
      </c>
      <c r="BF43" s="11">
        <f t="shared" ref="BF43" si="446">BF42-BF40</f>
        <v>108</v>
      </c>
      <c r="BG43" s="11">
        <f t="shared" ref="BG43:BH43" si="447">BG42-BG40</f>
        <v>-245</v>
      </c>
      <c r="BH43" s="9">
        <f t="shared" si="447"/>
        <v>315082</v>
      </c>
      <c r="BI43" s="227">
        <f t="shared" ref="BI43" si="448">BI42-BI40</f>
        <v>345922</v>
      </c>
      <c r="BJ43" s="11">
        <f t="shared" ref="BJ43:BK43" si="449">BJ42-BJ40</f>
        <v>-23673</v>
      </c>
      <c r="BK43" s="49">
        <f t="shared" si="449"/>
        <v>369595</v>
      </c>
      <c r="BM43" s="30">
        <f t="shared" si="395"/>
        <v>338755</v>
      </c>
    </row>
    <row r="44" spans="1:65" ht="15.75" x14ac:dyDescent="0.25">
      <c r="A44" s="128"/>
      <c r="B44" s="5" t="s">
        <v>133</v>
      </c>
      <c r="C44" s="13">
        <f>C43/C40</f>
        <v>-8.4274683766819847E-3</v>
      </c>
      <c r="D44" s="13">
        <f t="shared" ref="D44" si="450">D43/D40</f>
        <v>-8.9312967309196772E-2</v>
      </c>
      <c r="E44" s="13" t="e">
        <f t="shared" ref="E44" si="451">E43/E40</f>
        <v>#DIV/0!</v>
      </c>
      <c r="F44" s="13">
        <f t="shared" ref="F44" si="452">F43/F40</f>
        <v>-4.8828866332815003E-2</v>
      </c>
      <c r="G44" s="13">
        <f t="shared" ref="G44" si="453">G43/G40</f>
        <v>-6.4227811265849102E-2</v>
      </c>
      <c r="H44" s="13" t="e">
        <f t="shared" ref="H44" si="454">H43/H40</f>
        <v>#DIV/0!</v>
      </c>
      <c r="I44" s="13" t="e">
        <f t="shared" ref="I44" si="455">I43/I40</f>
        <v>#DIV/0!</v>
      </c>
      <c r="J44" s="13" t="e">
        <f t="shared" ref="J44" si="456">J43/J40</f>
        <v>#DIV/0!</v>
      </c>
      <c r="K44" s="13">
        <f t="shared" ref="K44" si="457">K43/K40</f>
        <v>-0.34796238244514105</v>
      </c>
      <c r="L44" s="13">
        <f t="shared" ref="L44" si="458">L43/L40</f>
        <v>-0.29800144741969603</v>
      </c>
      <c r="M44" s="13">
        <f t="shared" ref="M44" si="459">M43/M40</f>
        <v>-0.1291248206599713</v>
      </c>
      <c r="N44" s="13">
        <f t="shared" ref="N44" si="460">N43/N40</f>
        <v>-0.27956989247311825</v>
      </c>
      <c r="O44" s="13">
        <f t="shared" ref="O44" si="461">O43/O40</f>
        <v>-0.26657645466847091</v>
      </c>
      <c r="P44" s="13">
        <f t="shared" ref="P44" si="462">P43/P40</f>
        <v>0.20531088082901555</v>
      </c>
      <c r="Q44" s="13" t="e">
        <f t="shared" ref="Q44" si="463">Q43/Q40</f>
        <v>#DIV/0!</v>
      </c>
      <c r="R44" s="13">
        <f t="shared" ref="R44" si="464">R43/R40</f>
        <v>-0.36209208761734468</v>
      </c>
      <c r="S44" s="13" t="e">
        <f t="shared" ref="S44" si="465">S43/S40</f>
        <v>#DIV/0!</v>
      </c>
      <c r="T44" s="13" t="e">
        <f t="shared" ref="T44:U44" si="466">T43/T40</f>
        <v>#DIV/0!</v>
      </c>
      <c r="U44" s="13" t="e">
        <f t="shared" si="466"/>
        <v>#DIV/0!</v>
      </c>
      <c r="V44" s="162">
        <f t="shared" ref="V44" si="467">V43/V40</f>
        <v>0.20219616626945375</v>
      </c>
      <c r="W44" s="13" t="e">
        <f t="shared" ref="W44" si="468">W43/W40</f>
        <v>#DIV/0!</v>
      </c>
      <c r="X44" s="13" t="e">
        <f t="shared" ref="X44" si="469">X43/X40</f>
        <v>#DIV/0!</v>
      </c>
      <c r="Y44" s="13">
        <f t="shared" ref="Y44" si="470">Y43/Y40</f>
        <v>95.801886792452834</v>
      </c>
      <c r="Z44" s="13">
        <f t="shared" ref="Z44" si="471">Z43/Z40</f>
        <v>99</v>
      </c>
      <c r="AA44" s="13">
        <f t="shared" ref="AA44:AD44" si="472">AA43/AA40</f>
        <v>7.0666666666666664</v>
      </c>
      <c r="AB44" s="13">
        <f t="shared" si="472"/>
        <v>-0.9563106796116505</v>
      </c>
      <c r="AC44" s="14">
        <f t="shared" si="472"/>
        <v>4.7928141216353068E-2</v>
      </c>
      <c r="AD44" s="228">
        <f t="shared" si="472"/>
        <v>1.8421222395045622E-2</v>
      </c>
      <c r="AE44" s="13">
        <f t="shared" ref="AE44" si="473">AE43/AE40</f>
        <v>-0.60173160173160178</v>
      </c>
      <c r="AF44" s="13">
        <f t="shared" ref="AF44" si="474">AF43/AF40</f>
        <v>0.33673469387755101</v>
      </c>
      <c r="AG44" s="13">
        <f t="shared" ref="AG44" si="475">AG43/AG40</f>
        <v>-1</v>
      </c>
      <c r="AH44" s="13" t="e">
        <f t="shared" ref="AH44" si="476">AH43/AH40</f>
        <v>#DIV/0!</v>
      </c>
      <c r="AI44" s="13" t="e">
        <f t="shared" ref="AI44" si="477">AI43/AI40</f>
        <v>#DIV/0!</v>
      </c>
      <c r="AJ44" s="13" t="e">
        <f t="shared" ref="AJ44" si="478">AJ43/AJ40</f>
        <v>#DIV/0!</v>
      </c>
      <c r="AK44" s="13">
        <f t="shared" ref="AK44" si="479">AK43/AK40</f>
        <v>0.44249121703109434</v>
      </c>
      <c r="AL44" s="13">
        <f t="shared" ref="AL44" si="480">AL43/AL40</f>
        <v>-0.58596464722767794</v>
      </c>
      <c r="AM44" s="13">
        <f t="shared" ref="AM44" si="481">AM43/AM40</f>
        <v>-0.64655172413793105</v>
      </c>
      <c r="AN44" s="13" t="e">
        <f t="shared" ref="AN44" si="482">AN43/AN40</f>
        <v>#DIV/0!</v>
      </c>
      <c r="AO44" s="162">
        <f t="shared" ref="AO44" si="483">AO43/AO40</f>
        <v>-0.15962058616473379</v>
      </c>
      <c r="AP44" s="13">
        <f t="shared" ref="AP44" si="484">AP43/AP40</f>
        <v>-1.3152478158839662</v>
      </c>
      <c r="AQ44" s="14">
        <f t="shared" ref="AQ44" si="485">AQ43/AQ40</f>
        <v>1.2287833827893175</v>
      </c>
      <c r="AR44" s="13" t="e">
        <f t="shared" ref="AR44" si="486">AR43/AR40</f>
        <v>#DIV/0!</v>
      </c>
      <c r="AS44" s="13" t="e">
        <f t="shared" ref="AS44" si="487">AS43/AS40</f>
        <v>#DIV/0!</v>
      </c>
      <c r="AT44" s="13" t="e">
        <f t="shared" ref="AT44" si="488">AT43/AT40</f>
        <v>#DIV/0!</v>
      </c>
      <c r="AU44" s="13" t="e">
        <f t="shared" ref="AU44" si="489">AU43/AU40</f>
        <v>#DIV/0!</v>
      </c>
      <c r="AV44" s="13" t="e">
        <f t="shared" ref="AV44" si="490">AV43/AV40</f>
        <v>#DIV/0!</v>
      </c>
      <c r="AW44" s="13" t="e">
        <f t="shared" ref="AW44" si="491">AW43/AW40</f>
        <v>#DIV/0!</v>
      </c>
      <c r="AX44" s="13" t="e">
        <f t="shared" ref="AX44" si="492">AX43/AX40</f>
        <v>#DIV/0!</v>
      </c>
      <c r="AY44" s="13">
        <f t="shared" ref="AY44" si="493">AY43/AY40</f>
        <v>0.81578947368421051</v>
      </c>
      <c r="AZ44" s="13" t="e">
        <f t="shared" ref="AZ44" si="494">AZ43/AZ40</f>
        <v>#DIV/0!</v>
      </c>
      <c r="BA44" s="13" t="e">
        <f t="shared" ref="BA44" si="495">BA43/BA40</f>
        <v>#DIV/0!</v>
      </c>
      <c r="BB44" s="14">
        <f t="shared" ref="BB44" si="496">BB43/BB40</f>
        <v>0.62024436103364156</v>
      </c>
      <c r="BC44" s="13">
        <f t="shared" ref="BC44" si="497">BC43/BC40</f>
        <v>-0.56003584229390679</v>
      </c>
      <c r="BD44" s="13">
        <f t="shared" ref="BD44" si="498">BD43/BD40</f>
        <v>-0.55404178019981831</v>
      </c>
      <c r="BE44" s="13" t="e">
        <f t="shared" ref="BE44" si="499">BE43/BE40</f>
        <v>#DIV/0!</v>
      </c>
      <c r="BF44" s="13">
        <f t="shared" ref="BF44" si="500">BF43/BF40</f>
        <v>2.1535393818544368E-2</v>
      </c>
      <c r="BG44" s="13">
        <f t="shared" ref="BG44:BH44" si="501">BG43/BG40</f>
        <v>-1.0745614035087718</v>
      </c>
      <c r="BH44" s="162">
        <f t="shared" si="501"/>
        <v>0.66914717619050657</v>
      </c>
      <c r="BI44" s="228">
        <f t="shared" ref="BI44" si="502">BI43/BI40</f>
        <v>0.16126696773513807</v>
      </c>
      <c r="BJ44" s="13">
        <f t="shared" ref="BJ44:BK44" si="503">BJ43/BJ40</f>
        <v>-0.6993294141975126</v>
      </c>
      <c r="BK44" s="50">
        <f t="shared" si="503"/>
        <v>0.17506593481547725</v>
      </c>
      <c r="BM44" s="162" t="e">
        <f t="shared" ref="BM44" si="504">BM43/BM40</f>
        <v>#DIV/0!</v>
      </c>
    </row>
    <row r="45" spans="1:65" ht="15.75" x14ac:dyDescent="0.25">
      <c r="A45" s="128"/>
      <c r="B45" s="5" t="s">
        <v>134</v>
      </c>
      <c r="C45" s="11">
        <f>C42-C41</f>
        <v>32058</v>
      </c>
      <c r="D45" s="11">
        <f t="shared" ref="D45:BK45" si="505">D42-D41</f>
        <v>35188</v>
      </c>
      <c r="E45" s="11">
        <f t="shared" si="505"/>
        <v>607</v>
      </c>
      <c r="F45" s="11">
        <f t="shared" si="505"/>
        <v>5443</v>
      </c>
      <c r="G45" s="11">
        <f t="shared" si="505"/>
        <v>2982</v>
      </c>
      <c r="H45" s="11">
        <f t="shared" si="505"/>
        <v>0</v>
      </c>
      <c r="I45" s="11">
        <f t="shared" si="505"/>
        <v>0</v>
      </c>
      <c r="J45" s="11">
        <f t="shared" si="505"/>
        <v>0</v>
      </c>
      <c r="K45" s="11">
        <f t="shared" si="505"/>
        <v>256</v>
      </c>
      <c r="L45" s="11">
        <f t="shared" si="505"/>
        <v>-5725</v>
      </c>
      <c r="M45" s="11">
        <f t="shared" si="505"/>
        <v>1364</v>
      </c>
      <c r="N45" s="11">
        <f t="shared" si="505"/>
        <v>4</v>
      </c>
      <c r="O45" s="11">
        <f t="shared" si="505"/>
        <v>-81</v>
      </c>
      <c r="P45" s="11">
        <f t="shared" si="505"/>
        <v>3579</v>
      </c>
      <c r="Q45" s="11">
        <f t="shared" si="505"/>
        <v>0</v>
      </c>
      <c r="R45" s="11">
        <f t="shared" si="505"/>
        <v>826</v>
      </c>
      <c r="S45" s="11">
        <f t="shared" si="505"/>
        <v>0</v>
      </c>
      <c r="T45" s="11">
        <f t="shared" si="505"/>
        <v>0</v>
      </c>
      <c r="U45" s="11">
        <f t="shared" ref="U45" si="506">U42-U41</f>
        <v>-176</v>
      </c>
      <c r="V45" s="9">
        <f t="shared" si="505"/>
        <v>65844</v>
      </c>
      <c r="W45" s="11">
        <f t="shared" si="505"/>
        <v>0</v>
      </c>
      <c r="X45" s="11">
        <f t="shared" si="505"/>
        <v>0</v>
      </c>
      <c r="Y45" s="11">
        <f t="shared" si="505"/>
        <v>9971</v>
      </c>
      <c r="Z45" s="11">
        <f t="shared" si="505"/>
        <v>978</v>
      </c>
      <c r="AA45" s="11">
        <f t="shared" si="505"/>
        <v>658</v>
      </c>
      <c r="AB45" s="11">
        <f t="shared" ref="AB45" si="507">AB42-AB41</f>
        <v>54</v>
      </c>
      <c r="AC45" s="10">
        <f t="shared" ref="AC45:AD45" si="508">AC42-AC41</f>
        <v>87162</v>
      </c>
      <c r="AD45" s="227">
        <f t="shared" si="508"/>
        <v>240992</v>
      </c>
      <c r="AE45" s="11">
        <f t="shared" si="505"/>
        <v>-28</v>
      </c>
      <c r="AF45" s="11">
        <f t="shared" si="505"/>
        <v>-13</v>
      </c>
      <c r="AG45" s="11">
        <f t="shared" si="505"/>
        <v>-3886</v>
      </c>
      <c r="AH45" s="11">
        <f t="shared" si="505"/>
        <v>0</v>
      </c>
      <c r="AI45" s="11">
        <f t="shared" si="505"/>
        <v>0</v>
      </c>
      <c r="AJ45" s="11">
        <f t="shared" si="505"/>
        <v>0</v>
      </c>
      <c r="AK45" s="11">
        <f t="shared" si="505"/>
        <v>39245</v>
      </c>
      <c r="AL45" s="11">
        <f t="shared" si="505"/>
        <v>-5488</v>
      </c>
      <c r="AM45" s="11">
        <f t="shared" si="505"/>
        <v>-156</v>
      </c>
      <c r="AN45" s="11">
        <f t="shared" si="505"/>
        <v>0</v>
      </c>
      <c r="AO45" s="9">
        <f t="shared" si="505"/>
        <v>-22431</v>
      </c>
      <c r="AP45" s="11">
        <f t="shared" si="505"/>
        <v>20419</v>
      </c>
      <c r="AQ45" s="10">
        <f t="shared" si="505"/>
        <v>93282</v>
      </c>
      <c r="AR45" s="11">
        <f t="shared" si="505"/>
        <v>0</v>
      </c>
      <c r="AS45" s="11">
        <f t="shared" si="505"/>
        <v>0</v>
      </c>
      <c r="AT45" s="11">
        <f t="shared" si="505"/>
        <v>0</v>
      </c>
      <c r="AU45" s="11">
        <f t="shared" si="505"/>
        <v>0</v>
      </c>
      <c r="AV45" s="11">
        <f t="shared" si="505"/>
        <v>0</v>
      </c>
      <c r="AW45" s="11">
        <f t="shared" si="505"/>
        <v>0</v>
      </c>
      <c r="AX45" s="11">
        <f t="shared" si="505"/>
        <v>0</v>
      </c>
      <c r="AY45" s="11">
        <f t="shared" si="505"/>
        <v>63</v>
      </c>
      <c r="AZ45" s="11">
        <f t="shared" si="505"/>
        <v>0</v>
      </c>
      <c r="BA45" s="11">
        <f t="shared" si="505"/>
        <v>0</v>
      </c>
      <c r="BB45" s="10">
        <f t="shared" si="505"/>
        <v>229050</v>
      </c>
      <c r="BC45" s="11">
        <f t="shared" si="505"/>
        <v>-565</v>
      </c>
      <c r="BD45" s="11">
        <f t="shared" si="505"/>
        <v>-565</v>
      </c>
      <c r="BE45" s="11">
        <f t="shared" si="505"/>
        <v>0</v>
      </c>
      <c r="BF45" s="11">
        <f t="shared" si="505"/>
        <v>-1426</v>
      </c>
      <c r="BG45" s="11">
        <f t="shared" si="505"/>
        <v>-86</v>
      </c>
      <c r="BH45" s="9">
        <f t="shared" si="505"/>
        <v>347415</v>
      </c>
      <c r="BI45" s="227">
        <f t="shared" si="505"/>
        <v>588407</v>
      </c>
      <c r="BJ45" s="11">
        <f t="shared" si="505"/>
        <v>7426</v>
      </c>
      <c r="BK45" s="49">
        <f t="shared" si="505"/>
        <v>580981</v>
      </c>
      <c r="BM45" s="30">
        <f t="shared" si="395"/>
        <v>339989</v>
      </c>
    </row>
    <row r="46" spans="1:65" ht="15.75" x14ac:dyDescent="0.25">
      <c r="A46" s="128"/>
      <c r="B46" s="5" t="s">
        <v>135</v>
      </c>
      <c r="C46" s="13">
        <f>C45/C41</f>
        <v>5.0154101284438118E-2</v>
      </c>
      <c r="D46" s="13">
        <f t="shared" ref="D46" si="509">D45/D41</f>
        <v>0.32938313207900405</v>
      </c>
      <c r="E46" s="13">
        <f t="shared" ref="E46" si="510">E45/E41</f>
        <v>-1.3858447488584476</v>
      </c>
      <c r="F46" s="13">
        <f t="shared" ref="F46" si="511">F45/F41</f>
        <v>7.5343982724730765E-2</v>
      </c>
      <c r="G46" s="13">
        <f t="shared" ref="G46" si="512">G45/G41</f>
        <v>7.9443734015345269E-2</v>
      </c>
      <c r="H46" s="13" t="e">
        <f t="shared" ref="H46" si="513">H45/H41</f>
        <v>#DIV/0!</v>
      </c>
      <c r="I46" s="13" t="e">
        <f t="shared" ref="I46" si="514">I45/I41</f>
        <v>#DIV/0!</v>
      </c>
      <c r="J46" s="13" t="e">
        <f t="shared" ref="J46" si="515">J45/J41</f>
        <v>#DIV/0!</v>
      </c>
      <c r="K46" s="13">
        <f t="shared" ref="K46" si="516">K45/K41</f>
        <v>1.6</v>
      </c>
      <c r="L46" s="13">
        <f t="shared" ref="L46" si="517">L45/L41</f>
        <v>-0.31224434142350693</v>
      </c>
      <c r="M46" s="13">
        <f t="shared" ref="M46" si="518">M45/M41</f>
        <v>6.6575556423272161E-2</v>
      </c>
      <c r="N46" s="13">
        <f t="shared" ref="N46" si="519">N45/N41</f>
        <v>6.3492063492063489E-2</v>
      </c>
      <c r="O46" s="13">
        <f t="shared" ref="O46" si="520">O45/O41</f>
        <v>-6.9527896995708161E-2</v>
      </c>
      <c r="P46" s="13">
        <f t="shared" ref="P46" si="521">P45/P41</f>
        <v>0.31647360509328853</v>
      </c>
      <c r="Q46" s="13" t="e">
        <f t="shared" ref="Q46" si="522">Q45/Q41</f>
        <v>#DIV/0!</v>
      </c>
      <c r="R46" s="13">
        <f t="shared" ref="R46" si="523">R45/R41</f>
        <v>1.3743760399334441</v>
      </c>
      <c r="S46" s="13" t="e">
        <f t="shared" ref="S46" si="524">S45/S41</f>
        <v>#DIV/0!</v>
      </c>
      <c r="T46" s="13" t="e">
        <f t="shared" ref="T46:U46" si="525">T45/T41</f>
        <v>#DIV/0!</v>
      </c>
      <c r="U46" s="13">
        <f t="shared" si="525"/>
        <v>-1</v>
      </c>
      <c r="V46" s="162">
        <f t="shared" ref="V46" si="526">V45/V41</f>
        <v>0.59748461915391737</v>
      </c>
      <c r="W46" s="13" t="e">
        <f t="shared" ref="W46" si="527">W45/W41</f>
        <v>#DIV/0!</v>
      </c>
      <c r="X46" s="13" t="e">
        <f t="shared" ref="X46" si="528">X45/X41</f>
        <v>#DIV/0!</v>
      </c>
      <c r="Y46" s="13">
        <f t="shared" ref="Y46" si="529">Y45/Y41</f>
        <v>34.382758620689657</v>
      </c>
      <c r="Z46" s="13">
        <f t="shared" ref="Z46" si="530">Z45/Z41</f>
        <v>44.454545454545453</v>
      </c>
      <c r="AA46" s="13">
        <f t="shared" ref="AA46:AD46" si="531">AA45/AA41</f>
        <v>9.6764705882352935</v>
      </c>
      <c r="AB46" s="13" t="e">
        <f t="shared" ref="AB46" si="532">AB45/AB41</f>
        <v>#DIV/0!</v>
      </c>
      <c r="AC46" s="14">
        <f t="shared" si="531"/>
        <v>0.19553352102565252</v>
      </c>
      <c r="AD46" s="228">
        <f t="shared" si="531"/>
        <v>0.16461157209952978</v>
      </c>
      <c r="AE46" s="13">
        <f t="shared" ref="AE46" si="533">AE45/AE41</f>
        <v>-0.13207547169811321</v>
      </c>
      <c r="AF46" s="13">
        <f t="shared" ref="AF46" si="534">AF45/AF41</f>
        <v>-9.0277777777777776E-2</v>
      </c>
      <c r="AG46" s="13">
        <f t="shared" ref="AG46" si="535">AG45/AG41</f>
        <v>-1</v>
      </c>
      <c r="AH46" s="13" t="e">
        <f t="shared" ref="AH46" si="536">AH45/AH41</f>
        <v>#DIV/0!</v>
      </c>
      <c r="AI46" s="13" t="e">
        <f t="shared" ref="AI46" si="537">AI45/AI41</f>
        <v>#DIV/0!</v>
      </c>
      <c r="AJ46" s="13" t="e">
        <f t="shared" ref="AJ46" si="538">AJ45/AJ41</f>
        <v>#DIV/0!</v>
      </c>
      <c r="AK46" s="13">
        <f t="shared" ref="AK46" si="539">AK45/AK41</f>
        <v>0.55435488883238693</v>
      </c>
      <c r="AL46" s="13">
        <f t="shared" ref="AL46" si="540">AL45/AL41</f>
        <v>-0.50031908104658585</v>
      </c>
      <c r="AM46" s="13">
        <f t="shared" ref="AM46" si="541">AM45/AM41</f>
        <v>-0.65546218487394958</v>
      </c>
      <c r="AN46" s="13" t="e">
        <f t="shared" ref="AN46" si="542">AN45/AN41</f>
        <v>#DIV/0!</v>
      </c>
      <c r="AO46" s="162">
        <f t="shared" ref="AO46" si="543">AO45/AO41</f>
        <v>-0.33087486908677888</v>
      </c>
      <c r="AP46" s="13">
        <f t="shared" ref="AP46" si="544">AP45/AP41</f>
        <v>-2.2029345128924374</v>
      </c>
      <c r="AQ46" s="14">
        <f t="shared" ref="AQ46" si="545">AQ45/AQ41</f>
        <v>1.8872680923381957</v>
      </c>
      <c r="AR46" s="13" t="e">
        <f t="shared" ref="AR46" si="546">AR45/AR41</f>
        <v>#DIV/0!</v>
      </c>
      <c r="AS46" s="13" t="e">
        <f t="shared" ref="AS46" si="547">AS45/AS41</f>
        <v>#DIV/0!</v>
      </c>
      <c r="AT46" s="13" t="e">
        <f t="shared" ref="AT46" si="548">AT45/AT41</f>
        <v>#DIV/0!</v>
      </c>
      <c r="AU46" s="13" t="e">
        <f t="shared" ref="AU46" si="549">AU45/AU41</f>
        <v>#DIV/0!</v>
      </c>
      <c r="AV46" s="13" t="e">
        <f t="shared" ref="AV46" si="550">AV45/AV41</f>
        <v>#DIV/0!</v>
      </c>
      <c r="AW46" s="13" t="e">
        <f t="shared" ref="AW46" si="551">AW45/AW41</f>
        <v>#DIV/0!</v>
      </c>
      <c r="AX46" s="13" t="e">
        <f t="shared" ref="AX46" si="552">AX45/AX41</f>
        <v>#DIV/0!</v>
      </c>
      <c r="AY46" s="13">
        <f t="shared" ref="AY46" si="553">AY45/AY41</f>
        <v>0.84</v>
      </c>
      <c r="AZ46" s="13" t="e">
        <f t="shared" ref="AZ46" si="554">AZ45/AZ41</f>
        <v>#DIV/0!</v>
      </c>
      <c r="BA46" s="13" t="e">
        <f t="shared" ref="BA46" si="555">BA45/BA41</f>
        <v>#DIV/0!</v>
      </c>
      <c r="BB46" s="14">
        <f t="shared" ref="BB46" si="556">BB45/BB41</f>
        <v>0.97652169835050751</v>
      </c>
      <c r="BC46" s="13">
        <f t="shared" ref="BC46" si="557">BC45/BC41</f>
        <v>-0.36522301228183579</v>
      </c>
      <c r="BD46" s="13">
        <f t="shared" ref="BD46" si="558">BD45/BD41</f>
        <v>-0.36522301228183579</v>
      </c>
      <c r="BE46" s="13" t="e">
        <f t="shared" ref="BE46" si="559">BE45/BE41</f>
        <v>#DIV/0!</v>
      </c>
      <c r="BF46" s="13">
        <f t="shared" ref="BF46" si="560">BF45/BF41</f>
        <v>-0.21774316689570927</v>
      </c>
      <c r="BG46" s="13">
        <f t="shared" ref="BG46:BH46" si="561">BG45/BG41</f>
        <v>-1.2463768115942029</v>
      </c>
      <c r="BH46" s="162">
        <f t="shared" si="561"/>
        <v>0.79221184937223232</v>
      </c>
      <c r="BI46" s="228">
        <f t="shared" ref="BI46" si="562">BI45/BI41</f>
        <v>0.30927411852143077</v>
      </c>
      <c r="BJ46" s="13">
        <f t="shared" ref="BJ46:BK46" si="563">BJ45/BJ41</f>
        <v>2.6984011627906979</v>
      </c>
      <c r="BK46" s="50">
        <f t="shared" si="563"/>
        <v>0.30581327409871617</v>
      </c>
      <c r="BM46" s="14">
        <f t="shared" ref="BM46" si="564">BM45/BM41</f>
        <v>0.7801742139490484</v>
      </c>
    </row>
    <row r="47" spans="1:65" ht="15.75" x14ac:dyDescent="0.25">
      <c r="A47" s="128"/>
      <c r="B47" s="5" t="s">
        <v>296</v>
      </c>
      <c r="C47" s="126">
        <f>C42/C39</f>
        <v>0.43629235217038626</v>
      </c>
      <c r="D47" s="126">
        <f t="shared" ref="D47:BK47" si="565">D42/D39</f>
        <v>0.32379992612825415</v>
      </c>
      <c r="E47" s="126">
        <f t="shared" si="565"/>
        <v>2.5903559057049142E-3</v>
      </c>
      <c r="F47" s="126">
        <f t="shared" si="565"/>
        <v>0.41851857837829104</v>
      </c>
      <c r="G47" s="126">
        <f t="shared" si="565"/>
        <v>0.41172645056396706</v>
      </c>
      <c r="H47" s="126" t="e">
        <f t="shared" si="565"/>
        <v>#DIV/0!</v>
      </c>
      <c r="I47" s="126" t="e">
        <f t="shared" si="565"/>
        <v>#DIV/0!</v>
      </c>
      <c r="J47" s="126" t="e">
        <f t="shared" si="565"/>
        <v>#DIV/0!</v>
      </c>
      <c r="K47" s="126">
        <f t="shared" si="565"/>
        <v>0.2866988283942109</v>
      </c>
      <c r="L47" s="126">
        <f t="shared" si="565"/>
        <v>0.30890206261329678</v>
      </c>
      <c r="M47" s="126">
        <f t="shared" si="565"/>
        <v>0.38320035072336694</v>
      </c>
      <c r="N47" s="126">
        <f t="shared" si="565"/>
        <v>0.32057416267942584</v>
      </c>
      <c r="O47" s="126">
        <f t="shared" si="565"/>
        <v>0.32261904761904764</v>
      </c>
      <c r="P47" s="126">
        <f t="shared" si="565"/>
        <v>0.53031274488850899</v>
      </c>
      <c r="Q47" s="126" t="e">
        <f t="shared" si="565"/>
        <v>#DIV/0!</v>
      </c>
      <c r="R47" s="126">
        <f t="shared" si="565"/>
        <v>0.28073972063741887</v>
      </c>
      <c r="S47" s="126" t="e">
        <f t="shared" si="565"/>
        <v>#DIV/0!</v>
      </c>
      <c r="T47" s="126" t="e">
        <f t="shared" si="565"/>
        <v>#DIV/0!</v>
      </c>
      <c r="U47" s="126" t="e">
        <f t="shared" si="565"/>
        <v>#DIV/0!</v>
      </c>
      <c r="V47" s="177">
        <f t="shared" si="565"/>
        <v>0.52896848051440759</v>
      </c>
      <c r="W47" s="126" t="e">
        <f t="shared" si="565"/>
        <v>#DIV/0!</v>
      </c>
      <c r="X47" s="126" t="e">
        <f t="shared" si="565"/>
        <v>#DIV/0!</v>
      </c>
      <c r="Y47" s="126">
        <f t="shared" si="565"/>
        <v>42.226337448559669</v>
      </c>
      <c r="Z47" s="126">
        <f t="shared" si="565"/>
        <v>41.666666666666664</v>
      </c>
      <c r="AA47" s="126">
        <f t="shared" si="565"/>
        <v>3.5242718446601944</v>
      </c>
      <c r="AB47" s="126">
        <f t="shared" ref="AB47" si="566">AB42/AB39</f>
        <v>1.9230769230769232E-2</v>
      </c>
      <c r="AC47" s="215">
        <f t="shared" si="565"/>
        <v>0.46108729413698679</v>
      </c>
      <c r="AD47" s="229">
        <f t="shared" si="565"/>
        <v>0.43117332272551745</v>
      </c>
      <c r="AE47" s="126">
        <f t="shared" si="565"/>
        <v>0.1754051477597712</v>
      </c>
      <c r="AF47" s="126">
        <f t="shared" si="565"/>
        <v>0.5848214285714286</v>
      </c>
      <c r="AG47" s="126">
        <f t="shared" si="565"/>
        <v>0</v>
      </c>
      <c r="AH47" s="126" t="e">
        <f t="shared" si="565"/>
        <v>#DIV/0!</v>
      </c>
      <c r="AI47" s="126" t="e">
        <f t="shared" si="565"/>
        <v>#DIV/0!</v>
      </c>
      <c r="AJ47" s="126" t="e">
        <f t="shared" si="565"/>
        <v>#DIV/0!</v>
      </c>
      <c r="AK47" s="126">
        <f t="shared" si="565"/>
        <v>0.63470978087201291</v>
      </c>
      <c r="AL47" s="126">
        <f t="shared" si="565"/>
        <v>0.18217170206401437</v>
      </c>
      <c r="AM47" s="126">
        <f t="shared" si="565"/>
        <v>0.15619047619047619</v>
      </c>
      <c r="AN47" s="126" t="e">
        <f t="shared" si="565"/>
        <v>#DIV/0!</v>
      </c>
      <c r="AO47" s="177">
        <f t="shared" si="565"/>
        <v>0.36977077831034594</v>
      </c>
      <c r="AP47" s="126">
        <f t="shared" si="565"/>
        <v>-0.13871092146349354</v>
      </c>
      <c r="AQ47" s="215">
        <f t="shared" si="565"/>
        <v>0.98068306761957125</v>
      </c>
      <c r="AR47" s="126" t="e">
        <f t="shared" si="565"/>
        <v>#DIV/0!</v>
      </c>
      <c r="AS47" s="126" t="e">
        <f t="shared" si="565"/>
        <v>#DIV/0!</v>
      </c>
      <c r="AT47" s="126" t="e">
        <f t="shared" si="565"/>
        <v>#DIV/0!</v>
      </c>
      <c r="AU47" s="126" t="e">
        <f t="shared" si="565"/>
        <v>#DIV/0!</v>
      </c>
      <c r="AV47" s="126" t="e">
        <f t="shared" si="565"/>
        <v>#DIV/0!</v>
      </c>
      <c r="AW47" s="126" t="e">
        <f t="shared" si="565"/>
        <v>#DIV/0!</v>
      </c>
      <c r="AX47" s="126" t="e">
        <f t="shared" si="565"/>
        <v>#DIV/0!</v>
      </c>
      <c r="AY47" s="126">
        <f t="shared" si="565"/>
        <v>0.81656804733727806</v>
      </c>
      <c r="AZ47" s="126" t="e">
        <f t="shared" si="565"/>
        <v>#DIV/0!</v>
      </c>
      <c r="BA47" s="126" t="e">
        <f t="shared" si="565"/>
        <v>#DIV/0!</v>
      </c>
      <c r="BB47" s="215">
        <f t="shared" si="565"/>
        <v>0.71290921308989808</v>
      </c>
      <c r="BC47" s="126">
        <f t="shared" si="565"/>
        <v>0.19365016761979886</v>
      </c>
      <c r="BD47" s="126">
        <f t="shared" si="565"/>
        <v>0.19365016761979886</v>
      </c>
      <c r="BE47" s="126" t="e">
        <f t="shared" si="565"/>
        <v>#DIV/0!</v>
      </c>
      <c r="BF47" s="126">
        <f t="shared" si="565"/>
        <v>0.44958315050460729</v>
      </c>
      <c r="BG47" s="126">
        <f t="shared" si="565"/>
        <v>-3.6093418259023353E-2</v>
      </c>
      <c r="BH47" s="177">
        <f t="shared" si="565"/>
        <v>0.73442226198763738</v>
      </c>
      <c r="BI47" s="229">
        <f t="shared" si="565"/>
        <v>0.49576234923321449</v>
      </c>
      <c r="BJ47" s="126">
        <f t="shared" si="565"/>
        <v>0.12527848553106113</v>
      </c>
      <c r="BK47" s="126">
        <f t="shared" si="565"/>
        <v>0.50185131651534554</v>
      </c>
      <c r="BM47" s="126" t="e">
        <f t="shared" ref="BM47" si="567">BM42/BM39</f>
        <v>#DIV/0!</v>
      </c>
    </row>
    <row r="48" spans="1:65" s="180" customFormat="1" ht="15.75" x14ac:dyDescent="0.25">
      <c r="A48" s="128"/>
      <c r="B48" s="5" t="s">
        <v>297</v>
      </c>
      <c r="C48" s="11">
        <f>C42-C39</f>
        <v>-867280</v>
      </c>
      <c r="D48" s="11">
        <f t="shared" ref="D48:BM48" si="568">D42-D39</f>
        <v>-296580</v>
      </c>
      <c r="E48" s="11">
        <f t="shared" si="568"/>
        <v>-65073</v>
      </c>
      <c r="F48" s="11">
        <f t="shared" si="568"/>
        <v>-107934</v>
      </c>
      <c r="G48" s="11">
        <f t="shared" si="568"/>
        <v>-57892</v>
      </c>
      <c r="H48" s="11">
        <f t="shared" si="568"/>
        <v>0</v>
      </c>
      <c r="I48" s="11">
        <f t="shared" si="568"/>
        <v>0</v>
      </c>
      <c r="J48" s="11">
        <f t="shared" si="568"/>
        <v>0</v>
      </c>
      <c r="K48" s="11">
        <f t="shared" si="568"/>
        <v>-1035</v>
      </c>
      <c r="L48" s="11">
        <f t="shared" si="568"/>
        <v>-28212</v>
      </c>
      <c r="M48" s="11">
        <f t="shared" si="568"/>
        <v>-35173</v>
      </c>
      <c r="N48" s="11">
        <f t="shared" si="568"/>
        <v>-142</v>
      </c>
      <c r="O48" s="11">
        <f t="shared" si="568"/>
        <v>-2276</v>
      </c>
      <c r="P48" s="11">
        <f t="shared" si="568"/>
        <v>-13186</v>
      </c>
      <c r="Q48" s="11">
        <f t="shared" si="568"/>
        <v>0</v>
      </c>
      <c r="R48" s="11">
        <f t="shared" si="568"/>
        <v>-3656</v>
      </c>
      <c r="S48" s="11">
        <f t="shared" si="568"/>
        <v>0</v>
      </c>
      <c r="T48" s="11">
        <f t="shared" si="568"/>
        <v>0</v>
      </c>
      <c r="U48" s="11">
        <f t="shared" si="568"/>
        <v>0</v>
      </c>
      <c r="V48" s="9">
        <f t="shared" si="568"/>
        <v>-156764</v>
      </c>
      <c r="W48" s="11">
        <f t="shared" si="568"/>
        <v>0</v>
      </c>
      <c r="X48" s="11">
        <f t="shared" si="568"/>
        <v>0</v>
      </c>
      <c r="Y48" s="11">
        <f t="shared" si="568"/>
        <v>10018</v>
      </c>
      <c r="Z48" s="11">
        <f t="shared" si="568"/>
        <v>976</v>
      </c>
      <c r="AA48" s="11">
        <f t="shared" si="568"/>
        <v>520</v>
      </c>
      <c r="AB48" s="11">
        <f t="shared" ref="AB48" si="569">AB42-AB39</f>
        <v>-2754</v>
      </c>
      <c r="AC48" s="10">
        <f t="shared" si="568"/>
        <v>-622878</v>
      </c>
      <c r="AD48" s="227">
        <f t="shared" si="568"/>
        <v>-2249321</v>
      </c>
      <c r="AE48" s="11">
        <f t="shared" si="568"/>
        <v>-865</v>
      </c>
      <c r="AF48" s="11">
        <f t="shared" si="568"/>
        <v>-93</v>
      </c>
      <c r="AG48" s="11">
        <f t="shared" si="568"/>
        <v>-4618</v>
      </c>
      <c r="AH48" s="11">
        <f t="shared" si="568"/>
        <v>0</v>
      </c>
      <c r="AI48" s="11">
        <f t="shared" si="568"/>
        <v>0</v>
      </c>
      <c r="AJ48" s="11">
        <f t="shared" si="568"/>
        <v>0</v>
      </c>
      <c r="AK48" s="11">
        <f t="shared" si="568"/>
        <v>-63330</v>
      </c>
      <c r="AL48" s="11">
        <f t="shared" si="568"/>
        <v>-24606</v>
      </c>
      <c r="AM48" s="11">
        <f t="shared" si="568"/>
        <v>-443</v>
      </c>
      <c r="AN48" s="11">
        <f t="shared" si="568"/>
        <v>0</v>
      </c>
      <c r="AO48" s="9">
        <f t="shared" si="568"/>
        <v>-77314</v>
      </c>
      <c r="AP48" s="11">
        <f t="shared" si="568"/>
        <v>91533</v>
      </c>
      <c r="AQ48" s="10">
        <f t="shared" si="568"/>
        <v>-2811</v>
      </c>
      <c r="AR48" s="11">
        <f t="shared" si="568"/>
        <v>0</v>
      </c>
      <c r="AS48" s="11">
        <f t="shared" si="568"/>
        <v>0</v>
      </c>
      <c r="AT48" s="11">
        <f t="shared" si="568"/>
        <v>0</v>
      </c>
      <c r="AU48" s="11">
        <f t="shared" si="568"/>
        <v>0</v>
      </c>
      <c r="AV48" s="11">
        <f t="shared" si="568"/>
        <v>0</v>
      </c>
      <c r="AW48" s="11">
        <f t="shared" si="568"/>
        <v>0</v>
      </c>
      <c r="AX48" s="11">
        <f t="shared" si="568"/>
        <v>0</v>
      </c>
      <c r="AY48" s="11">
        <f t="shared" si="568"/>
        <v>-31</v>
      </c>
      <c r="AZ48" s="11">
        <f t="shared" si="568"/>
        <v>0</v>
      </c>
      <c r="BA48" s="11">
        <f t="shared" si="568"/>
        <v>0</v>
      </c>
      <c r="BB48" s="10">
        <f t="shared" si="568"/>
        <v>-186696</v>
      </c>
      <c r="BC48" s="11">
        <f t="shared" si="568"/>
        <v>-4089</v>
      </c>
      <c r="BD48" s="11">
        <f t="shared" si="568"/>
        <v>-4089</v>
      </c>
      <c r="BE48" s="11">
        <f t="shared" si="568"/>
        <v>0</v>
      </c>
      <c r="BF48" s="11">
        <f t="shared" si="568"/>
        <v>-6272</v>
      </c>
      <c r="BG48" s="11">
        <f t="shared" si="568"/>
        <v>-488</v>
      </c>
      <c r="BH48" s="11">
        <f t="shared" si="568"/>
        <v>-284212</v>
      </c>
      <c r="BI48" s="227">
        <f t="shared" si="568"/>
        <v>-2533533</v>
      </c>
      <c r="BJ48" s="11">
        <f t="shared" si="568"/>
        <v>-71065</v>
      </c>
      <c r="BK48" s="11">
        <f t="shared" si="568"/>
        <v>-2462468</v>
      </c>
      <c r="BL48" s="11">
        <f t="shared" si="568"/>
        <v>2480767</v>
      </c>
      <c r="BM48" s="11">
        <f t="shared" si="568"/>
        <v>775775</v>
      </c>
    </row>
    <row r="49" spans="1:65" s="180" customFormat="1" ht="15.75" x14ac:dyDescent="0.25">
      <c r="A49" s="128"/>
      <c r="B49" s="5"/>
      <c r="C49" s="5"/>
      <c r="D49" s="5"/>
      <c r="E49" s="5"/>
      <c r="F49" s="5"/>
      <c r="G49" s="5"/>
      <c r="H49" s="5"/>
      <c r="I49" s="5"/>
      <c r="J49" s="5"/>
      <c r="K49" s="5"/>
      <c r="L49" s="5"/>
      <c r="M49" s="5"/>
      <c r="N49" s="5"/>
      <c r="O49" s="5"/>
      <c r="P49" s="5"/>
      <c r="Q49" s="5"/>
      <c r="R49" s="5"/>
      <c r="S49" s="5"/>
      <c r="T49" s="5"/>
      <c r="U49" s="5"/>
      <c r="V49" s="16"/>
      <c r="W49" s="5"/>
      <c r="X49" s="5"/>
      <c r="Y49" s="5"/>
      <c r="Z49" s="5"/>
      <c r="AA49" s="5"/>
      <c r="AB49" s="5"/>
      <c r="AC49" s="6"/>
      <c r="AD49" s="230"/>
      <c r="AE49" s="5"/>
      <c r="AF49" s="5"/>
      <c r="AG49" s="5"/>
      <c r="AH49" s="5"/>
      <c r="AI49" s="5"/>
      <c r="AJ49" s="5"/>
      <c r="AK49" s="5"/>
      <c r="AL49" s="5"/>
      <c r="AM49" s="5"/>
      <c r="AN49" s="5"/>
      <c r="AO49" s="16"/>
      <c r="AP49" s="5"/>
      <c r="AQ49" s="6"/>
      <c r="AR49" s="5"/>
      <c r="AS49" s="5"/>
      <c r="AT49" s="5"/>
      <c r="AU49" s="5"/>
      <c r="AV49" s="5"/>
      <c r="AW49" s="6"/>
      <c r="AX49" s="5"/>
      <c r="AY49" s="5"/>
      <c r="AZ49" s="5"/>
      <c r="BA49" s="5"/>
      <c r="BB49" s="6"/>
      <c r="BC49" s="5"/>
      <c r="BD49" s="5"/>
      <c r="BE49" s="5"/>
      <c r="BF49" s="5"/>
      <c r="BG49" s="5"/>
      <c r="BH49" s="16"/>
      <c r="BI49" s="230"/>
      <c r="BJ49" s="5"/>
      <c r="BK49" s="48"/>
    </row>
    <row r="50" spans="1:65" ht="15.75" x14ac:dyDescent="0.25">
      <c r="A50" s="15" t="s">
        <v>139</v>
      </c>
      <c r="B50" s="11" t="s">
        <v>301</v>
      </c>
      <c r="C50" s="120">
        <v>2439676</v>
      </c>
      <c r="D50" s="120">
        <v>693745</v>
      </c>
      <c r="E50" s="120">
        <v>118279</v>
      </c>
      <c r="F50" s="120">
        <v>213447</v>
      </c>
      <c r="G50" s="120">
        <v>149563</v>
      </c>
      <c r="H50" s="120">
        <v>0</v>
      </c>
      <c r="I50" s="120">
        <v>0</v>
      </c>
      <c r="J50" s="120">
        <v>2914</v>
      </c>
      <c r="K50" s="120">
        <v>1403</v>
      </c>
      <c r="L50" s="120">
        <v>36420</v>
      </c>
      <c r="M50" s="120">
        <v>81055</v>
      </c>
      <c r="N50" s="120">
        <v>225</v>
      </c>
      <c r="O50" s="120">
        <v>11691</v>
      </c>
      <c r="P50" s="120">
        <v>180354</v>
      </c>
      <c r="Q50" s="120">
        <v>0</v>
      </c>
      <c r="R50" s="120">
        <v>8728</v>
      </c>
      <c r="S50" s="120">
        <v>0</v>
      </c>
      <c r="T50" s="120">
        <v>0</v>
      </c>
      <c r="U50" s="120"/>
      <c r="V50" s="189">
        <v>5305</v>
      </c>
      <c r="W50" s="120">
        <v>0</v>
      </c>
      <c r="X50" s="120">
        <v>0</v>
      </c>
      <c r="Y50" s="120">
        <v>4708</v>
      </c>
      <c r="Z50" s="120">
        <v>482</v>
      </c>
      <c r="AA50" s="120">
        <v>686</v>
      </c>
      <c r="AB50" s="120">
        <v>4441</v>
      </c>
      <c r="AC50" s="151">
        <v>0</v>
      </c>
      <c r="AD50" s="233">
        <f t="shared" ref="AD50:AD51" si="570">SUM(C50:AC50)</f>
        <v>3953122</v>
      </c>
      <c r="AE50" s="120">
        <v>3034</v>
      </c>
      <c r="AF50" s="120">
        <v>24936</v>
      </c>
      <c r="AG50" s="120">
        <v>3185</v>
      </c>
      <c r="AH50" s="120">
        <v>0</v>
      </c>
      <c r="AI50" s="120">
        <v>0</v>
      </c>
      <c r="AJ50" s="120">
        <v>86</v>
      </c>
      <c r="AK50" s="120">
        <v>300181</v>
      </c>
      <c r="AL50" s="120">
        <v>325010</v>
      </c>
      <c r="AM50" s="120">
        <v>0</v>
      </c>
      <c r="AN50" s="120">
        <v>15163</v>
      </c>
      <c r="AO50" s="189">
        <v>624905</v>
      </c>
      <c r="AP50" s="120">
        <v>81947</v>
      </c>
      <c r="AQ50" s="151">
        <v>460</v>
      </c>
      <c r="AR50" s="120">
        <v>0</v>
      </c>
      <c r="AS50" s="120"/>
      <c r="AT50" s="120"/>
      <c r="AU50" s="120">
        <v>0</v>
      </c>
      <c r="AV50" s="120"/>
      <c r="AW50" s="120">
        <v>8</v>
      </c>
      <c r="AX50" s="120">
        <v>86</v>
      </c>
      <c r="AY50" s="120">
        <v>0</v>
      </c>
      <c r="AZ50" s="120">
        <v>0</v>
      </c>
      <c r="BA50" s="120">
        <v>0</v>
      </c>
      <c r="BB50" s="151">
        <v>0</v>
      </c>
      <c r="BC50" s="120">
        <v>26354</v>
      </c>
      <c r="BD50" s="120">
        <v>26352</v>
      </c>
      <c r="BE50" s="120">
        <v>0</v>
      </c>
      <c r="BF50" s="120">
        <v>47587</v>
      </c>
      <c r="BG50" s="120">
        <v>278892</v>
      </c>
      <c r="BH50" s="9">
        <f>SUM(AE50:BG50)</f>
        <v>1758186</v>
      </c>
      <c r="BI50" s="226">
        <f>AD50+BH50</f>
        <v>5711308</v>
      </c>
      <c r="BJ50" s="96">
        <v>85761</v>
      </c>
      <c r="BK50" s="49">
        <f t="shared" ref="BK50:BK51" si="571">BI50-BJ50</f>
        <v>5625547</v>
      </c>
      <c r="BL50">
        <v>5</v>
      </c>
      <c r="BM50" s="30"/>
    </row>
    <row r="51" spans="1:65" s="41" customFormat="1" ht="15.75" x14ac:dyDescent="0.25">
      <c r="A51" s="134" t="s">
        <v>139</v>
      </c>
      <c r="B51" s="216" t="s">
        <v>324</v>
      </c>
      <c r="C51" s="10">
        <v>1073457</v>
      </c>
      <c r="D51" s="10">
        <v>246663</v>
      </c>
      <c r="E51" s="10">
        <v>0</v>
      </c>
      <c r="F51" s="10">
        <v>93917</v>
      </c>
      <c r="G51" s="10">
        <v>65804</v>
      </c>
      <c r="H51" s="10">
        <v>0</v>
      </c>
      <c r="I51" s="10">
        <v>0</v>
      </c>
      <c r="J51" s="10">
        <v>1282</v>
      </c>
      <c r="K51" s="10">
        <v>617</v>
      </c>
      <c r="L51" s="10">
        <v>16028</v>
      </c>
      <c r="M51" s="10">
        <v>35664</v>
      </c>
      <c r="N51" s="10">
        <v>100</v>
      </c>
      <c r="O51" s="10">
        <v>5142</v>
      </c>
      <c r="P51" s="10">
        <v>79357</v>
      </c>
      <c r="Q51" s="10">
        <v>0</v>
      </c>
      <c r="R51" s="10">
        <v>3839</v>
      </c>
      <c r="S51" s="10">
        <v>0</v>
      </c>
      <c r="T51" s="10">
        <v>0</v>
      </c>
      <c r="U51" s="10"/>
      <c r="V51" s="10">
        <v>2334</v>
      </c>
      <c r="W51" s="10">
        <v>0</v>
      </c>
      <c r="X51" s="10">
        <v>0</v>
      </c>
      <c r="Y51" s="10">
        <v>2072</v>
      </c>
      <c r="Z51" s="10">
        <v>213</v>
      </c>
      <c r="AA51" s="10">
        <v>303</v>
      </c>
      <c r="AB51" s="10">
        <v>1953</v>
      </c>
      <c r="AC51" s="10">
        <v>0</v>
      </c>
      <c r="AD51" s="233">
        <f t="shared" si="570"/>
        <v>1628745</v>
      </c>
      <c r="AE51" s="10">
        <v>1335</v>
      </c>
      <c r="AF51" s="10">
        <v>10971</v>
      </c>
      <c r="AG51" s="10">
        <v>1403</v>
      </c>
      <c r="AH51" s="10">
        <v>0</v>
      </c>
      <c r="AI51" s="10">
        <v>0</v>
      </c>
      <c r="AJ51" s="10">
        <v>38</v>
      </c>
      <c r="AK51" s="10">
        <v>132079</v>
      </c>
      <c r="AL51" s="10">
        <v>143005</v>
      </c>
      <c r="AM51" s="10">
        <v>0</v>
      </c>
      <c r="AN51" s="10">
        <v>6671</v>
      </c>
      <c r="AO51" s="10">
        <v>274960</v>
      </c>
      <c r="AP51" s="10">
        <v>36057</v>
      </c>
      <c r="AQ51" s="10">
        <v>203</v>
      </c>
      <c r="AR51" s="10">
        <v>0</v>
      </c>
      <c r="AS51" s="10"/>
      <c r="AT51" s="10"/>
      <c r="AU51" s="10">
        <v>0</v>
      </c>
      <c r="AV51" s="10"/>
      <c r="AW51" s="10">
        <v>4</v>
      </c>
      <c r="AX51" s="10">
        <v>38</v>
      </c>
      <c r="AY51" s="10">
        <v>0</v>
      </c>
      <c r="AZ51" s="10">
        <v>0</v>
      </c>
      <c r="BA51" s="10">
        <v>0</v>
      </c>
      <c r="BB51" s="10">
        <v>0</v>
      </c>
      <c r="BC51" s="10">
        <v>11595</v>
      </c>
      <c r="BD51" s="10">
        <v>11594</v>
      </c>
      <c r="BE51" s="10">
        <v>0</v>
      </c>
      <c r="BF51" s="10">
        <v>20939</v>
      </c>
      <c r="BG51" s="10">
        <v>122713</v>
      </c>
      <c r="BH51" s="10">
        <f>SUM(AE51:BG51)</f>
        <v>773605</v>
      </c>
      <c r="BI51" s="226">
        <f>AD51+BH51</f>
        <v>2402350</v>
      </c>
      <c r="BJ51" s="10">
        <v>35735</v>
      </c>
      <c r="BK51" s="10">
        <f t="shared" si="571"/>
        <v>2366615</v>
      </c>
      <c r="BM51" s="217"/>
    </row>
    <row r="52" spans="1:65" ht="15.75" x14ac:dyDescent="0.25">
      <c r="A52" s="128"/>
      <c r="B52" s="12" t="s">
        <v>325</v>
      </c>
      <c r="C52" s="9">
        <f>IF('Upto Month COPPY'!$F$4="",0,'Upto Month COPPY'!$F$4)</f>
        <v>1005778</v>
      </c>
      <c r="D52" s="9">
        <f>IF('Upto Month COPPY'!$F$5="",0,'Upto Month COPPY'!$F$5)</f>
        <v>167963</v>
      </c>
      <c r="E52" s="9">
        <f>IF('Upto Month COPPY'!$F$6="",0,'Upto Month COPPY'!$F$6)</f>
        <v>719</v>
      </c>
      <c r="F52" s="9">
        <f>IF('Upto Month COPPY'!$F$7="",0,'Upto Month COPPY'!$F$7)</f>
        <v>80525</v>
      </c>
      <c r="G52" s="9">
        <f>IF('Upto Month COPPY'!$F$8="",0,'Upto Month COPPY'!$F$8)</f>
        <v>55388</v>
      </c>
      <c r="H52" s="9">
        <f>IF('Upto Month COPPY'!$F$9="",0,'Upto Month COPPY'!$F$9)</f>
        <v>0</v>
      </c>
      <c r="I52" s="9">
        <f>IF('Upto Month COPPY'!$F$10="",0,'Upto Month COPPY'!$F$10)</f>
        <v>0</v>
      </c>
      <c r="J52" s="9">
        <f>IF('Upto Month COPPY'!$F$11="",0,'Upto Month COPPY'!$F$11)</f>
        <v>2327</v>
      </c>
      <c r="K52" s="9">
        <f>IF('Upto Month COPPY'!$F$12="",0,'Upto Month COPPY'!$F$12)</f>
        <v>192</v>
      </c>
      <c r="L52" s="9">
        <f>IF('Upto Month COPPY'!$F$13="",0,'Upto Month COPPY'!$F$13)</f>
        <v>16166</v>
      </c>
      <c r="M52" s="9">
        <f>IF('Upto Month COPPY'!$F$14="",0,'Upto Month COPPY'!$F$14)</f>
        <v>36216</v>
      </c>
      <c r="N52" s="9">
        <f>IF('Upto Month COPPY'!$F$15="",0,'Upto Month COPPY'!$F$15)</f>
        <v>49</v>
      </c>
      <c r="O52" s="9">
        <f>IF('Upto Month COPPY'!$F$16="",0,'Upto Month COPPY'!$F$16)</f>
        <v>3321</v>
      </c>
      <c r="P52" s="9">
        <f>IF('Upto Month COPPY'!$F$17="",0,'Upto Month COPPY'!$F$17)</f>
        <v>93974</v>
      </c>
      <c r="Q52" s="9">
        <f>IF('Upto Month COPPY'!$F$18="",0,'Upto Month COPPY'!$F$18)</f>
        <v>0</v>
      </c>
      <c r="R52" s="9">
        <f>IF('Upto Month COPPY'!$F$21="",0,'Upto Month COPPY'!$F$21)</f>
        <v>1213</v>
      </c>
      <c r="S52" s="9">
        <f>IF('Upto Month COPPY'!$F$26="",0,'Upto Month COPPY'!$F$26)</f>
        <v>0</v>
      </c>
      <c r="T52" s="9">
        <f>IF('Upto Month COPPY'!$F$27="",0,'Upto Month COPPY'!$F$27)</f>
        <v>0</v>
      </c>
      <c r="U52" s="9">
        <f>IF('Upto Month COPPY'!$F$30="",0,'Upto Month COPPY'!$F$30)</f>
        <v>0</v>
      </c>
      <c r="V52" s="9">
        <f>IF('Upto Month COPPY'!$F$35="",0,'Upto Month COPPY'!$F$35)</f>
        <v>71700</v>
      </c>
      <c r="W52" s="9">
        <f>IF('Upto Month COPPY'!$F$39="",0,'Upto Month COPPY'!$F$39)</f>
        <v>0</v>
      </c>
      <c r="X52" s="9">
        <f>IF('Upto Month COPPY'!$F$40="",0,'Upto Month COPPY'!$F$40)</f>
        <v>0</v>
      </c>
      <c r="Y52" s="9">
        <f>IF('Upto Month COPPY'!$F$42="",0,'Upto Month COPPY'!$F$42)</f>
        <v>3163</v>
      </c>
      <c r="Z52" s="9">
        <f>IF('Upto Month COPPY'!$F$43="",0,'Upto Month COPPY'!$F$43)</f>
        <v>165</v>
      </c>
      <c r="AA52" s="9">
        <f>IF('Upto Month COPPY'!$F$44="",0,'Upto Month COPPY'!$F$44)</f>
        <v>253</v>
      </c>
      <c r="AB52" s="9">
        <f>IF('Upto Month COPPY'!$F$48="",0,'Upto Month COPPY'!$F$48)</f>
        <v>0</v>
      </c>
      <c r="AC52" s="10">
        <f>IF('Upto Month COPPY'!$F$51="",0,'Upto Month COPPY'!$F$51)</f>
        <v>0</v>
      </c>
      <c r="AD52" s="233">
        <f t="shared" ref="AD52:AD53" si="572">SUM(C52:AC52)</f>
        <v>1539112</v>
      </c>
      <c r="AE52" s="9">
        <f>IF('Upto Month COPPY'!$F$19="",0,'Upto Month COPPY'!$F$19)</f>
        <v>1161</v>
      </c>
      <c r="AF52" s="9">
        <f>IF('Upto Month COPPY'!$F$20="",0,'Upto Month COPPY'!$F$20)</f>
        <v>22169</v>
      </c>
      <c r="AG52" s="9">
        <f>IF('Upto Month COPPY'!$F$22="",0,'Upto Month COPPY'!$F$22)</f>
        <v>2416</v>
      </c>
      <c r="AH52" s="9">
        <f>IF('Upto Month COPPY'!$F$23="",0,'Upto Month COPPY'!$F$23)</f>
        <v>18</v>
      </c>
      <c r="AI52" s="9">
        <f>IF('Upto Month COPPY'!$F$24="",0,'Upto Month COPPY'!$F$24)</f>
        <v>0</v>
      </c>
      <c r="AJ52" s="9">
        <f>IF('Upto Month COPPY'!$F$25="",0,'Upto Month COPPY'!$F$25)</f>
        <v>0</v>
      </c>
      <c r="AK52" s="9">
        <f>IF('Upto Month COPPY'!$F$28="",0,'Upto Month COPPY'!$F$28)</f>
        <v>152961</v>
      </c>
      <c r="AL52" s="9">
        <f>IF('Upto Month COPPY'!$F$29="",0,'Upto Month COPPY'!$F$29)</f>
        <v>122359</v>
      </c>
      <c r="AM52" s="9">
        <f>IF('Upto Month COPPY'!$F$31="",0,'Upto Month COPPY'!$F$31)</f>
        <v>0</v>
      </c>
      <c r="AN52" s="9">
        <f>IF('Upto Month COPPY'!$F$32="",0,'Upto Month COPPY'!$F$32)</f>
        <v>3423</v>
      </c>
      <c r="AO52" s="9">
        <f>IF('Upto Month COPPY'!$F$33="",0,'Upto Month COPPY'!$F$33)</f>
        <v>289729</v>
      </c>
      <c r="AP52" s="9">
        <f>IF('Upto Month COPPY'!$F$34="",0,'Upto Month COPPY'!$F$34)</f>
        <v>-13704</v>
      </c>
      <c r="AQ52" s="10">
        <f>IF('Upto Month COPPY'!$F$36="",0,'Upto Month COPPY'!$F$36)</f>
        <v>779</v>
      </c>
      <c r="AR52" s="9">
        <f>IF('Upto Month COPPY'!$F$37="",0,'Upto Month COPPY'!$F$37)</f>
        <v>0</v>
      </c>
      <c r="AS52" s="9">
        <v>0</v>
      </c>
      <c r="AT52" s="9">
        <f>IF('Upto Month COPPY'!$F$38="",0,'Upto Month COPPY'!$F$38)</f>
        <v>0</v>
      </c>
      <c r="AU52" s="9">
        <f>IF('Upto Month COPPY'!$F$41="",0,'Upto Month COPPY'!$F$41)</f>
        <v>0</v>
      </c>
      <c r="AV52" s="9">
        <v>0</v>
      </c>
      <c r="AW52" s="9">
        <f>IF('Upto Month COPPY'!$F$45="",0,'Upto Month COPPY'!$F$45)</f>
        <v>0</v>
      </c>
      <c r="AX52" s="9">
        <f>IF('Upto Month COPPY'!$F$46="",0,'Upto Month COPPY'!$F$46)</f>
        <v>-900</v>
      </c>
      <c r="AY52" s="9">
        <f>IF('Upto Month COPPY'!$F$47="",0,'Upto Month COPPY'!$F$47)</f>
        <v>0</v>
      </c>
      <c r="AZ52" s="9">
        <f>IF('Upto Month COPPY'!$F$49="",0,'Upto Month COPPY'!$F$49)</f>
        <v>0</v>
      </c>
      <c r="BA52" s="9">
        <f>IF('Upto Month COPPY'!$F$50="",0,'Upto Month COPPY'!$F$50)</f>
        <v>0</v>
      </c>
      <c r="BB52" s="10">
        <f>IF('Upto Month COPPY'!$F$52="",0,'Upto Month COPPY'!$F$52)</f>
        <v>0</v>
      </c>
      <c r="BC52" s="9">
        <f>IF('Upto Month COPPY'!$F$53="",0,'Upto Month COPPY'!$F$53)</f>
        <v>12639</v>
      </c>
      <c r="BD52" s="9">
        <f>IF('Upto Month COPPY'!$F$54="",0,'Upto Month COPPY'!$F$54)</f>
        <v>12622</v>
      </c>
      <c r="BE52" s="9">
        <f>IF('Upto Month COPPY'!$F$55="",0,'Upto Month COPPY'!$F$55)</f>
        <v>0</v>
      </c>
      <c r="BF52" s="9">
        <f>IF('Upto Month COPPY'!$F$56="",0,'Upto Month COPPY'!$F$56)</f>
        <v>30080</v>
      </c>
      <c r="BG52" s="9">
        <f>IF('Upto Month COPPY'!$F$58="",0,'Upto Month COPPY'!$F$58)</f>
        <v>131774</v>
      </c>
      <c r="BH52" s="9">
        <f>SUM(AE52:BG52)</f>
        <v>767526</v>
      </c>
      <c r="BI52" s="226">
        <f>AD52+BH52</f>
        <v>2306638</v>
      </c>
      <c r="BJ52" s="9">
        <f>IF('Upto Month COPPY'!$F$60="",0,'Upto Month COPPY'!$F$60)</f>
        <v>7462</v>
      </c>
      <c r="BK52" s="49">
        <f t="shared" ref="BK52:BK53" si="573">BI52-BJ52</f>
        <v>2299176</v>
      </c>
      <c r="BL52">
        <f>'Upto Month COPPY'!$F$61</f>
        <v>2299177</v>
      </c>
      <c r="BM52" s="30">
        <f t="shared" ref="BM52:BM56" si="574">BK52-AD52</f>
        <v>760064</v>
      </c>
    </row>
    <row r="53" spans="1:65" ht="15.75" x14ac:dyDescent="0.25">
      <c r="A53" s="128"/>
      <c r="B53" s="182" t="s">
        <v>326</v>
      </c>
      <c r="C53" s="9">
        <f>IF('Upto Month Current'!$F$4="",0,'Upto Month Current'!$F$4)</f>
        <v>995500</v>
      </c>
      <c r="D53" s="9">
        <f>IF('Upto Month Current'!$F$5="",0,'Upto Month Current'!$F$5)</f>
        <v>212342</v>
      </c>
      <c r="E53" s="9">
        <f>IF('Upto Month Current'!$F$6="",0,'Upto Month Current'!$F$6)</f>
        <v>181</v>
      </c>
      <c r="F53" s="9">
        <f>IF('Upto Month Current'!$F$7="",0,'Upto Month Current'!$F$7)</f>
        <v>84344</v>
      </c>
      <c r="G53" s="9">
        <f>IF('Upto Month Current'!$F$8="",0,'Upto Month Current'!$F$8)</f>
        <v>58240</v>
      </c>
      <c r="H53" s="9">
        <f>IF('Upto Month Current'!$F$9="",0,'Upto Month Current'!$F$9)</f>
        <v>0</v>
      </c>
      <c r="I53" s="9">
        <f>IF('Upto Month Current'!$F$10="",0,'Upto Month Current'!$F$10)</f>
        <v>0</v>
      </c>
      <c r="J53" s="9">
        <f>IF('Upto Month Current'!$F$11="",0,'Upto Month Current'!$F$11)</f>
        <v>1043</v>
      </c>
      <c r="K53" s="9">
        <f>IF('Upto Month Current'!$F$12="",0,'Upto Month Current'!$F$12)</f>
        <v>266</v>
      </c>
      <c r="L53" s="9">
        <f>IF('Upto Month Current'!$F$13="",0,'Upto Month Current'!$F$13)</f>
        <v>12002</v>
      </c>
      <c r="M53" s="9">
        <f>IF('Upto Month Current'!$F$14="",0,'Upto Month Current'!$F$14)</f>
        <v>32007</v>
      </c>
      <c r="N53" s="9">
        <f>IF('Upto Month Current'!$F$15="",0,'Upto Month Current'!$F$15)</f>
        <v>45</v>
      </c>
      <c r="O53" s="9">
        <f>IF('Upto Month Current'!$F$16="",0,'Upto Month Current'!$F$16)</f>
        <v>2356</v>
      </c>
      <c r="P53" s="9">
        <f>IF('Upto Month Current'!$F$17="",0,'Upto Month Current'!$F$17)</f>
        <v>96671</v>
      </c>
      <c r="Q53" s="9">
        <f>IF('Upto Month Current'!$F$18="",0,'Upto Month Current'!$F$18)</f>
        <v>0</v>
      </c>
      <c r="R53" s="9">
        <f>IF('Upto Month Current'!$F$21="",0,'Upto Month Current'!$F$21)</f>
        <v>2613</v>
      </c>
      <c r="S53" s="9">
        <f>IF('Upto Month Current'!$F$26="",0,'Upto Month Current'!$F$26)</f>
        <v>0</v>
      </c>
      <c r="T53" s="9">
        <f>IF('Upto Month Current'!$F$27="",0,'Upto Month Current'!$F$27)</f>
        <v>0</v>
      </c>
      <c r="U53" s="9">
        <f>IF('Upto Month Current'!$F$30="",0,'Upto Month Current'!$F$30)</f>
        <v>0</v>
      </c>
      <c r="V53" s="9">
        <f>IF('Upto Month Current'!$F$35="",0,'Upto Month Current'!$F$35)</f>
        <v>4867</v>
      </c>
      <c r="W53" s="9">
        <f>IF('Upto Month Current'!$F$39="",0,'Upto Month Current'!$F$39)</f>
        <v>0</v>
      </c>
      <c r="X53" s="9">
        <f>IF('Upto Month Current'!$F$40="",0,'Upto Month Current'!$F$40)</f>
        <v>0</v>
      </c>
      <c r="Y53" s="9">
        <f>IF('Upto Month Current'!$F$42="",0,'Upto Month Current'!$F$42)</f>
        <v>10651</v>
      </c>
      <c r="Z53" s="9">
        <f>IF('Upto Month Current'!$F$43="",0,'Upto Month Current'!$F$43)</f>
        <v>1105</v>
      </c>
      <c r="AA53" s="9">
        <f>IF('Upto Month Current'!$F$44="",0,'Upto Month Current'!$F$44)</f>
        <v>916</v>
      </c>
      <c r="AB53" s="9">
        <f>IF('Upto Month Current'!$F$48="",0,'Upto Month Current'!$F$48)</f>
        <v>40</v>
      </c>
      <c r="AC53" s="10">
        <f>IF('Upto Month Current'!$F$51="",0,'Upto Month Current'!$F$51)</f>
        <v>0</v>
      </c>
      <c r="AD53" s="233">
        <f t="shared" si="572"/>
        <v>1515189</v>
      </c>
      <c r="AE53" s="9">
        <f>IF('Upto Month Current'!$F$19="",0,'Upto Month Current'!$F$19)</f>
        <v>1303</v>
      </c>
      <c r="AF53" s="9">
        <f>IF('Upto Month Current'!$F$20="",0,'Upto Month Current'!$F$20)</f>
        <v>7867</v>
      </c>
      <c r="AG53" s="9">
        <f>IF('Upto Month Current'!$F$22="",0,'Upto Month Current'!$F$22)</f>
        <v>1687</v>
      </c>
      <c r="AH53" s="9">
        <f>IF('Upto Month Current'!$F$23="",0,'Upto Month Current'!$F$23)</f>
        <v>0</v>
      </c>
      <c r="AI53" s="9">
        <f>IF('Upto Month Current'!$F$24="",0,'Upto Month Current'!$F$24)</f>
        <v>0</v>
      </c>
      <c r="AJ53" s="9">
        <f>IF('Upto Month Current'!$F$25="",0,'Upto Month Current'!$F$25)</f>
        <v>222</v>
      </c>
      <c r="AK53" s="9">
        <f>IF('Upto Month Current'!$F$28="",0,'Upto Month Current'!$F$28)</f>
        <v>105488</v>
      </c>
      <c r="AL53" s="9">
        <f>IF('Upto Month Current'!$F$29="",0,'Upto Month Current'!$F$29)</f>
        <v>95279</v>
      </c>
      <c r="AM53" s="9">
        <f>IF('Upto Month Current'!$F$31="",0,'Upto Month Current'!$F$31)</f>
        <v>0</v>
      </c>
      <c r="AN53" s="9">
        <f>IF('Upto Month Current'!$F$32="",0,'Upto Month Current'!$F$32)</f>
        <v>1046</v>
      </c>
      <c r="AO53" s="9">
        <f>IF('Upto Month Current'!$F$33="",0,'Upto Month Current'!$F$33)</f>
        <v>326147</v>
      </c>
      <c r="AP53" s="9">
        <f>IF('Upto Month Current'!$F$34="",0,'Upto Month Current'!$F$34)</f>
        <v>-5332</v>
      </c>
      <c r="AQ53" s="10">
        <f>IF('Upto Month Current'!$F$36="",0,'Upto Month Current'!$F$36)</f>
        <v>14747</v>
      </c>
      <c r="AR53" s="9">
        <f>IF('Upto Month Current'!$F$37="",0,'Upto Month Current'!$F$37)</f>
        <v>0</v>
      </c>
      <c r="AS53" s="9">
        <v>0</v>
      </c>
      <c r="AT53" s="9">
        <f>IF('Upto Month Current'!$F$38="",0,'Upto Month Current'!$F$38)</f>
        <v>0</v>
      </c>
      <c r="AU53" s="9">
        <f>IF('Upto Month Current'!$F$41="",0,'Upto Month Current'!$F$41)</f>
        <v>0</v>
      </c>
      <c r="AV53" s="9">
        <v>0</v>
      </c>
      <c r="AW53" s="9">
        <f>IF('Upto Month Current'!$F$45="",0,'Upto Month Current'!$F$45)</f>
        <v>0</v>
      </c>
      <c r="AX53" s="9">
        <f>IF('Upto Month Current'!$F$46="",0,'Upto Month Current'!$F$46)</f>
        <v>0</v>
      </c>
      <c r="AY53" s="9">
        <f>IF('Upto Month Current'!$F$47="",0,'Upto Month Current'!$F$47)</f>
        <v>0</v>
      </c>
      <c r="AZ53" s="9">
        <f>IF('Upto Month Current'!$F$49="",0,'Upto Month Current'!$F$49)</f>
        <v>0</v>
      </c>
      <c r="BA53" s="9">
        <f>IF('Upto Month Current'!$F$50="",0,'Upto Month Current'!$F$50)</f>
        <v>0</v>
      </c>
      <c r="BB53" s="10">
        <f>IF('Upto Month Current'!$F$52="",0,'Upto Month Current'!$F$52)</f>
        <v>0</v>
      </c>
      <c r="BC53" s="9">
        <f>IF('Upto Month Current'!$F$53="",0,'Upto Month Current'!$F$53)</f>
        <v>10416</v>
      </c>
      <c r="BD53" s="9">
        <f>IF('Upto Month Current'!$F$54="",0,'Upto Month Current'!$F$54)</f>
        <v>10416</v>
      </c>
      <c r="BE53" s="9">
        <f>IF('Upto Month Current'!$F$55="",0,'Upto Month Current'!$F$55)</f>
        <v>0</v>
      </c>
      <c r="BF53" s="9">
        <f>IF('Upto Month Current'!$F$56="",0,'Upto Month Current'!$F$56)</f>
        <v>32330</v>
      </c>
      <c r="BG53" s="9">
        <f>IF('Upto Month Current'!$F$58="",0,'Upto Month Current'!$F$58)</f>
        <v>154891</v>
      </c>
      <c r="BH53" s="9">
        <f>SUM(AE53:BG53)</f>
        <v>756507</v>
      </c>
      <c r="BI53" s="226">
        <f>AD53+BH53</f>
        <v>2271696</v>
      </c>
      <c r="BJ53" s="9">
        <f>IF('Upto Month Current'!$F$60="",0,'Upto Month Current'!$F$60)</f>
        <v>30656</v>
      </c>
      <c r="BK53" s="49">
        <f t="shared" si="573"/>
        <v>2241040</v>
      </c>
      <c r="BL53">
        <f>'Upto Month Current'!$F$61</f>
        <v>2241039</v>
      </c>
      <c r="BM53" s="30">
        <f t="shared" si="574"/>
        <v>725851</v>
      </c>
    </row>
    <row r="54" spans="1:65" ht="15.75" x14ac:dyDescent="0.25">
      <c r="A54" s="128"/>
      <c r="B54" s="5" t="s">
        <v>132</v>
      </c>
      <c r="C54" s="11">
        <f>C53-C51</f>
        <v>-77957</v>
      </c>
      <c r="D54" s="11">
        <f t="shared" ref="D54" si="575">D53-D51</f>
        <v>-34321</v>
      </c>
      <c r="E54" s="11">
        <f t="shared" ref="E54" si="576">E53-E51</f>
        <v>181</v>
      </c>
      <c r="F54" s="11">
        <f t="shared" ref="F54" si="577">F53-F51</f>
        <v>-9573</v>
      </c>
      <c r="G54" s="11">
        <f t="shared" ref="G54" si="578">G53-G51</f>
        <v>-7564</v>
      </c>
      <c r="H54" s="11">
        <f t="shared" ref="H54" si="579">H53-H51</f>
        <v>0</v>
      </c>
      <c r="I54" s="11">
        <f t="shared" ref="I54" si="580">I53-I51</f>
        <v>0</v>
      </c>
      <c r="J54" s="11">
        <f t="shared" ref="J54" si="581">J53-J51</f>
        <v>-239</v>
      </c>
      <c r="K54" s="11">
        <f t="shared" ref="K54" si="582">K53-K51</f>
        <v>-351</v>
      </c>
      <c r="L54" s="11">
        <f t="shared" ref="L54" si="583">L53-L51</f>
        <v>-4026</v>
      </c>
      <c r="M54" s="11">
        <f t="shared" ref="M54" si="584">M53-M51</f>
        <v>-3657</v>
      </c>
      <c r="N54" s="11">
        <f t="shared" ref="N54" si="585">N53-N51</f>
        <v>-55</v>
      </c>
      <c r="O54" s="11">
        <f t="shared" ref="O54" si="586">O53-O51</f>
        <v>-2786</v>
      </c>
      <c r="P54" s="11">
        <f t="shared" ref="P54" si="587">P53-P51</f>
        <v>17314</v>
      </c>
      <c r="Q54" s="11">
        <f t="shared" ref="Q54" si="588">Q53-Q51</f>
        <v>0</v>
      </c>
      <c r="R54" s="11">
        <f t="shared" ref="R54" si="589">R53-R51</f>
        <v>-1226</v>
      </c>
      <c r="S54" s="11">
        <f t="shared" ref="S54" si="590">S53-S51</f>
        <v>0</v>
      </c>
      <c r="T54" s="11">
        <f t="shared" ref="T54:U54" si="591">T53-T51</f>
        <v>0</v>
      </c>
      <c r="U54" s="11">
        <f t="shared" si="591"/>
        <v>0</v>
      </c>
      <c r="V54" s="9">
        <f t="shared" ref="V54" si="592">V53-V51</f>
        <v>2533</v>
      </c>
      <c r="W54" s="11">
        <f t="shared" ref="W54" si="593">W53-W51</f>
        <v>0</v>
      </c>
      <c r="X54" s="11">
        <f t="shared" ref="X54" si="594">X53-X51</f>
        <v>0</v>
      </c>
      <c r="Y54" s="11">
        <f t="shared" ref="Y54" si="595">Y53-Y51</f>
        <v>8579</v>
      </c>
      <c r="Z54" s="11">
        <f t="shared" ref="Z54" si="596">Z53-Z51</f>
        <v>892</v>
      </c>
      <c r="AA54" s="11">
        <f t="shared" ref="AA54:AD54" si="597">AA53-AA51</f>
        <v>613</v>
      </c>
      <c r="AB54" s="11">
        <f t="shared" ref="AB54" si="598">AB53-AB51</f>
        <v>-1913</v>
      </c>
      <c r="AC54" s="10">
        <f t="shared" si="597"/>
        <v>0</v>
      </c>
      <c r="AD54" s="227">
        <f t="shared" si="597"/>
        <v>-113556</v>
      </c>
      <c r="AE54" s="11">
        <f t="shared" ref="AE54" si="599">AE53-AE51</f>
        <v>-32</v>
      </c>
      <c r="AF54" s="11">
        <f t="shared" ref="AF54" si="600">AF53-AF51</f>
        <v>-3104</v>
      </c>
      <c r="AG54" s="11">
        <f t="shared" ref="AG54" si="601">AG53-AG51</f>
        <v>284</v>
      </c>
      <c r="AH54" s="11">
        <f t="shared" ref="AH54" si="602">AH53-AH51</f>
        <v>0</v>
      </c>
      <c r="AI54" s="11">
        <f t="shared" ref="AI54" si="603">AI53-AI51</f>
        <v>0</v>
      </c>
      <c r="AJ54" s="11">
        <f t="shared" ref="AJ54" si="604">AJ53-AJ51</f>
        <v>184</v>
      </c>
      <c r="AK54" s="11">
        <f t="shared" ref="AK54" si="605">AK53-AK51</f>
        <v>-26591</v>
      </c>
      <c r="AL54" s="11">
        <f t="shared" ref="AL54" si="606">AL53-AL51</f>
        <v>-47726</v>
      </c>
      <c r="AM54" s="11">
        <f t="shared" ref="AM54" si="607">AM53-AM51</f>
        <v>0</v>
      </c>
      <c r="AN54" s="11">
        <f t="shared" ref="AN54" si="608">AN53-AN51</f>
        <v>-5625</v>
      </c>
      <c r="AO54" s="9">
        <f t="shared" ref="AO54" si="609">AO53-AO51</f>
        <v>51187</v>
      </c>
      <c r="AP54" s="11">
        <f t="shared" ref="AP54" si="610">AP53-AP51</f>
        <v>-41389</v>
      </c>
      <c r="AQ54" s="10">
        <f t="shared" ref="AQ54" si="611">AQ53-AQ51</f>
        <v>14544</v>
      </c>
      <c r="AR54" s="11">
        <f t="shared" ref="AR54" si="612">AR53-AR51</f>
        <v>0</v>
      </c>
      <c r="AS54" s="11">
        <f t="shared" ref="AS54" si="613">AS53-AS51</f>
        <v>0</v>
      </c>
      <c r="AT54" s="11">
        <f t="shared" ref="AT54" si="614">AT53-AT51</f>
        <v>0</v>
      </c>
      <c r="AU54" s="11">
        <f t="shared" ref="AU54" si="615">AU53-AU51</f>
        <v>0</v>
      </c>
      <c r="AV54" s="11">
        <f t="shared" ref="AV54" si="616">AV53-AV51</f>
        <v>0</v>
      </c>
      <c r="AW54" s="11">
        <f t="shared" ref="AW54" si="617">AW53-AW51</f>
        <v>-4</v>
      </c>
      <c r="AX54" s="11">
        <f t="shared" ref="AX54" si="618">AX53-AX51</f>
        <v>-38</v>
      </c>
      <c r="AY54" s="11">
        <f t="shared" ref="AY54" si="619">AY53-AY51</f>
        <v>0</v>
      </c>
      <c r="AZ54" s="11">
        <f t="shared" ref="AZ54" si="620">AZ53-AZ51</f>
        <v>0</v>
      </c>
      <c r="BA54" s="11">
        <f t="shared" ref="BA54" si="621">BA53-BA51</f>
        <v>0</v>
      </c>
      <c r="BB54" s="10">
        <f t="shared" ref="BB54" si="622">BB53-BB51</f>
        <v>0</v>
      </c>
      <c r="BC54" s="11">
        <f t="shared" ref="BC54" si="623">BC53-BC51</f>
        <v>-1179</v>
      </c>
      <c r="BD54" s="11">
        <f t="shared" ref="BD54" si="624">BD53-BD51</f>
        <v>-1178</v>
      </c>
      <c r="BE54" s="11">
        <f t="shared" ref="BE54" si="625">BE53-BE51</f>
        <v>0</v>
      </c>
      <c r="BF54" s="11">
        <f t="shared" ref="BF54" si="626">BF53-BF51</f>
        <v>11391</v>
      </c>
      <c r="BG54" s="11">
        <f t="shared" ref="BG54:BH54" si="627">BG53-BG51</f>
        <v>32178</v>
      </c>
      <c r="BH54" s="9">
        <f t="shared" si="627"/>
        <v>-17098</v>
      </c>
      <c r="BI54" s="227">
        <f t="shared" ref="BI54" si="628">BI53-BI51</f>
        <v>-130654</v>
      </c>
      <c r="BJ54" s="11">
        <f t="shared" ref="BJ54:BK54" si="629">BJ53-BJ51</f>
        <v>-5079</v>
      </c>
      <c r="BK54" s="49">
        <f t="shared" si="629"/>
        <v>-125575</v>
      </c>
      <c r="BM54" s="30">
        <f t="shared" si="574"/>
        <v>-12019</v>
      </c>
    </row>
    <row r="55" spans="1:65" ht="15.75" x14ac:dyDescent="0.25">
      <c r="A55" s="128"/>
      <c r="B55" s="5" t="s">
        <v>133</v>
      </c>
      <c r="C55" s="13">
        <f>C54/C51</f>
        <v>-7.2622377980673655E-2</v>
      </c>
      <c r="D55" s="13">
        <f t="shared" ref="D55" si="630">D54/D51</f>
        <v>-0.13914125750517914</v>
      </c>
      <c r="E55" s="13" t="e">
        <f t="shared" ref="E55" si="631">E54/E51</f>
        <v>#DIV/0!</v>
      </c>
      <c r="F55" s="13">
        <f t="shared" ref="F55" si="632">F54/F51</f>
        <v>-0.10193042793104549</v>
      </c>
      <c r="G55" s="13">
        <f t="shared" ref="G55" si="633">G54/G51</f>
        <v>-0.11494741960975016</v>
      </c>
      <c r="H55" s="13" t="e">
        <f t="shared" ref="H55" si="634">H54/H51</f>
        <v>#DIV/0!</v>
      </c>
      <c r="I55" s="13" t="e">
        <f t="shared" ref="I55" si="635">I54/I51</f>
        <v>#DIV/0!</v>
      </c>
      <c r="J55" s="13">
        <f t="shared" ref="J55" si="636">J54/J51</f>
        <v>-0.18642745709828393</v>
      </c>
      <c r="K55" s="13">
        <f t="shared" ref="K55" si="637">K54/K51</f>
        <v>-0.56888168557536467</v>
      </c>
      <c r="L55" s="13">
        <f t="shared" ref="L55" si="638">L54/L51</f>
        <v>-0.2511854255053656</v>
      </c>
      <c r="M55" s="13">
        <f t="shared" ref="M55" si="639">M54/M51</f>
        <v>-0.10254037685060566</v>
      </c>
      <c r="N55" s="13">
        <f t="shared" ref="N55" si="640">N54/N51</f>
        <v>-0.55000000000000004</v>
      </c>
      <c r="O55" s="13">
        <f t="shared" ref="O55" si="641">O54/O51</f>
        <v>-0.54181252430960714</v>
      </c>
      <c r="P55" s="13">
        <f t="shared" ref="P55" si="642">P54/P51</f>
        <v>0.2181786105825573</v>
      </c>
      <c r="Q55" s="13" t="e">
        <f t="shared" ref="Q55" si="643">Q54/Q51</f>
        <v>#DIV/0!</v>
      </c>
      <c r="R55" s="13">
        <f t="shared" ref="R55" si="644">R54/R51</f>
        <v>-0.319353998437093</v>
      </c>
      <c r="S55" s="13" t="e">
        <f t="shared" ref="S55" si="645">S54/S51</f>
        <v>#DIV/0!</v>
      </c>
      <c r="T55" s="13" t="e">
        <f t="shared" ref="T55:U55" si="646">T54/T51</f>
        <v>#DIV/0!</v>
      </c>
      <c r="U55" s="13" t="e">
        <f t="shared" si="646"/>
        <v>#DIV/0!</v>
      </c>
      <c r="V55" s="162">
        <f t="shared" ref="V55" si="647">V54/V51</f>
        <v>1.085261353898886</v>
      </c>
      <c r="W55" s="13" t="e">
        <f t="shared" ref="W55" si="648">W54/W51</f>
        <v>#DIV/0!</v>
      </c>
      <c r="X55" s="13" t="e">
        <f t="shared" ref="X55" si="649">X54/X51</f>
        <v>#DIV/0!</v>
      </c>
      <c r="Y55" s="13">
        <f t="shared" ref="Y55" si="650">Y54/Y51</f>
        <v>4.1404440154440154</v>
      </c>
      <c r="Z55" s="13">
        <f t="shared" ref="Z55" si="651">Z54/Z51</f>
        <v>4.187793427230047</v>
      </c>
      <c r="AA55" s="13">
        <f t="shared" ref="AA55:AD55" si="652">AA54/AA51</f>
        <v>2.0231023102310233</v>
      </c>
      <c r="AB55" s="13">
        <f t="shared" ref="AB55" si="653">AB54/AB51</f>
        <v>-0.97951868919610852</v>
      </c>
      <c r="AC55" s="14" t="e">
        <f t="shared" si="652"/>
        <v>#DIV/0!</v>
      </c>
      <c r="AD55" s="228">
        <f t="shared" si="652"/>
        <v>-6.9719937743477345E-2</v>
      </c>
      <c r="AE55" s="13">
        <f t="shared" ref="AE55" si="654">AE54/AE51</f>
        <v>-2.3970037453183522E-2</v>
      </c>
      <c r="AF55" s="13">
        <f t="shared" ref="AF55" si="655">AF54/AF51</f>
        <v>-0.28292771853067178</v>
      </c>
      <c r="AG55" s="13">
        <f t="shared" ref="AG55" si="656">AG54/AG51</f>
        <v>0.20242337847469707</v>
      </c>
      <c r="AH55" s="13" t="e">
        <f t="shared" ref="AH55" si="657">AH54/AH51</f>
        <v>#DIV/0!</v>
      </c>
      <c r="AI55" s="13" t="e">
        <f t="shared" ref="AI55" si="658">AI54/AI51</f>
        <v>#DIV/0!</v>
      </c>
      <c r="AJ55" s="13">
        <f t="shared" ref="AJ55" si="659">AJ54/AJ51</f>
        <v>4.8421052631578947</v>
      </c>
      <c r="AK55" s="13">
        <f t="shared" ref="AK55" si="660">AK54/AK51</f>
        <v>-0.20132647884977931</v>
      </c>
      <c r="AL55" s="13">
        <f t="shared" ref="AL55" si="661">AL54/AL51</f>
        <v>-0.33373658263697076</v>
      </c>
      <c r="AM55" s="13" t="e">
        <f t="shared" ref="AM55" si="662">AM54/AM51</f>
        <v>#DIV/0!</v>
      </c>
      <c r="AN55" s="13">
        <f t="shared" ref="AN55" si="663">AN54/AN51</f>
        <v>-0.8432019187528107</v>
      </c>
      <c r="AO55" s="162">
        <f t="shared" ref="AO55" si="664">AO54/AO51</f>
        <v>0.18616162350887402</v>
      </c>
      <c r="AP55" s="13">
        <f t="shared" ref="AP55" si="665">AP54/AP51</f>
        <v>-1.1478769725712068</v>
      </c>
      <c r="AQ55" s="14">
        <f t="shared" ref="AQ55" si="666">AQ54/AQ51</f>
        <v>71.645320197044342</v>
      </c>
      <c r="AR55" s="13" t="e">
        <f t="shared" ref="AR55" si="667">AR54/AR51</f>
        <v>#DIV/0!</v>
      </c>
      <c r="AS55" s="13" t="e">
        <f t="shared" ref="AS55" si="668">AS54/AS51</f>
        <v>#DIV/0!</v>
      </c>
      <c r="AT55" s="13" t="e">
        <f t="shared" ref="AT55" si="669">AT54/AT51</f>
        <v>#DIV/0!</v>
      </c>
      <c r="AU55" s="13" t="e">
        <f t="shared" ref="AU55" si="670">AU54/AU51</f>
        <v>#DIV/0!</v>
      </c>
      <c r="AV55" s="13" t="e">
        <f t="shared" ref="AV55" si="671">AV54/AV51</f>
        <v>#DIV/0!</v>
      </c>
      <c r="AW55" s="13">
        <f t="shared" ref="AW55" si="672">AW54/AW51</f>
        <v>-1</v>
      </c>
      <c r="AX55" s="13">
        <f t="shared" ref="AX55" si="673">AX54/AX51</f>
        <v>-1</v>
      </c>
      <c r="AY55" s="13" t="e">
        <f t="shared" ref="AY55" si="674">AY54/AY51</f>
        <v>#DIV/0!</v>
      </c>
      <c r="AZ55" s="13" t="e">
        <f t="shared" ref="AZ55" si="675">AZ54/AZ51</f>
        <v>#DIV/0!</v>
      </c>
      <c r="BA55" s="13" t="e">
        <f t="shared" ref="BA55" si="676">BA54/BA51</f>
        <v>#DIV/0!</v>
      </c>
      <c r="BB55" s="14" t="e">
        <f t="shared" ref="BB55" si="677">BB54/BB51</f>
        <v>#DIV/0!</v>
      </c>
      <c r="BC55" s="13">
        <f t="shared" ref="BC55" si="678">BC54/BC51</f>
        <v>-0.1016817593790427</v>
      </c>
      <c r="BD55" s="13">
        <f t="shared" ref="BD55" si="679">BD54/BD51</f>
        <v>-0.10160427807486631</v>
      </c>
      <c r="BE55" s="13" t="e">
        <f t="shared" ref="BE55" si="680">BE54/BE51</f>
        <v>#DIV/0!</v>
      </c>
      <c r="BF55" s="13">
        <f t="shared" ref="BF55" si="681">BF54/BF51</f>
        <v>0.54400878743015424</v>
      </c>
      <c r="BG55" s="13">
        <f t="shared" ref="BG55:BH55" si="682">BG54/BG51</f>
        <v>0.26222160651275739</v>
      </c>
      <c r="BH55" s="162">
        <f t="shared" si="682"/>
        <v>-2.2101718577310126E-2</v>
      </c>
      <c r="BI55" s="228">
        <f t="shared" ref="BI55" si="683">BI54/BI51</f>
        <v>-5.4385913792744607E-2</v>
      </c>
      <c r="BJ55" s="13">
        <f t="shared" ref="BJ55:BK55" si="684">BJ54/BJ51</f>
        <v>-0.14212956485238562</v>
      </c>
      <c r="BK55" s="50">
        <f t="shared" si="684"/>
        <v>-5.3061017529255919E-2</v>
      </c>
      <c r="BM55" s="162" t="e">
        <f t="shared" ref="BM55" si="685">BM54/BM51</f>
        <v>#DIV/0!</v>
      </c>
    </row>
    <row r="56" spans="1:65" ht="15.75" x14ac:dyDescent="0.25">
      <c r="A56" s="128"/>
      <c r="B56" s="5" t="s">
        <v>134</v>
      </c>
      <c r="C56" s="11">
        <f>C53-C52</f>
        <v>-10278</v>
      </c>
      <c r="D56" s="11">
        <f t="shared" ref="D56:BK56" si="686">D53-D52</f>
        <v>44379</v>
      </c>
      <c r="E56" s="11">
        <f t="shared" si="686"/>
        <v>-538</v>
      </c>
      <c r="F56" s="11">
        <f t="shared" si="686"/>
        <v>3819</v>
      </c>
      <c r="G56" s="11">
        <f t="shared" si="686"/>
        <v>2852</v>
      </c>
      <c r="H56" s="11">
        <f t="shared" si="686"/>
        <v>0</v>
      </c>
      <c r="I56" s="11">
        <f t="shared" si="686"/>
        <v>0</v>
      </c>
      <c r="J56" s="11">
        <f t="shared" si="686"/>
        <v>-1284</v>
      </c>
      <c r="K56" s="11">
        <f t="shared" si="686"/>
        <v>74</v>
      </c>
      <c r="L56" s="11">
        <f t="shared" si="686"/>
        <v>-4164</v>
      </c>
      <c r="M56" s="11">
        <f t="shared" si="686"/>
        <v>-4209</v>
      </c>
      <c r="N56" s="11">
        <f t="shared" si="686"/>
        <v>-4</v>
      </c>
      <c r="O56" s="11">
        <f t="shared" si="686"/>
        <v>-965</v>
      </c>
      <c r="P56" s="11">
        <f t="shared" si="686"/>
        <v>2697</v>
      </c>
      <c r="Q56" s="11">
        <f t="shared" si="686"/>
        <v>0</v>
      </c>
      <c r="R56" s="11">
        <f t="shared" si="686"/>
        <v>1400</v>
      </c>
      <c r="S56" s="11">
        <f t="shared" si="686"/>
        <v>0</v>
      </c>
      <c r="T56" s="11">
        <f t="shared" si="686"/>
        <v>0</v>
      </c>
      <c r="U56" s="11">
        <f t="shared" ref="U56" si="687">U53-U52</f>
        <v>0</v>
      </c>
      <c r="V56" s="9">
        <f t="shared" si="686"/>
        <v>-66833</v>
      </c>
      <c r="W56" s="11">
        <f t="shared" si="686"/>
        <v>0</v>
      </c>
      <c r="X56" s="11">
        <f t="shared" si="686"/>
        <v>0</v>
      </c>
      <c r="Y56" s="11">
        <f t="shared" si="686"/>
        <v>7488</v>
      </c>
      <c r="Z56" s="11">
        <f t="shared" si="686"/>
        <v>940</v>
      </c>
      <c r="AA56" s="11">
        <f t="shared" si="686"/>
        <v>663</v>
      </c>
      <c r="AB56" s="11">
        <f t="shared" ref="AB56" si="688">AB53-AB52</f>
        <v>40</v>
      </c>
      <c r="AC56" s="10">
        <f t="shared" ref="AC56:AD56" si="689">AC53-AC52</f>
        <v>0</v>
      </c>
      <c r="AD56" s="227">
        <f t="shared" si="689"/>
        <v>-23923</v>
      </c>
      <c r="AE56" s="11">
        <f t="shared" si="686"/>
        <v>142</v>
      </c>
      <c r="AF56" s="11">
        <f t="shared" si="686"/>
        <v>-14302</v>
      </c>
      <c r="AG56" s="11">
        <f t="shared" si="686"/>
        <v>-729</v>
      </c>
      <c r="AH56" s="11">
        <f t="shared" si="686"/>
        <v>-18</v>
      </c>
      <c r="AI56" s="11">
        <f t="shared" si="686"/>
        <v>0</v>
      </c>
      <c r="AJ56" s="11">
        <f t="shared" si="686"/>
        <v>222</v>
      </c>
      <c r="AK56" s="11">
        <f t="shared" si="686"/>
        <v>-47473</v>
      </c>
      <c r="AL56" s="11">
        <f t="shared" si="686"/>
        <v>-27080</v>
      </c>
      <c r="AM56" s="11">
        <f t="shared" si="686"/>
        <v>0</v>
      </c>
      <c r="AN56" s="11">
        <f t="shared" si="686"/>
        <v>-2377</v>
      </c>
      <c r="AO56" s="9">
        <f t="shared" si="686"/>
        <v>36418</v>
      </c>
      <c r="AP56" s="11">
        <f t="shared" si="686"/>
        <v>8372</v>
      </c>
      <c r="AQ56" s="10">
        <f t="shared" si="686"/>
        <v>13968</v>
      </c>
      <c r="AR56" s="11">
        <f t="shared" si="686"/>
        <v>0</v>
      </c>
      <c r="AS56" s="11">
        <f t="shared" si="686"/>
        <v>0</v>
      </c>
      <c r="AT56" s="11">
        <f t="shared" si="686"/>
        <v>0</v>
      </c>
      <c r="AU56" s="11">
        <f t="shared" si="686"/>
        <v>0</v>
      </c>
      <c r="AV56" s="11">
        <f t="shared" si="686"/>
        <v>0</v>
      </c>
      <c r="AW56" s="11">
        <f t="shared" si="686"/>
        <v>0</v>
      </c>
      <c r="AX56" s="11">
        <f t="shared" si="686"/>
        <v>900</v>
      </c>
      <c r="AY56" s="11">
        <f t="shared" si="686"/>
        <v>0</v>
      </c>
      <c r="AZ56" s="11">
        <f t="shared" si="686"/>
        <v>0</v>
      </c>
      <c r="BA56" s="11">
        <f t="shared" si="686"/>
        <v>0</v>
      </c>
      <c r="BB56" s="10">
        <f t="shared" si="686"/>
        <v>0</v>
      </c>
      <c r="BC56" s="11">
        <f t="shared" si="686"/>
        <v>-2223</v>
      </c>
      <c r="BD56" s="11">
        <f t="shared" si="686"/>
        <v>-2206</v>
      </c>
      <c r="BE56" s="11">
        <f t="shared" si="686"/>
        <v>0</v>
      </c>
      <c r="BF56" s="11">
        <f t="shared" si="686"/>
        <v>2250</v>
      </c>
      <c r="BG56" s="11">
        <f t="shared" si="686"/>
        <v>23117</v>
      </c>
      <c r="BH56" s="9">
        <f t="shared" si="686"/>
        <v>-11019</v>
      </c>
      <c r="BI56" s="227">
        <f t="shared" si="686"/>
        <v>-34942</v>
      </c>
      <c r="BJ56" s="11">
        <f t="shared" si="686"/>
        <v>23194</v>
      </c>
      <c r="BK56" s="49">
        <f t="shared" si="686"/>
        <v>-58136</v>
      </c>
      <c r="BM56" s="30">
        <f t="shared" si="574"/>
        <v>-34213</v>
      </c>
    </row>
    <row r="57" spans="1:65" ht="15.75" x14ac:dyDescent="0.25">
      <c r="A57" s="128"/>
      <c r="B57" s="5" t="s">
        <v>135</v>
      </c>
      <c r="C57" s="13">
        <f>C56/C52</f>
        <v>-1.021895487871081E-2</v>
      </c>
      <c r="D57" s="13">
        <f t="shared" ref="D57" si="690">D56/D52</f>
        <v>0.26421890535415538</v>
      </c>
      <c r="E57" s="13">
        <f t="shared" ref="E57" si="691">E56/E52</f>
        <v>-0.74826147426981915</v>
      </c>
      <c r="F57" s="13">
        <f t="shared" ref="F57" si="692">F56/F52</f>
        <v>4.7426265135051229E-2</v>
      </c>
      <c r="G57" s="13">
        <f t="shared" ref="G57" si="693">G56/G52</f>
        <v>5.1491297754026145E-2</v>
      </c>
      <c r="H57" s="13" t="e">
        <f t="shared" ref="H57" si="694">H56/H52</f>
        <v>#DIV/0!</v>
      </c>
      <c r="I57" s="13" t="e">
        <f t="shared" ref="I57" si="695">I56/I52</f>
        <v>#DIV/0!</v>
      </c>
      <c r="J57" s="13">
        <f t="shared" ref="J57" si="696">J56/J52</f>
        <v>-0.5517834121186076</v>
      </c>
      <c r="K57" s="13">
        <f t="shared" ref="K57" si="697">K56/K52</f>
        <v>0.38541666666666669</v>
      </c>
      <c r="L57" s="13">
        <f t="shared" ref="L57" si="698">L56/L52</f>
        <v>-0.25757763206730172</v>
      </c>
      <c r="M57" s="13">
        <f t="shared" ref="M57" si="699">M56/M52</f>
        <v>-0.11621935056328694</v>
      </c>
      <c r="N57" s="13">
        <f t="shared" ref="N57" si="700">N56/N52</f>
        <v>-8.1632653061224483E-2</v>
      </c>
      <c r="O57" s="13">
        <f t="shared" ref="O57" si="701">O56/O52</f>
        <v>-0.29057512797350193</v>
      </c>
      <c r="P57" s="13">
        <f t="shared" ref="P57" si="702">P56/P52</f>
        <v>2.8699427501223743E-2</v>
      </c>
      <c r="Q57" s="13" t="e">
        <f t="shared" ref="Q57" si="703">Q56/Q52</f>
        <v>#DIV/0!</v>
      </c>
      <c r="R57" s="13">
        <f t="shared" ref="R57" si="704">R56/R52</f>
        <v>1.1541632316570487</v>
      </c>
      <c r="S57" s="13" t="e">
        <f t="shared" ref="S57" si="705">S56/S52</f>
        <v>#DIV/0!</v>
      </c>
      <c r="T57" s="13" t="e">
        <f t="shared" ref="T57:U57" si="706">T56/T52</f>
        <v>#DIV/0!</v>
      </c>
      <c r="U57" s="13" t="e">
        <f t="shared" si="706"/>
        <v>#DIV/0!</v>
      </c>
      <c r="V57" s="162">
        <f t="shared" ref="V57" si="707">V56/V52</f>
        <v>-0.9321199442119944</v>
      </c>
      <c r="W57" s="13" t="e">
        <f t="shared" ref="W57" si="708">W56/W52</f>
        <v>#DIV/0!</v>
      </c>
      <c r="X57" s="13" t="e">
        <f t="shared" ref="X57" si="709">X56/X52</f>
        <v>#DIV/0!</v>
      </c>
      <c r="Y57" s="13">
        <f t="shared" ref="Y57" si="710">Y56/Y52</f>
        <v>2.3673727473917165</v>
      </c>
      <c r="Z57" s="13">
        <f t="shared" ref="Z57" si="711">Z56/Z52</f>
        <v>5.6969696969696972</v>
      </c>
      <c r="AA57" s="13">
        <f t="shared" ref="AA57:AD57" si="712">AA56/AA52</f>
        <v>2.6205533596837944</v>
      </c>
      <c r="AB57" s="13" t="e">
        <f t="shared" ref="AB57" si="713">AB56/AB52</f>
        <v>#DIV/0!</v>
      </c>
      <c r="AC57" s="14" t="e">
        <f t="shared" si="712"/>
        <v>#DIV/0!</v>
      </c>
      <c r="AD57" s="228">
        <f t="shared" si="712"/>
        <v>-1.554337825967181E-2</v>
      </c>
      <c r="AE57" s="13">
        <f t="shared" ref="AE57" si="714">AE56/AE52</f>
        <v>0.1223083548664944</v>
      </c>
      <c r="AF57" s="13">
        <f t="shared" ref="AF57" si="715">AF56/AF52</f>
        <v>-0.64513509856105378</v>
      </c>
      <c r="AG57" s="13">
        <f t="shared" ref="AG57" si="716">AG56/AG52</f>
        <v>-0.30173841059602646</v>
      </c>
      <c r="AH57" s="13">
        <f t="shared" ref="AH57" si="717">AH56/AH52</f>
        <v>-1</v>
      </c>
      <c r="AI57" s="13" t="e">
        <f t="shared" ref="AI57" si="718">AI56/AI52</f>
        <v>#DIV/0!</v>
      </c>
      <c r="AJ57" s="13" t="e">
        <f t="shared" ref="AJ57" si="719">AJ56/AJ52</f>
        <v>#DIV/0!</v>
      </c>
      <c r="AK57" s="13">
        <f t="shared" ref="AK57" si="720">AK56/AK52</f>
        <v>-0.31036015716424448</v>
      </c>
      <c r="AL57" s="13">
        <f t="shared" ref="AL57" si="721">AL56/AL52</f>
        <v>-0.22131596368064466</v>
      </c>
      <c r="AM57" s="13" t="e">
        <f t="shared" ref="AM57" si="722">AM56/AM52</f>
        <v>#DIV/0!</v>
      </c>
      <c r="AN57" s="13">
        <f t="shared" ref="AN57" si="723">AN56/AN52</f>
        <v>-0.6944200993280748</v>
      </c>
      <c r="AO57" s="162">
        <f t="shared" ref="AO57" si="724">AO56/AO52</f>
        <v>0.12569677181089914</v>
      </c>
      <c r="AP57" s="13">
        <f t="shared" ref="AP57" si="725">AP56/AP52</f>
        <v>-0.61091652072387626</v>
      </c>
      <c r="AQ57" s="14">
        <f t="shared" ref="AQ57" si="726">AQ56/AQ52</f>
        <v>17.930680359435172</v>
      </c>
      <c r="AR57" s="13" t="e">
        <f t="shared" ref="AR57" si="727">AR56/AR52</f>
        <v>#DIV/0!</v>
      </c>
      <c r="AS57" s="13" t="e">
        <f t="shared" ref="AS57" si="728">AS56/AS52</f>
        <v>#DIV/0!</v>
      </c>
      <c r="AT57" s="13" t="e">
        <f t="shared" ref="AT57" si="729">AT56/AT52</f>
        <v>#DIV/0!</v>
      </c>
      <c r="AU57" s="13" t="e">
        <f t="shared" ref="AU57" si="730">AU56/AU52</f>
        <v>#DIV/0!</v>
      </c>
      <c r="AV57" s="13" t="e">
        <f t="shared" ref="AV57" si="731">AV56/AV52</f>
        <v>#DIV/0!</v>
      </c>
      <c r="AW57" s="13" t="e">
        <f t="shared" ref="AW57" si="732">AW56/AW52</f>
        <v>#DIV/0!</v>
      </c>
      <c r="AX57" s="13">
        <f t="shared" ref="AX57" si="733">AX56/AX52</f>
        <v>-1</v>
      </c>
      <c r="AY57" s="13" t="e">
        <f t="shared" ref="AY57" si="734">AY56/AY52</f>
        <v>#DIV/0!</v>
      </c>
      <c r="AZ57" s="13" t="e">
        <f t="shared" ref="AZ57" si="735">AZ56/AZ52</f>
        <v>#DIV/0!</v>
      </c>
      <c r="BA57" s="13" t="e">
        <f t="shared" ref="BA57" si="736">BA56/BA52</f>
        <v>#DIV/0!</v>
      </c>
      <c r="BB57" s="14" t="e">
        <f t="shared" ref="BB57" si="737">BB56/BB52</f>
        <v>#DIV/0!</v>
      </c>
      <c r="BC57" s="13">
        <f t="shared" ref="BC57" si="738">BC56/BC52</f>
        <v>-0.17588416805126988</v>
      </c>
      <c r="BD57" s="13">
        <f t="shared" ref="BD57" si="739">BD56/BD52</f>
        <v>-0.17477420377119315</v>
      </c>
      <c r="BE57" s="13" t="e">
        <f t="shared" ref="BE57" si="740">BE56/BE52</f>
        <v>#DIV/0!</v>
      </c>
      <c r="BF57" s="13">
        <f t="shared" ref="BF57" si="741">BF56/BF52</f>
        <v>7.4800531914893623E-2</v>
      </c>
      <c r="BG57" s="13">
        <f t="shared" ref="BG57:BH57" si="742">BG56/BG52</f>
        <v>0.17542914383717578</v>
      </c>
      <c r="BH57" s="162">
        <f t="shared" si="742"/>
        <v>-1.4356516912782108E-2</v>
      </c>
      <c r="BI57" s="228">
        <f t="shared" ref="BI57" si="743">BI56/BI52</f>
        <v>-1.5148454157089236E-2</v>
      </c>
      <c r="BJ57" s="13">
        <f t="shared" ref="BJ57:BK57" si="744">BJ56/BJ52</f>
        <v>3.1082819619404987</v>
      </c>
      <c r="BK57" s="50">
        <f t="shared" si="744"/>
        <v>-2.5285580573214055E-2</v>
      </c>
      <c r="BM57" s="14">
        <f t="shared" ref="BM57" si="745">BM56/BM52</f>
        <v>-4.5013314668238463E-2</v>
      </c>
    </row>
    <row r="58" spans="1:65" ht="15.75" x14ac:dyDescent="0.25">
      <c r="A58" s="128"/>
      <c r="B58" s="5" t="s">
        <v>296</v>
      </c>
      <c r="C58" s="126">
        <f>C53/C50</f>
        <v>0.40804598643426421</v>
      </c>
      <c r="D58" s="126">
        <f t="shared" ref="D58:BK58" si="746">D53/D50</f>
        <v>0.30608076454605077</v>
      </c>
      <c r="E58" s="126">
        <f t="shared" si="746"/>
        <v>1.530280100440484E-3</v>
      </c>
      <c r="F58" s="126">
        <f t="shared" si="746"/>
        <v>0.39515195809732628</v>
      </c>
      <c r="G58" s="126">
        <f t="shared" si="746"/>
        <v>0.38940112193523801</v>
      </c>
      <c r="H58" s="126" t="e">
        <f t="shared" si="746"/>
        <v>#DIV/0!</v>
      </c>
      <c r="I58" s="126" t="e">
        <f t="shared" si="746"/>
        <v>#DIV/0!</v>
      </c>
      <c r="J58" s="126">
        <f t="shared" si="746"/>
        <v>0.35792724776938917</v>
      </c>
      <c r="K58" s="126">
        <f t="shared" si="746"/>
        <v>0.18959372772630079</v>
      </c>
      <c r="L58" s="126">
        <f t="shared" si="746"/>
        <v>0.32954420647995608</v>
      </c>
      <c r="M58" s="126">
        <f t="shared" si="746"/>
        <v>0.39488001973968295</v>
      </c>
      <c r="N58" s="126">
        <f t="shared" si="746"/>
        <v>0.2</v>
      </c>
      <c r="O58" s="126">
        <f t="shared" si="746"/>
        <v>0.20152253870498674</v>
      </c>
      <c r="P58" s="126">
        <f t="shared" si="746"/>
        <v>0.5360069640817503</v>
      </c>
      <c r="Q58" s="126" t="e">
        <f t="shared" si="746"/>
        <v>#DIV/0!</v>
      </c>
      <c r="R58" s="126">
        <f t="shared" si="746"/>
        <v>0.29938130155820347</v>
      </c>
      <c r="S58" s="126" t="e">
        <f t="shared" si="746"/>
        <v>#DIV/0!</v>
      </c>
      <c r="T58" s="126" t="e">
        <f t="shared" si="746"/>
        <v>#DIV/0!</v>
      </c>
      <c r="U58" s="126" t="e">
        <f t="shared" si="746"/>
        <v>#DIV/0!</v>
      </c>
      <c r="V58" s="177">
        <f t="shared" si="746"/>
        <v>0.91743638077285583</v>
      </c>
      <c r="W58" s="126" t="e">
        <f t="shared" si="746"/>
        <v>#DIV/0!</v>
      </c>
      <c r="X58" s="126" t="e">
        <f t="shared" si="746"/>
        <v>#DIV/0!</v>
      </c>
      <c r="Y58" s="126">
        <f t="shared" si="746"/>
        <v>2.2623194562446898</v>
      </c>
      <c r="Z58" s="126">
        <f t="shared" si="746"/>
        <v>2.2925311203319501</v>
      </c>
      <c r="AA58" s="126">
        <f t="shared" si="746"/>
        <v>1.3352769679300291</v>
      </c>
      <c r="AB58" s="126">
        <f t="shared" ref="AB58" si="747">AB53/AB50</f>
        <v>9.0069804098176082E-3</v>
      </c>
      <c r="AC58" s="215" t="e">
        <f t="shared" si="746"/>
        <v>#DIV/0!</v>
      </c>
      <c r="AD58" s="229">
        <f t="shared" si="746"/>
        <v>0.38328920787165183</v>
      </c>
      <c r="AE58" s="126">
        <f t="shared" si="746"/>
        <v>0.42946605141727096</v>
      </c>
      <c r="AF58" s="126">
        <f t="shared" si="746"/>
        <v>0.31548764837985244</v>
      </c>
      <c r="AG58" s="126">
        <f t="shared" si="746"/>
        <v>0.52967032967032968</v>
      </c>
      <c r="AH58" s="126" t="e">
        <f t="shared" si="746"/>
        <v>#DIV/0!</v>
      </c>
      <c r="AI58" s="126" t="e">
        <f t="shared" si="746"/>
        <v>#DIV/0!</v>
      </c>
      <c r="AJ58" s="126">
        <f t="shared" si="746"/>
        <v>2.5813953488372094</v>
      </c>
      <c r="AK58" s="126">
        <f t="shared" si="746"/>
        <v>0.35141464649661369</v>
      </c>
      <c r="AL58" s="126">
        <f t="shared" si="746"/>
        <v>0.29315713362665763</v>
      </c>
      <c r="AM58" s="126" t="e">
        <f t="shared" si="746"/>
        <v>#DIV/0!</v>
      </c>
      <c r="AN58" s="126">
        <f t="shared" si="746"/>
        <v>6.8983710347556557E-2</v>
      </c>
      <c r="AO58" s="177">
        <f t="shared" si="746"/>
        <v>0.52191453100871332</v>
      </c>
      <c r="AP58" s="126">
        <f t="shared" si="746"/>
        <v>-6.5066445385432048E-2</v>
      </c>
      <c r="AQ58" s="215">
        <f t="shared" si="746"/>
        <v>32.05869565217391</v>
      </c>
      <c r="AR58" s="126" t="e">
        <f t="shared" si="746"/>
        <v>#DIV/0!</v>
      </c>
      <c r="AS58" s="126" t="e">
        <f t="shared" si="746"/>
        <v>#DIV/0!</v>
      </c>
      <c r="AT58" s="126" t="e">
        <f t="shared" si="746"/>
        <v>#DIV/0!</v>
      </c>
      <c r="AU58" s="126" t="e">
        <f t="shared" si="746"/>
        <v>#DIV/0!</v>
      </c>
      <c r="AV58" s="126" t="e">
        <f t="shared" si="746"/>
        <v>#DIV/0!</v>
      </c>
      <c r="AW58" s="126">
        <f t="shared" si="746"/>
        <v>0</v>
      </c>
      <c r="AX58" s="126">
        <f t="shared" si="746"/>
        <v>0</v>
      </c>
      <c r="AY58" s="126" t="e">
        <f t="shared" si="746"/>
        <v>#DIV/0!</v>
      </c>
      <c r="AZ58" s="126" t="e">
        <f t="shared" si="746"/>
        <v>#DIV/0!</v>
      </c>
      <c r="BA58" s="126" t="e">
        <f t="shared" si="746"/>
        <v>#DIV/0!</v>
      </c>
      <c r="BB58" s="215" t="e">
        <f t="shared" si="746"/>
        <v>#DIV/0!</v>
      </c>
      <c r="BC58" s="126">
        <f t="shared" si="746"/>
        <v>0.39523412005767627</v>
      </c>
      <c r="BD58" s="126">
        <f t="shared" si="746"/>
        <v>0.39526411657559196</v>
      </c>
      <c r="BE58" s="126" t="e">
        <f t="shared" si="746"/>
        <v>#DIV/0!</v>
      </c>
      <c r="BF58" s="126">
        <f t="shared" si="746"/>
        <v>0.67938722760417758</v>
      </c>
      <c r="BG58" s="126">
        <f t="shared" si="746"/>
        <v>0.55537986030434716</v>
      </c>
      <c r="BH58" s="177">
        <f t="shared" si="746"/>
        <v>0.43027700140940722</v>
      </c>
      <c r="BI58" s="229">
        <f t="shared" si="746"/>
        <v>0.39775406964569238</v>
      </c>
      <c r="BJ58" s="126">
        <f t="shared" si="746"/>
        <v>0.35745851844078308</v>
      </c>
      <c r="BK58" s="126">
        <f t="shared" si="746"/>
        <v>0.39836837200009173</v>
      </c>
      <c r="BM58" s="126" t="e">
        <f t="shared" ref="BM58" si="748">BM53/BM50</f>
        <v>#DIV/0!</v>
      </c>
    </row>
    <row r="59" spans="1:65" s="180" customFormat="1" ht="15.75" x14ac:dyDescent="0.25">
      <c r="A59" s="128"/>
      <c r="B59" s="5" t="s">
        <v>297</v>
      </c>
      <c r="C59" s="11">
        <f>C53-C50</f>
        <v>-1444176</v>
      </c>
      <c r="D59" s="11">
        <f t="shared" ref="D59:BM59" si="749">D53-D50</f>
        <v>-481403</v>
      </c>
      <c r="E59" s="11">
        <f t="shared" si="749"/>
        <v>-118098</v>
      </c>
      <c r="F59" s="11">
        <f t="shared" si="749"/>
        <v>-129103</v>
      </c>
      <c r="G59" s="11">
        <f t="shared" si="749"/>
        <v>-91323</v>
      </c>
      <c r="H59" s="11">
        <f t="shared" si="749"/>
        <v>0</v>
      </c>
      <c r="I59" s="11">
        <f t="shared" si="749"/>
        <v>0</v>
      </c>
      <c r="J59" s="11">
        <f t="shared" si="749"/>
        <v>-1871</v>
      </c>
      <c r="K59" s="11">
        <f t="shared" si="749"/>
        <v>-1137</v>
      </c>
      <c r="L59" s="11">
        <f t="shared" si="749"/>
        <v>-24418</v>
      </c>
      <c r="M59" s="11">
        <f t="shared" si="749"/>
        <v>-49048</v>
      </c>
      <c r="N59" s="11">
        <f t="shared" si="749"/>
        <v>-180</v>
      </c>
      <c r="O59" s="11">
        <f t="shared" si="749"/>
        <v>-9335</v>
      </c>
      <c r="P59" s="11">
        <f t="shared" si="749"/>
        <v>-83683</v>
      </c>
      <c r="Q59" s="11">
        <f t="shared" si="749"/>
        <v>0</v>
      </c>
      <c r="R59" s="11">
        <f t="shared" si="749"/>
        <v>-6115</v>
      </c>
      <c r="S59" s="11">
        <f t="shared" si="749"/>
        <v>0</v>
      </c>
      <c r="T59" s="11">
        <f t="shared" si="749"/>
        <v>0</v>
      </c>
      <c r="U59" s="11">
        <f t="shared" si="749"/>
        <v>0</v>
      </c>
      <c r="V59" s="9">
        <f t="shared" si="749"/>
        <v>-438</v>
      </c>
      <c r="W59" s="11">
        <f t="shared" si="749"/>
        <v>0</v>
      </c>
      <c r="X59" s="11">
        <f t="shared" si="749"/>
        <v>0</v>
      </c>
      <c r="Y59" s="11">
        <f t="shared" si="749"/>
        <v>5943</v>
      </c>
      <c r="Z59" s="11">
        <f t="shared" si="749"/>
        <v>623</v>
      </c>
      <c r="AA59" s="11">
        <f t="shared" si="749"/>
        <v>230</v>
      </c>
      <c r="AB59" s="11">
        <f t="shared" ref="AB59" si="750">AB53-AB50</f>
        <v>-4401</v>
      </c>
      <c r="AC59" s="10">
        <f t="shared" si="749"/>
        <v>0</v>
      </c>
      <c r="AD59" s="227">
        <f t="shared" si="749"/>
        <v>-2437933</v>
      </c>
      <c r="AE59" s="11">
        <f t="shared" si="749"/>
        <v>-1731</v>
      </c>
      <c r="AF59" s="11">
        <f t="shared" si="749"/>
        <v>-17069</v>
      </c>
      <c r="AG59" s="11">
        <f t="shared" si="749"/>
        <v>-1498</v>
      </c>
      <c r="AH59" s="11">
        <f t="shared" si="749"/>
        <v>0</v>
      </c>
      <c r="AI59" s="11">
        <f t="shared" si="749"/>
        <v>0</v>
      </c>
      <c r="AJ59" s="11">
        <f t="shared" si="749"/>
        <v>136</v>
      </c>
      <c r="AK59" s="11">
        <f t="shared" si="749"/>
        <v>-194693</v>
      </c>
      <c r="AL59" s="11">
        <f t="shared" si="749"/>
        <v>-229731</v>
      </c>
      <c r="AM59" s="11">
        <f t="shared" si="749"/>
        <v>0</v>
      </c>
      <c r="AN59" s="11">
        <f t="shared" si="749"/>
        <v>-14117</v>
      </c>
      <c r="AO59" s="9">
        <f t="shared" si="749"/>
        <v>-298758</v>
      </c>
      <c r="AP59" s="11">
        <f t="shared" si="749"/>
        <v>-87279</v>
      </c>
      <c r="AQ59" s="10">
        <f t="shared" si="749"/>
        <v>14287</v>
      </c>
      <c r="AR59" s="11">
        <f t="shared" si="749"/>
        <v>0</v>
      </c>
      <c r="AS59" s="11">
        <f t="shared" si="749"/>
        <v>0</v>
      </c>
      <c r="AT59" s="11">
        <f t="shared" si="749"/>
        <v>0</v>
      </c>
      <c r="AU59" s="11">
        <f t="shared" si="749"/>
        <v>0</v>
      </c>
      <c r="AV59" s="11">
        <f t="shared" si="749"/>
        <v>0</v>
      </c>
      <c r="AW59" s="11">
        <f t="shared" si="749"/>
        <v>-8</v>
      </c>
      <c r="AX59" s="11">
        <f t="shared" si="749"/>
        <v>-86</v>
      </c>
      <c r="AY59" s="11">
        <f t="shared" si="749"/>
        <v>0</v>
      </c>
      <c r="AZ59" s="11">
        <f t="shared" si="749"/>
        <v>0</v>
      </c>
      <c r="BA59" s="11">
        <f t="shared" si="749"/>
        <v>0</v>
      </c>
      <c r="BB59" s="10">
        <f t="shared" si="749"/>
        <v>0</v>
      </c>
      <c r="BC59" s="11">
        <f t="shared" si="749"/>
        <v>-15938</v>
      </c>
      <c r="BD59" s="11">
        <f t="shared" si="749"/>
        <v>-15936</v>
      </c>
      <c r="BE59" s="11">
        <f t="shared" si="749"/>
        <v>0</v>
      </c>
      <c r="BF59" s="11">
        <f t="shared" si="749"/>
        <v>-15257</v>
      </c>
      <c r="BG59" s="11">
        <f t="shared" si="749"/>
        <v>-124001</v>
      </c>
      <c r="BH59" s="11">
        <f t="shared" si="749"/>
        <v>-1001679</v>
      </c>
      <c r="BI59" s="227">
        <f t="shared" si="749"/>
        <v>-3439612</v>
      </c>
      <c r="BJ59" s="11">
        <f t="shared" si="749"/>
        <v>-55105</v>
      </c>
      <c r="BK59" s="11">
        <f t="shared" si="749"/>
        <v>-3384507</v>
      </c>
      <c r="BL59" s="11">
        <f t="shared" si="749"/>
        <v>2241034</v>
      </c>
      <c r="BM59" s="11">
        <f t="shared" si="749"/>
        <v>725851</v>
      </c>
    </row>
    <row r="60" spans="1:65" s="180" customFormat="1" ht="15.75" x14ac:dyDescent="0.25">
      <c r="A60" s="128"/>
      <c r="B60" s="5"/>
      <c r="C60" s="5"/>
      <c r="D60" s="5"/>
      <c r="E60" s="5"/>
      <c r="F60" s="5"/>
      <c r="G60" s="5"/>
      <c r="H60" s="5"/>
      <c r="I60" s="5"/>
      <c r="J60" s="5"/>
      <c r="K60" s="5"/>
      <c r="L60" s="5"/>
      <c r="M60" s="5"/>
      <c r="N60" s="5"/>
      <c r="O60" s="5"/>
      <c r="P60" s="5"/>
      <c r="Q60" s="5"/>
      <c r="R60" s="5"/>
      <c r="S60" s="5"/>
      <c r="T60" s="5"/>
      <c r="U60" s="5"/>
      <c r="V60" s="16"/>
      <c r="W60" s="5"/>
      <c r="X60" s="5"/>
      <c r="Y60" s="5"/>
      <c r="Z60" s="5"/>
      <c r="AA60" s="5"/>
      <c r="AB60" s="5"/>
      <c r="AC60" s="6"/>
      <c r="AD60" s="230"/>
      <c r="AE60" s="5"/>
      <c r="AF60" s="5"/>
      <c r="AG60" s="5"/>
      <c r="AH60" s="5"/>
      <c r="AI60" s="5"/>
      <c r="AJ60" s="5"/>
      <c r="AK60" s="5"/>
      <c r="AL60" s="5"/>
      <c r="AM60" s="5"/>
      <c r="AN60" s="5"/>
      <c r="AO60" s="16"/>
      <c r="AP60" s="5"/>
      <c r="AQ60" s="6"/>
      <c r="AR60" s="5"/>
      <c r="AS60" s="5"/>
      <c r="AT60" s="5"/>
      <c r="AU60" s="5"/>
      <c r="AV60" s="5"/>
      <c r="AW60" s="6"/>
      <c r="AX60" s="5"/>
      <c r="AY60" s="5"/>
      <c r="AZ60" s="5"/>
      <c r="BA60" s="5"/>
      <c r="BB60" s="6"/>
      <c r="BC60" s="5"/>
      <c r="BD60" s="5"/>
      <c r="BE60" s="5"/>
      <c r="BF60" s="5"/>
      <c r="BG60" s="5"/>
      <c r="BH60" s="16"/>
      <c r="BI60" s="230"/>
      <c r="BJ60" s="5"/>
      <c r="BK60" s="48"/>
    </row>
    <row r="61" spans="1:65" ht="15.75" x14ac:dyDescent="0.25">
      <c r="A61" s="15" t="s">
        <v>140</v>
      </c>
      <c r="B61" s="11" t="s">
        <v>301</v>
      </c>
      <c r="C61" s="120">
        <v>4471179</v>
      </c>
      <c r="D61" s="120">
        <v>1591311</v>
      </c>
      <c r="E61" s="120">
        <v>127709</v>
      </c>
      <c r="F61" s="120">
        <v>762898</v>
      </c>
      <c r="G61" s="120">
        <v>258171</v>
      </c>
      <c r="H61" s="120">
        <v>0</v>
      </c>
      <c r="I61" s="120">
        <v>0</v>
      </c>
      <c r="J61" s="120">
        <v>1423981</v>
      </c>
      <c r="K61" s="120">
        <v>51942</v>
      </c>
      <c r="L61" s="120">
        <v>150905</v>
      </c>
      <c r="M61" s="120">
        <v>308464</v>
      </c>
      <c r="N61" s="120">
        <v>645</v>
      </c>
      <c r="O61" s="120">
        <v>7105</v>
      </c>
      <c r="P61" s="120">
        <v>13288</v>
      </c>
      <c r="Q61" s="120">
        <v>0</v>
      </c>
      <c r="R61" s="120">
        <v>8777</v>
      </c>
      <c r="S61" s="120">
        <v>0</v>
      </c>
      <c r="T61" s="120">
        <v>0</v>
      </c>
      <c r="U61" s="120"/>
      <c r="V61" s="189">
        <v>0</v>
      </c>
      <c r="W61" s="120">
        <v>0</v>
      </c>
      <c r="X61" s="120">
        <v>0</v>
      </c>
      <c r="Y61" s="120">
        <v>764</v>
      </c>
      <c r="Z61" s="120">
        <v>248</v>
      </c>
      <c r="AA61" s="120">
        <v>4112</v>
      </c>
      <c r="AB61" s="120">
        <v>8148</v>
      </c>
      <c r="AC61" s="151">
        <v>0</v>
      </c>
      <c r="AD61" s="233">
        <f t="shared" ref="AD61:AD62" si="751">SUM(C61:AC61)</f>
        <v>9189647</v>
      </c>
      <c r="AE61" s="120">
        <v>2890</v>
      </c>
      <c r="AF61" s="120">
        <v>48</v>
      </c>
      <c r="AG61" s="120">
        <v>3914</v>
      </c>
      <c r="AH61" s="120">
        <v>0</v>
      </c>
      <c r="AI61" s="120">
        <v>0</v>
      </c>
      <c r="AJ61" s="120">
        <v>344</v>
      </c>
      <c r="AK61" s="120">
        <v>89585</v>
      </c>
      <c r="AL61" s="120">
        <v>59416</v>
      </c>
      <c r="AM61" s="120">
        <v>678059</v>
      </c>
      <c r="AN61" s="120">
        <v>14635</v>
      </c>
      <c r="AO61" s="189">
        <v>454981</v>
      </c>
      <c r="AP61" s="120">
        <v>1440</v>
      </c>
      <c r="AQ61" s="151">
        <v>0</v>
      </c>
      <c r="AR61" s="120">
        <v>0</v>
      </c>
      <c r="AS61" s="120"/>
      <c r="AT61" s="120"/>
      <c r="AU61" s="120">
        <v>0</v>
      </c>
      <c r="AV61" s="120"/>
      <c r="AW61" s="120">
        <v>1252</v>
      </c>
      <c r="AX61" s="120">
        <v>448</v>
      </c>
      <c r="AY61" s="120">
        <v>0</v>
      </c>
      <c r="AZ61" s="120">
        <v>0</v>
      </c>
      <c r="BA61" s="120">
        <v>0</v>
      </c>
      <c r="BB61" s="151">
        <v>0</v>
      </c>
      <c r="BC61" s="120">
        <v>21909</v>
      </c>
      <c r="BD61" s="120">
        <v>21909</v>
      </c>
      <c r="BE61" s="120">
        <v>0</v>
      </c>
      <c r="BF61" s="120">
        <v>22869</v>
      </c>
      <c r="BG61" s="120">
        <v>2</v>
      </c>
      <c r="BH61" s="9">
        <f>SUM(AE61:BG61)</f>
        <v>1373701</v>
      </c>
      <c r="BI61" s="226">
        <f>AD61+BH61</f>
        <v>10563348</v>
      </c>
      <c r="BJ61" s="96">
        <v>27610</v>
      </c>
      <c r="BK61" s="49">
        <f t="shared" ref="BK61:BK62" si="752">BI61-BJ61</f>
        <v>10535738</v>
      </c>
      <c r="BL61">
        <v>6</v>
      </c>
      <c r="BM61" s="30"/>
    </row>
    <row r="62" spans="1:65" s="41" customFormat="1" ht="15.75" x14ac:dyDescent="0.25">
      <c r="A62" s="134" t="s">
        <v>140</v>
      </c>
      <c r="B62" s="216" t="s">
        <v>324</v>
      </c>
      <c r="C62" s="10">
        <v>1967318</v>
      </c>
      <c r="D62" s="10">
        <v>565795</v>
      </c>
      <c r="E62" s="10">
        <v>0</v>
      </c>
      <c r="F62" s="10">
        <v>335675</v>
      </c>
      <c r="G62" s="10">
        <v>113594</v>
      </c>
      <c r="H62" s="10">
        <v>0</v>
      </c>
      <c r="I62" s="10">
        <v>0</v>
      </c>
      <c r="J62" s="10">
        <v>626553</v>
      </c>
      <c r="K62" s="10">
        <v>22854</v>
      </c>
      <c r="L62" s="10">
        <v>66398</v>
      </c>
      <c r="M62" s="10">
        <v>135726</v>
      </c>
      <c r="N62" s="10">
        <v>285</v>
      </c>
      <c r="O62" s="10">
        <v>3126</v>
      </c>
      <c r="P62" s="10">
        <v>5846</v>
      </c>
      <c r="Q62" s="10">
        <v>0</v>
      </c>
      <c r="R62" s="10">
        <v>3863</v>
      </c>
      <c r="S62" s="10">
        <v>0</v>
      </c>
      <c r="T62" s="10">
        <v>0</v>
      </c>
      <c r="U62" s="10"/>
      <c r="V62" s="10">
        <v>0</v>
      </c>
      <c r="W62" s="10">
        <v>0</v>
      </c>
      <c r="X62" s="10">
        <v>0</v>
      </c>
      <c r="Y62" s="10">
        <v>335</v>
      </c>
      <c r="Z62" s="10">
        <v>110</v>
      </c>
      <c r="AA62" s="10">
        <v>1810</v>
      </c>
      <c r="AB62" s="10">
        <v>3586</v>
      </c>
      <c r="AC62" s="10">
        <v>0</v>
      </c>
      <c r="AD62" s="233">
        <f t="shared" si="751"/>
        <v>3852874</v>
      </c>
      <c r="AE62" s="10">
        <v>1271</v>
      </c>
      <c r="AF62" s="10">
        <v>21</v>
      </c>
      <c r="AG62" s="10">
        <v>2100</v>
      </c>
      <c r="AH62" s="10">
        <v>0</v>
      </c>
      <c r="AI62" s="10">
        <v>0</v>
      </c>
      <c r="AJ62" s="10">
        <v>152</v>
      </c>
      <c r="AK62" s="10">
        <v>39418</v>
      </c>
      <c r="AL62" s="10">
        <v>26144</v>
      </c>
      <c r="AM62" s="10">
        <v>298347</v>
      </c>
      <c r="AN62" s="10">
        <v>6440</v>
      </c>
      <c r="AO62" s="10">
        <v>200191</v>
      </c>
      <c r="AP62" s="10">
        <v>633</v>
      </c>
      <c r="AQ62" s="10">
        <v>0</v>
      </c>
      <c r="AR62" s="10">
        <v>0</v>
      </c>
      <c r="AS62" s="10"/>
      <c r="AT62" s="10"/>
      <c r="AU62" s="10">
        <v>0</v>
      </c>
      <c r="AV62" s="10"/>
      <c r="AW62" s="10">
        <v>550</v>
      </c>
      <c r="AX62" s="10">
        <v>198</v>
      </c>
      <c r="AY62" s="10">
        <v>0</v>
      </c>
      <c r="AZ62" s="10">
        <v>0</v>
      </c>
      <c r="BA62" s="10">
        <v>0</v>
      </c>
      <c r="BB62" s="10">
        <v>0</v>
      </c>
      <c r="BC62" s="10">
        <v>9641</v>
      </c>
      <c r="BD62" s="10">
        <v>9641</v>
      </c>
      <c r="BE62" s="10">
        <v>0</v>
      </c>
      <c r="BF62" s="10">
        <v>10063</v>
      </c>
      <c r="BG62" s="10">
        <v>-382</v>
      </c>
      <c r="BH62" s="10">
        <f>SUM(AE62:BG62)</f>
        <v>604428</v>
      </c>
      <c r="BI62" s="226">
        <f>AD62+BH62</f>
        <v>4457302</v>
      </c>
      <c r="BJ62" s="10">
        <v>11505</v>
      </c>
      <c r="BK62" s="10">
        <f t="shared" si="752"/>
        <v>4445797</v>
      </c>
      <c r="BM62" s="217"/>
    </row>
    <row r="63" spans="1:65" ht="15.75" x14ac:dyDescent="0.25">
      <c r="A63" s="128"/>
      <c r="B63" s="12" t="s">
        <v>325</v>
      </c>
      <c r="C63" s="9">
        <f>IF('Upto Month COPPY'!$G$4="",0,'Upto Month COPPY'!$G$4)</f>
        <v>1877310</v>
      </c>
      <c r="D63" s="9">
        <f>IF('Upto Month COPPY'!$G$5="",0,'Upto Month COPPY'!$G$5)</f>
        <v>387307</v>
      </c>
      <c r="E63" s="9">
        <f>IF('Upto Month COPPY'!$G$6="",0,'Upto Month COPPY'!$G$6)</f>
        <v>323</v>
      </c>
      <c r="F63" s="9">
        <f>IF('Upto Month COPPY'!$G$7="",0,'Upto Month COPPY'!$G$7)</f>
        <v>288467</v>
      </c>
      <c r="G63" s="9">
        <f>IF('Upto Month COPPY'!$G$8="",0,'Upto Month COPPY'!$G$8)</f>
        <v>99778</v>
      </c>
      <c r="H63" s="9">
        <f>IF('Upto Month COPPY'!$G$9="",0,'Upto Month COPPY'!$G$9)</f>
        <v>0</v>
      </c>
      <c r="I63" s="9">
        <f>IF('Upto Month COPPY'!$G$10="",0,'Upto Month COPPY'!$G$10)</f>
        <v>0</v>
      </c>
      <c r="J63" s="9">
        <f>IF('Upto Month COPPY'!$G$11="",0,'Upto Month COPPY'!$G$11)</f>
        <v>503254</v>
      </c>
      <c r="K63" s="9">
        <f>IF('Upto Month COPPY'!$G$12="",0,'Upto Month COPPY'!$G$12)</f>
        <v>17030</v>
      </c>
      <c r="L63" s="9">
        <f>IF('Upto Month COPPY'!$G$13="",0,'Upto Month COPPY'!$G$13)</f>
        <v>68786</v>
      </c>
      <c r="M63" s="9">
        <f>IF('Upto Month COPPY'!$G$14="",0,'Upto Month COPPY'!$G$14)</f>
        <v>123140</v>
      </c>
      <c r="N63" s="9">
        <f>IF('Upto Month COPPY'!$G$15="",0,'Upto Month COPPY'!$G$15)</f>
        <v>147</v>
      </c>
      <c r="O63" s="9">
        <f>IF('Upto Month COPPY'!$G$16="",0,'Upto Month COPPY'!$G$16)</f>
        <v>2550</v>
      </c>
      <c r="P63" s="9">
        <f>IF('Upto Month COPPY'!$G$17="",0,'Upto Month COPPY'!$G$17)</f>
        <v>5025</v>
      </c>
      <c r="Q63" s="9">
        <f>IF('Upto Month COPPY'!$G$18="",0,'Upto Month COPPY'!$G$18)</f>
        <v>0</v>
      </c>
      <c r="R63" s="9">
        <f>IF('Upto Month COPPY'!$G$21="",0,'Upto Month COPPY'!$G$21)</f>
        <v>2760</v>
      </c>
      <c r="S63" s="9">
        <f>IF('Upto Month COPPY'!$G$26="",0,'Upto Month COPPY'!$G$26)</f>
        <v>0</v>
      </c>
      <c r="T63" s="9">
        <f>IF('Upto Month COPPY'!$G$27="",0,'Upto Month COPPY'!$G$27)</f>
        <v>0</v>
      </c>
      <c r="U63" s="9">
        <f>IF('Upto Month COPPY'!$G$30="",0,'Upto Month COPPY'!$G$30)</f>
        <v>0</v>
      </c>
      <c r="V63" s="9">
        <f>IF('Upto Month COPPY'!$G$35="",0,'Upto Month COPPY'!$G$35)</f>
        <v>0</v>
      </c>
      <c r="W63" s="9">
        <f>IF('Upto Month COPPY'!$G$39="",0,'Upto Month COPPY'!$G$39)</f>
        <v>0</v>
      </c>
      <c r="X63" s="9">
        <f>IF('Upto Month COPPY'!$G$40="",0,'Upto Month COPPY'!$G$40)</f>
        <v>0</v>
      </c>
      <c r="Y63" s="9">
        <f>IF('Upto Month COPPY'!$G$42="",0,'Upto Month COPPY'!$G$42)</f>
        <v>719</v>
      </c>
      <c r="Z63" s="9">
        <f>IF('Upto Month COPPY'!$G$43="",0,'Upto Month COPPY'!$G$43)</f>
        <v>135</v>
      </c>
      <c r="AA63" s="9">
        <f>IF('Upto Month COPPY'!$G$44="",0,'Upto Month COPPY'!$G$44)</f>
        <v>562</v>
      </c>
      <c r="AB63" s="9">
        <f>IF('Upto Month COPPY'!$G$48="",0,'Upto Month COPPY'!$G$48)</f>
        <v>0</v>
      </c>
      <c r="AC63" s="10">
        <f>IF('Upto Month COPPY'!$G$51="",0,'Upto Month COPPY'!$G$51)</f>
        <v>0</v>
      </c>
      <c r="AD63" s="233">
        <f t="shared" ref="AD63:AD64" si="753">SUM(C63:AC63)</f>
        <v>3377293</v>
      </c>
      <c r="AE63" s="9">
        <f>IF('Upto Month COPPY'!$G$19="",0,'Upto Month COPPY'!$G$19)</f>
        <v>1117</v>
      </c>
      <c r="AF63" s="9">
        <f>IF('Upto Month COPPY'!$G$20="",0,'Upto Month COPPY'!$G$20)</f>
        <v>1246</v>
      </c>
      <c r="AG63" s="9">
        <f>IF('Upto Month COPPY'!$G$22="",0,'Upto Month COPPY'!$G$22)</f>
        <v>2837</v>
      </c>
      <c r="AH63" s="9">
        <f>IF('Upto Month COPPY'!$G$23="",0,'Upto Month COPPY'!$G$23)</f>
        <v>0</v>
      </c>
      <c r="AI63" s="9">
        <f>IF('Upto Month COPPY'!$G$24="",0,'Upto Month COPPY'!$G$24)</f>
        <v>0</v>
      </c>
      <c r="AJ63" s="9">
        <f>IF('Upto Month COPPY'!$G$25="",0,'Upto Month COPPY'!$G$25)</f>
        <v>557</v>
      </c>
      <c r="AK63" s="9">
        <f>IF('Upto Month COPPY'!$G$28="",0,'Upto Month COPPY'!$G$28)</f>
        <v>63424</v>
      </c>
      <c r="AL63" s="9">
        <f>IF('Upto Month COPPY'!$G$29="",0,'Upto Month COPPY'!$G$29)</f>
        <v>10415</v>
      </c>
      <c r="AM63" s="9">
        <f>IF('Upto Month COPPY'!$G$31="",0,'Upto Month COPPY'!$G$31)</f>
        <v>326176</v>
      </c>
      <c r="AN63" s="9">
        <f>IF('Upto Month COPPY'!$G$32="",0,'Upto Month COPPY'!$G$32)</f>
        <v>4844</v>
      </c>
      <c r="AO63" s="9">
        <f>IF('Upto Month COPPY'!$G$33="",0,'Upto Month COPPY'!$G$33)</f>
        <v>223421</v>
      </c>
      <c r="AP63" s="9">
        <f>IF('Upto Month COPPY'!$G$34="",0,'Upto Month COPPY'!$G$34)</f>
        <v>458</v>
      </c>
      <c r="AQ63" s="10">
        <f>IF('Upto Month COPPY'!$G$36="",0,'Upto Month COPPY'!$G$36)</f>
        <v>0</v>
      </c>
      <c r="AR63" s="9">
        <f>IF('Upto Month COPPY'!$G$37="",0,'Upto Month COPPY'!$G$37)</f>
        <v>0</v>
      </c>
      <c r="AS63" s="9">
        <v>0</v>
      </c>
      <c r="AT63" s="9">
        <f>IF('Upto Month COPPY'!$G$38="",0,'Upto Month COPPY'!$G$38)</f>
        <v>0</v>
      </c>
      <c r="AU63" s="9">
        <f>IF('Upto Month COPPY'!$G$41="",0,'Upto Month COPPY'!$G$41)</f>
        <v>0</v>
      </c>
      <c r="AV63" s="9">
        <v>0</v>
      </c>
      <c r="AW63" s="9">
        <f>IF('Upto Month COPPY'!$G$45="",0,'Upto Month COPPY'!$G$45)</f>
        <v>0</v>
      </c>
      <c r="AX63" s="9">
        <f>IF('Upto Month COPPY'!$G$46="",0,'Upto Month COPPY'!$G$46)</f>
        <v>0</v>
      </c>
      <c r="AY63" s="9">
        <f>IF('Upto Month COPPY'!$G$47="",0,'Upto Month COPPY'!$G$47)</f>
        <v>0</v>
      </c>
      <c r="AZ63" s="9">
        <f>IF('Upto Month COPPY'!$G$49="",0,'Upto Month COPPY'!$G$49)</f>
        <v>0</v>
      </c>
      <c r="BA63" s="9">
        <f>IF('Upto Month COPPY'!$G$50="",0,'Upto Month COPPY'!$G$50)</f>
        <v>0</v>
      </c>
      <c r="BB63" s="10">
        <f>IF('Upto Month COPPY'!$G$52="",0,'Upto Month COPPY'!$G$52)</f>
        <v>0</v>
      </c>
      <c r="BC63" s="9">
        <f>IF('Upto Month COPPY'!$G$53="",0,'Upto Month COPPY'!$G$53)</f>
        <v>9686</v>
      </c>
      <c r="BD63" s="9">
        <f>IF('Upto Month COPPY'!$G$54="",0,'Upto Month COPPY'!$G$54)</f>
        <v>9686</v>
      </c>
      <c r="BE63" s="9">
        <f>IF('Upto Month COPPY'!$G$55="",0,'Upto Month COPPY'!$G$55)</f>
        <v>0</v>
      </c>
      <c r="BF63" s="9">
        <f>IF('Upto Month COPPY'!$G$56="",0,'Upto Month COPPY'!$G$56)</f>
        <v>13038</v>
      </c>
      <c r="BG63" s="9">
        <f>IF('Upto Month COPPY'!$G$58="",0,'Upto Month COPPY'!$G$58)</f>
        <v>128</v>
      </c>
      <c r="BH63" s="9">
        <f>SUM(AE63:BG63)</f>
        <v>667033</v>
      </c>
      <c r="BI63" s="226">
        <f>AD63+BH63</f>
        <v>4044326</v>
      </c>
      <c r="BJ63" s="9">
        <f>IF('Upto Month COPPY'!$G$60="",0,'Upto Month COPPY'!$G$60)</f>
        <v>7340</v>
      </c>
      <c r="BK63" s="49">
        <f t="shared" ref="BK63:BK64" si="754">BI63-BJ63</f>
        <v>4036986</v>
      </c>
      <c r="BL63">
        <f>'Upto Month COPPY'!$G$61</f>
        <v>4036984</v>
      </c>
      <c r="BM63" s="30">
        <f t="shared" ref="BM63:BM67" si="755">BK63-AD63</f>
        <v>659693</v>
      </c>
    </row>
    <row r="64" spans="1:65" ht="15.75" x14ac:dyDescent="0.25">
      <c r="A64" s="128"/>
      <c r="B64" s="182" t="s">
        <v>326</v>
      </c>
      <c r="C64" s="9">
        <f>IF('Upto Month Current'!$G$4="",0,'Upto Month Current'!$G$4)</f>
        <v>2074855</v>
      </c>
      <c r="D64" s="9">
        <f>IF('Upto Month Current'!$G$5="",0,'Upto Month Current'!$G$5)</f>
        <v>544650</v>
      </c>
      <c r="E64" s="9">
        <f>IF('Upto Month Current'!$G$6="",0,'Upto Month Current'!$G$6)</f>
        <v>343</v>
      </c>
      <c r="F64" s="9">
        <f>IF('Upto Month Current'!$G$7="",0,'Upto Month Current'!$G$7)</f>
        <v>336783</v>
      </c>
      <c r="G64" s="9">
        <f>IF('Upto Month Current'!$G$8="",0,'Upto Month Current'!$G$8)</f>
        <v>112680</v>
      </c>
      <c r="H64" s="9">
        <f>IF('Upto Month Current'!$G$9="",0,'Upto Month Current'!$G$9)</f>
        <v>0</v>
      </c>
      <c r="I64" s="9">
        <f>IF('Upto Month Current'!$G$10="",0,'Upto Month Current'!$G$10)</f>
        <v>0</v>
      </c>
      <c r="J64" s="9">
        <f>IF('Upto Month Current'!$G$11="",0,'Upto Month Current'!$G$11)</f>
        <v>646364</v>
      </c>
      <c r="K64" s="9">
        <f>IF('Upto Month Current'!$G$12="",0,'Upto Month Current'!$G$12)</f>
        <v>1319</v>
      </c>
      <c r="L64" s="9">
        <f>IF('Upto Month Current'!$G$13="",0,'Upto Month Current'!$G$13)</f>
        <v>37283</v>
      </c>
      <c r="M64" s="9">
        <f>IF('Upto Month Current'!$G$14="",0,'Upto Month Current'!$G$14)</f>
        <v>152617</v>
      </c>
      <c r="N64" s="9">
        <f>IF('Upto Month Current'!$G$15="",0,'Upto Month Current'!$G$15)</f>
        <v>135</v>
      </c>
      <c r="O64" s="9">
        <f>IF('Upto Month Current'!$G$16="",0,'Upto Month Current'!$G$16)</f>
        <v>3183</v>
      </c>
      <c r="P64" s="9">
        <f>IF('Upto Month Current'!$G$17="",0,'Upto Month Current'!$G$17)</f>
        <v>6533</v>
      </c>
      <c r="Q64" s="9">
        <f>IF('Upto Month Current'!$G$18="",0,'Upto Month Current'!$G$18)</f>
        <v>0</v>
      </c>
      <c r="R64" s="9">
        <f>IF('Upto Month Current'!$G$21="",0,'Upto Month Current'!$G$21)</f>
        <v>3675</v>
      </c>
      <c r="S64" s="9">
        <f>IF('Upto Month Current'!$G$26="",0,'Upto Month Current'!$G$26)</f>
        <v>0</v>
      </c>
      <c r="T64" s="9">
        <f>IF('Upto Month Current'!$G$27="",0,'Upto Month Current'!$G$27)</f>
        <v>0</v>
      </c>
      <c r="U64" s="9">
        <f>IF('Upto Month Current'!$G$30="",0,'Upto Month Current'!$G$30)</f>
        <v>0</v>
      </c>
      <c r="V64" s="9">
        <f>IF('Upto Month Current'!$G$35="",0,'Upto Month Current'!$G$35)</f>
        <v>0</v>
      </c>
      <c r="W64" s="9">
        <f>IF('Upto Month Current'!$G$39="",0,'Upto Month Current'!$G$39)</f>
        <v>0</v>
      </c>
      <c r="X64" s="9">
        <f>IF('Upto Month Current'!$G$40="",0,'Upto Month Current'!$G$40)</f>
        <v>0</v>
      </c>
      <c r="Y64" s="9">
        <f>IF('Upto Month Current'!$G$42="",0,'Upto Month Current'!$G$42)</f>
        <v>4290</v>
      </c>
      <c r="Z64" s="9">
        <f>IF('Upto Month Current'!$G$43="",0,'Upto Month Current'!$G$43)</f>
        <v>521</v>
      </c>
      <c r="AA64" s="9">
        <f>IF('Upto Month Current'!$G$44="",0,'Upto Month Current'!$G$44)</f>
        <v>915</v>
      </c>
      <c r="AB64" s="9">
        <f>IF('Upto Month Current'!$G$48="",0,'Upto Month Current'!$G$48)</f>
        <v>151</v>
      </c>
      <c r="AC64" s="10">
        <f>IF('Upto Month Current'!$G$51="",0,'Upto Month Current'!$G$51)</f>
        <v>0</v>
      </c>
      <c r="AD64" s="233">
        <f t="shared" si="753"/>
        <v>3926297</v>
      </c>
      <c r="AE64" s="9">
        <f>IF('Upto Month Current'!$G$19="",0,'Upto Month Current'!$G$19)</f>
        <v>1517</v>
      </c>
      <c r="AF64" s="9">
        <f>IF('Upto Month Current'!$G$20="",0,'Upto Month Current'!$G$20)</f>
        <v>905</v>
      </c>
      <c r="AG64" s="9">
        <f>IF('Upto Month Current'!$G$22="",0,'Upto Month Current'!$G$22)</f>
        <v>3781</v>
      </c>
      <c r="AH64" s="9">
        <f>IF('Upto Month Current'!$G$23="",0,'Upto Month Current'!$G$23)</f>
        <v>0</v>
      </c>
      <c r="AI64" s="9">
        <f>IF('Upto Month Current'!$G$24="",0,'Upto Month Current'!$G$24)</f>
        <v>0</v>
      </c>
      <c r="AJ64" s="9">
        <f>IF('Upto Month Current'!$G$25="",0,'Upto Month Current'!$G$25)</f>
        <v>0</v>
      </c>
      <c r="AK64" s="9">
        <f>IF('Upto Month Current'!$G$28="",0,'Upto Month Current'!$G$28)</f>
        <v>74873</v>
      </c>
      <c r="AL64" s="9">
        <f>IF('Upto Month Current'!$G$29="",0,'Upto Month Current'!$G$29)</f>
        <v>8077</v>
      </c>
      <c r="AM64" s="9">
        <f>IF('Upto Month Current'!$G$31="",0,'Upto Month Current'!$G$31)</f>
        <v>366127</v>
      </c>
      <c r="AN64" s="9">
        <f>IF('Upto Month Current'!$G$32="",0,'Upto Month Current'!$G$32)</f>
        <v>16342</v>
      </c>
      <c r="AO64" s="9">
        <f>IF('Upto Month Current'!$G$33="",0,'Upto Month Current'!$G$33)</f>
        <v>248195</v>
      </c>
      <c r="AP64" s="9">
        <f>IF('Upto Month Current'!$G$34="",0,'Upto Month Current'!$G$34)</f>
        <v>536</v>
      </c>
      <c r="AQ64" s="10">
        <f>IF('Upto Month Current'!$G$36="",0,'Upto Month Current'!$G$36)</f>
        <v>0</v>
      </c>
      <c r="AR64" s="9">
        <f>IF('Upto Month Current'!$G$37="",0,'Upto Month Current'!$G$37)</f>
        <v>0</v>
      </c>
      <c r="AS64" s="9">
        <v>0</v>
      </c>
      <c r="AT64" s="9">
        <f>IF('Upto Month Current'!$G$38="",0,'Upto Month Current'!$G$38)</f>
        <v>0</v>
      </c>
      <c r="AU64" s="9">
        <f>IF('Upto Month Current'!$G$41="",0,'Upto Month Current'!$G$41)</f>
        <v>0</v>
      </c>
      <c r="AV64" s="9">
        <v>0</v>
      </c>
      <c r="AW64" s="9">
        <f>IF('Upto Month Current'!$G$45="",0,'Upto Month Current'!$G$45)</f>
        <v>0</v>
      </c>
      <c r="AX64" s="9">
        <f>IF('Upto Month Current'!$G$46="",0,'Upto Month Current'!$G$46)</f>
        <v>0</v>
      </c>
      <c r="AY64" s="9">
        <f>IF('Upto Month Current'!$G$47="",0,'Upto Month Current'!$G$47)</f>
        <v>0</v>
      </c>
      <c r="AZ64" s="9">
        <f>IF('Upto Month Current'!$G$49="",0,'Upto Month Current'!$G$49)</f>
        <v>0</v>
      </c>
      <c r="BA64" s="9">
        <f>IF('Upto Month Current'!$G$50="",0,'Upto Month Current'!$G$50)</f>
        <v>0</v>
      </c>
      <c r="BB64" s="10">
        <f>IF('Upto Month Current'!$G$52="",0,'Upto Month Current'!$G$52)</f>
        <v>0</v>
      </c>
      <c r="BC64" s="9">
        <f>IF('Upto Month Current'!$G$53="",0,'Upto Month Current'!$G$53)</f>
        <v>11303</v>
      </c>
      <c r="BD64" s="9">
        <f>IF('Upto Month Current'!$G$54="",0,'Upto Month Current'!$G$54)</f>
        <v>11303</v>
      </c>
      <c r="BE64" s="9">
        <f>IF('Upto Month Current'!$G$55="",0,'Upto Month Current'!$G$55)</f>
        <v>0</v>
      </c>
      <c r="BF64" s="9">
        <f>IF('Upto Month Current'!$G$56="",0,'Upto Month Current'!$G$56)</f>
        <v>16437</v>
      </c>
      <c r="BG64" s="9">
        <f>IF('Upto Month Current'!$G$58="",0,'Upto Month Current'!$G$58)</f>
        <v>23</v>
      </c>
      <c r="BH64" s="9">
        <f>SUM(AE64:BG64)</f>
        <v>759419</v>
      </c>
      <c r="BI64" s="226">
        <f>AD64+BH64</f>
        <v>4685716</v>
      </c>
      <c r="BJ64" s="9">
        <f>IF('Upto Month Current'!$G$60="",0,'Upto Month Current'!$G$60)</f>
        <v>7044</v>
      </c>
      <c r="BK64" s="49">
        <f t="shared" si="754"/>
        <v>4678672</v>
      </c>
      <c r="BL64">
        <f>'Upto Month Current'!$G$61</f>
        <v>4678673</v>
      </c>
      <c r="BM64" s="30">
        <f t="shared" si="755"/>
        <v>752375</v>
      </c>
    </row>
    <row r="65" spans="1:65" ht="15.75" x14ac:dyDescent="0.25">
      <c r="A65" s="128"/>
      <c r="B65" s="5" t="s">
        <v>132</v>
      </c>
      <c r="C65" s="11">
        <f>C64-C62</f>
        <v>107537</v>
      </c>
      <c r="D65" s="11">
        <f t="shared" ref="D65" si="756">D64-D62</f>
        <v>-21145</v>
      </c>
      <c r="E65" s="11">
        <f t="shared" ref="E65" si="757">E64-E62</f>
        <v>343</v>
      </c>
      <c r="F65" s="11">
        <f t="shared" ref="F65" si="758">F64-F62</f>
        <v>1108</v>
      </c>
      <c r="G65" s="11">
        <f t="shared" ref="G65" si="759">G64-G62</f>
        <v>-914</v>
      </c>
      <c r="H65" s="11">
        <f t="shared" ref="H65" si="760">H64-H62</f>
        <v>0</v>
      </c>
      <c r="I65" s="11">
        <f t="shared" ref="I65" si="761">I64-I62</f>
        <v>0</v>
      </c>
      <c r="J65" s="11">
        <f t="shared" ref="J65" si="762">J64-J62</f>
        <v>19811</v>
      </c>
      <c r="K65" s="11">
        <f t="shared" ref="K65" si="763">K64-K62</f>
        <v>-21535</v>
      </c>
      <c r="L65" s="11">
        <f t="shared" ref="L65" si="764">L64-L62</f>
        <v>-29115</v>
      </c>
      <c r="M65" s="11">
        <f t="shared" ref="M65" si="765">M64-M62</f>
        <v>16891</v>
      </c>
      <c r="N65" s="11">
        <f t="shared" ref="N65" si="766">N64-N62</f>
        <v>-150</v>
      </c>
      <c r="O65" s="11">
        <f t="shared" ref="O65" si="767">O64-O62</f>
        <v>57</v>
      </c>
      <c r="P65" s="11">
        <f t="shared" ref="P65" si="768">P64-P62</f>
        <v>687</v>
      </c>
      <c r="Q65" s="11">
        <f t="shared" ref="Q65" si="769">Q64-Q62</f>
        <v>0</v>
      </c>
      <c r="R65" s="11">
        <f t="shared" ref="R65" si="770">R64-R62</f>
        <v>-188</v>
      </c>
      <c r="S65" s="11">
        <f t="shared" ref="S65" si="771">S64-S62</f>
        <v>0</v>
      </c>
      <c r="T65" s="11">
        <f t="shared" ref="T65:U65" si="772">T64-T62</f>
        <v>0</v>
      </c>
      <c r="U65" s="11">
        <f t="shared" si="772"/>
        <v>0</v>
      </c>
      <c r="V65" s="9">
        <f t="shared" ref="V65" si="773">V64-V62</f>
        <v>0</v>
      </c>
      <c r="W65" s="11">
        <f t="shared" ref="W65" si="774">W64-W62</f>
        <v>0</v>
      </c>
      <c r="X65" s="11">
        <f t="shared" ref="X65" si="775">X64-X62</f>
        <v>0</v>
      </c>
      <c r="Y65" s="11">
        <f t="shared" ref="Y65" si="776">Y64-Y62</f>
        <v>3955</v>
      </c>
      <c r="Z65" s="11">
        <f t="shared" ref="Z65" si="777">Z64-Z62</f>
        <v>411</v>
      </c>
      <c r="AA65" s="11">
        <f t="shared" ref="AA65:AD65" si="778">AA64-AA62</f>
        <v>-895</v>
      </c>
      <c r="AB65" s="11">
        <f t="shared" ref="AB65" si="779">AB64-AB62</f>
        <v>-3435</v>
      </c>
      <c r="AC65" s="10">
        <f t="shared" si="778"/>
        <v>0</v>
      </c>
      <c r="AD65" s="227">
        <f t="shared" si="778"/>
        <v>73423</v>
      </c>
      <c r="AE65" s="11">
        <f t="shared" ref="AE65" si="780">AE64-AE62</f>
        <v>246</v>
      </c>
      <c r="AF65" s="11">
        <f t="shared" ref="AF65" si="781">AF64-AF62</f>
        <v>884</v>
      </c>
      <c r="AG65" s="11">
        <f t="shared" ref="AG65" si="782">AG64-AG62</f>
        <v>1681</v>
      </c>
      <c r="AH65" s="11">
        <f t="shared" ref="AH65" si="783">AH64-AH62</f>
        <v>0</v>
      </c>
      <c r="AI65" s="11">
        <f t="shared" ref="AI65" si="784">AI64-AI62</f>
        <v>0</v>
      </c>
      <c r="AJ65" s="11">
        <f t="shared" ref="AJ65" si="785">AJ64-AJ62</f>
        <v>-152</v>
      </c>
      <c r="AK65" s="11">
        <f t="shared" ref="AK65" si="786">AK64-AK62</f>
        <v>35455</v>
      </c>
      <c r="AL65" s="11">
        <f t="shared" ref="AL65" si="787">AL64-AL62</f>
        <v>-18067</v>
      </c>
      <c r="AM65" s="11">
        <f t="shared" ref="AM65" si="788">AM64-AM62</f>
        <v>67780</v>
      </c>
      <c r="AN65" s="11">
        <f t="shared" ref="AN65" si="789">AN64-AN62</f>
        <v>9902</v>
      </c>
      <c r="AO65" s="9">
        <f t="shared" ref="AO65" si="790">AO64-AO62</f>
        <v>48004</v>
      </c>
      <c r="AP65" s="11">
        <f t="shared" ref="AP65" si="791">AP64-AP62</f>
        <v>-97</v>
      </c>
      <c r="AQ65" s="10">
        <f t="shared" ref="AQ65" si="792">AQ64-AQ62</f>
        <v>0</v>
      </c>
      <c r="AR65" s="11">
        <f t="shared" ref="AR65" si="793">AR64-AR62</f>
        <v>0</v>
      </c>
      <c r="AS65" s="11">
        <f t="shared" ref="AS65" si="794">AS64-AS62</f>
        <v>0</v>
      </c>
      <c r="AT65" s="11">
        <f t="shared" ref="AT65" si="795">AT64-AT62</f>
        <v>0</v>
      </c>
      <c r="AU65" s="11">
        <f t="shared" ref="AU65" si="796">AU64-AU62</f>
        <v>0</v>
      </c>
      <c r="AV65" s="11">
        <f t="shared" ref="AV65" si="797">AV64-AV62</f>
        <v>0</v>
      </c>
      <c r="AW65" s="11">
        <f t="shared" ref="AW65" si="798">AW64-AW62</f>
        <v>-550</v>
      </c>
      <c r="AX65" s="11">
        <f t="shared" ref="AX65" si="799">AX64-AX62</f>
        <v>-198</v>
      </c>
      <c r="AY65" s="11">
        <f t="shared" ref="AY65" si="800">AY64-AY62</f>
        <v>0</v>
      </c>
      <c r="AZ65" s="11">
        <f t="shared" ref="AZ65" si="801">AZ64-AZ62</f>
        <v>0</v>
      </c>
      <c r="BA65" s="11">
        <f t="shared" ref="BA65" si="802">BA64-BA62</f>
        <v>0</v>
      </c>
      <c r="BB65" s="10">
        <f t="shared" ref="BB65" si="803">BB64-BB62</f>
        <v>0</v>
      </c>
      <c r="BC65" s="11">
        <f t="shared" ref="BC65" si="804">BC64-BC62</f>
        <v>1662</v>
      </c>
      <c r="BD65" s="11">
        <f t="shared" ref="BD65" si="805">BD64-BD62</f>
        <v>1662</v>
      </c>
      <c r="BE65" s="11">
        <f t="shared" ref="BE65" si="806">BE64-BE62</f>
        <v>0</v>
      </c>
      <c r="BF65" s="11">
        <f t="shared" ref="BF65" si="807">BF64-BF62</f>
        <v>6374</v>
      </c>
      <c r="BG65" s="11">
        <f t="shared" ref="BG65:BH65" si="808">BG64-BG62</f>
        <v>405</v>
      </c>
      <c r="BH65" s="9">
        <f t="shared" si="808"/>
        <v>154991</v>
      </c>
      <c r="BI65" s="227">
        <f t="shared" ref="BI65" si="809">BI64-BI62</f>
        <v>228414</v>
      </c>
      <c r="BJ65" s="11">
        <f t="shared" ref="BJ65:BK65" si="810">BJ64-BJ62</f>
        <v>-4461</v>
      </c>
      <c r="BK65" s="49">
        <f t="shared" si="810"/>
        <v>232875</v>
      </c>
      <c r="BM65" s="30">
        <f t="shared" si="755"/>
        <v>159452</v>
      </c>
    </row>
    <row r="66" spans="1:65" ht="15.75" x14ac:dyDescent="0.25">
      <c r="A66" s="129"/>
      <c r="B66" s="16" t="s">
        <v>133</v>
      </c>
      <c r="C66" s="13">
        <f>C65/C62</f>
        <v>5.4661727285573558E-2</v>
      </c>
      <c r="D66" s="13">
        <f t="shared" ref="D66" si="811">D65/D62</f>
        <v>-3.7372193108811493E-2</v>
      </c>
      <c r="E66" s="13" t="e">
        <f t="shared" ref="E66" si="812">E65/E62</f>
        <v>#DIV/0!</v>
      </c>
      <c r="F66" s="13">
        <f t="shared" ref="F66" si="813">F65/F62</f>
        <v>3.3008117971251956E-3</v>
      </c>
      <c r="G66" s="13">
        <f t="shared" ref="G66" si="814">G65/G62</f>
        <v>-8.0461996232195354E-3</v>
      </c>
      <c r="H66" s="13" t="e">
        <f t="shared" ref="H66" si="815">H65/H62</f>
        <v>#DIV/0!</v>
      </c>
      <c r="I66" s="13" t="e">
        <f t="shared" ref="I66" si="816">I65/I62</f>
        <v>#DIV/0!</v>
      </c>
      <c r="J66" s="13">
        <f t="shared" ref="J66" si="817">J65/J62</f>
        <v>3.1619033026735167E-2</v>
      </c>
      <c r="K66" s="13">
        <f t="shared" ref="K66" si="818">K65/K62</f>
        <v>-0.94228581429946623</v>
      </c>
      <c r="L66" s="13">
        <f t="shared" ref="L66" si="819">L65/L62</f>
        <v>-0.4384921232567246</v>
      </c>
      <c r="M66" s="13">
        <f t="shared" ref="M66" si="820">M65/M62</f>
        <v>0.12444925806404079</v>
      </c>
      <c r="N66" s="13">
        <f t="shared" ref="N66" si="821">N65/N62</f>
        <v>-0.52631578947368418</v>
      </c>
      <c r="O66" s="13">
        <f t="shared" ref="O66" si="822">O65/O62</f>
        <v>1.8234165067178502E-2</v>
      </c>
      <c r="P66" s="13">
        <f t="shared" ref="P66" si="823">P65/P62</f>
        <v>0.11751625042764283</v>
      </c>
      <c r="Q66" s="13" t="e">
        <f t="shared" ref="Q66" si="824">Q65/Q62</f>
        <v>#DIV/0!</v>
      </c>
      <c r="R66" s="13">
        <f t="shared" ref="R66" si="825">R65/R62</f>
        <v>-4.8666839244110797E-2</v>
      </c>
      <c r="S66" s="13" t="e">
        <f t="shared" ref="S66" si="826">S65/S62</f>
        <v>#DIV/0!</v>
      </c>
      <c r="T66" s="13" t="e">
        <f t="shared" ref="T66:U66" si="827">T65/T62</f>
        <v>#DIV/0!</v>
      </c>
      <c r="U66" s="13" t="e">
        <f t="shared" si="827"/>
        <v>#DIV/0!</v>
      </c>
      <c r="V66" s="162" t="e">
        <f t="shared" ref="V66" si="828">V65/V62</f>
        <v>#DIV/0!</v>
      </c>
      <c r="W66" s="13" t="e">
        <f t="shared" ref="W66" si="829">W65/W62</f>
        <v>#DIV/0!</v>
      </c>
      <c r="X66" s="13" t="e">
        <f t="shared" ref="X66" si="830">X65/X62</f>
        <v>#DIV/0!</v>
      </c>
      <c r="Y66" s="13">
        <f t="shared" ref="Y66" si="831">Y65/Y62</f>
        <v>11.805970149253731</v>
      </c>
      <c r="Z66" s="13">
        <f t="shared" ref="Z66" si="832">Z65/Z62</f>
        <v>3.7363636363636363</v>
      </c>
      <c r="AA66" s="13">
        <f t="shared" ref="AA66:AD66" si="833">AA65/AA62</f>
        <v>-0.49447513812154698</v>
      </c>
      <c r="AB66" s="13">
        <f t="shared" ref="AB66" si="834">AB65/AB62</f>
        <v>-0.95789180145008368</v>
      </c>
      <c r="AC66" s="14" t="e">
        <f t="shared" si="833"/>
        <v>#DIV/0!</v>
      </c>
      <c r="AD66" s="228">
        <f t="shared" si="833"/>
        <v>1.9056683400495319E-2</v>
      </c>
      <c r="AE66" s="13">
        <f t="shared" ref="AE66" si="835">AE65/AE62</f>
        <v>0.19354838709677419</v>
      </c>
      <c r="AF66" s="13">
        <f t="shared" ref="AF66" si="836">AF65/AF62</f>
        <v>42.095238095238095</v>
      </c>
      <c r="AG66" s="13">
        <f t="shared" ref="AG66" si="837">AG65/AG62</f>
        <v>0.80047619047619045</v>
      </c>
      <c r="AH66" s="13" t="e">
        <f t="shared" ref="AH66" si="838">AH65/AH62</f>
        <v>#DIV/0!</v>
      </c>
      <c r="AI66" s="13" t="e">
        <f t="shared" ref="AI66" si="839">AI65/AI62</f>
        <v>#DIV/0!</v>
      </c>
      <c r="AJ66" s="13">
        <f t="shared" ref="AJ66" si="840">AJ65/AJ62</f>
        <v>-1</v>
      </c>
      <c r="AK66" s="13">
        <f t="shared" ref="AK66" si="841">AK65/AK62</f>
        <v>0.89946217464102696</v>
      </c>
      <c r="AL66" s="13">
        <f t="shared" ref="AL66" si="842">AL65/AL62</f>
        <v>-0.69105722154222771</v>
      </c>
      <c r="AM66" s="13">
        <f t="shared" ref="AM66" si="843">AM65/AM62</f>
        <v>0.22718512336306382</v>
      </c>
      <c r="AN66" s="13">
        <f t="shared" ref="AN66" si="844">AN65/AN62</f>
        <v>1.5375776397515528</v>
      </c>
      <c r="AO66" s="162">
        <f t="shared" ref="AO66" si="845">AO65/AO62</f>
        <v>0.23979099959538641</v>
      </c>
      <c r="AP66" s="13">
        <f t="shared" ref="AP66" si="846">AP65/AP62</f>
        <v>-0.15323854660347552</v>
      </c>
      <c r="AQ66" s="14" t="e">
        <f t="shared" ref="AQ66" si="847">AQ65/AQ62</f>
        <v>#DIV/0!</v>
      </c>
      <c r="AR66" s="13" t="e">
        <f t="shared" ref="AR66" si="848">AR65/AR62</f>
        <v>#DIV/0!</v>
      </c>
      <c r="AS66" s="13" t="e">
        <f t="shared" ref="AS66" si="849">AS65/AS62</f>
        <v>#DIV/0!</v>
      </c>
      <c r="AT66" s="13" t="e">
        <f t="shared" ref="AT66" si="850">AT65/AT62</f>
        <v>#DIV/0!</v>
      </c>
      <c r="AU66" s="13" t="e">
        <f t="shared" ref="AU66" si="851">AU65/AU62</f>
        <v>#DIV/0!</v>
      </c>
      <c r="AV66" s="13" t="e">
        <f t="shared" ref="AV66" si="852">AV65/AV62</f>
        <v>#DIV/0!</v>
      </c>
      <c r="AW66" s="13">
        <f t="shared" ref="AW66" si="853">AW65/AW62</f>
        <v>-1</v>
      </c>
      <c r="AX66" s="13">
        <f t="shared" ref="AX66" si="854">AX65/AX62</f>
        <v>-1</v>
      </c>
      <c r="AY66" s="13" t="e">
        <f t="shared" ref="AY66" si="855">AY65/AY62</f>
        <v>#DIV/0!</v>
      </c>
      <c r="AZ66" s="13" t="e">
        <f t="shared" ref="AZ66" si="856">AZ65/AZ62</f>
        <v>#DIV/0!</v>
      </c>
      <c r="BA66" s="13" t="e">
        <f t="shared" ref="BA66" si="857">BA65/BA62</f>
        <v>#DIV/0!</v>
      </c>
      <c r="BB66" s="14" t="e">
        <f t="shared" ref="BB66" si="858">BB65/BB62</f>
        <v>#DIV/0!</v>
      </c>
      <c r="BC66" s="13">
        <f t="shared" ref="BC66" si="859">BC65/BC62</f>
        <v>0.17238875635307541</v>
      </c>
      <c r="BD66" s="13">
        <f t="shared" ref="BD66" si="860">BD65/BD62</f>
        <v>0.17238875635307541</v>
      </c>
      <c r="BE66" s="13" t="e">
        <f t="shared" ref="BE66" si="861">BE65/BE62</f>
        <v>#DIV/0!</v>
      </c>
      <c r="BF66" s="13">
        <f t="shared" ref="BF66" si="862">BF65/BF62</f>
        <v>0.63340952002384976</v>
      </c>
      <c r="BG66" s="13">
        <f t="shared" ref="BG66:BH66" si="863">BG65/BG62</f>
        <v>-1.0602094240837696</v>
      </c>
      <c r="BH66" s="162">
        <f t="shared" si="863"/>
        <v>0.25642591011667232</v>
      </c>
      <c r="BI66" s="228">
        <f t="shared" ref="BI66" si="864">BI65/BI62</f>
        <v>5.1244901063468441E-2</v>
      </c>
      <c r="BJ66" s="13">
        <f t="shared" ref="BJ66:BK66" si="865">BJ65/BJ62</f>
        <v>-0.38774445893089959</v>
      </c>
      <c r="BK66" s="50">
        <f t="shared" si="865"/>
        <v>5.2380934172208043E-2</v>
      </c>
      <c r="BM66" s="162" t="e">
        <f t="shared" ref="BM66" si="866">BM65/BM62</f>
        <v>#DIV/0!</v>
      </c>
    </row>
    <row r="67" spans="1:65" ht="15.75" x14ac:dyDescent="0.25">
      <c r="A67" s="128"/>
      <c r="B67" s="5" t="s">
        <v>134</v>
      </c>
      <c r="C67" s="11">
        <f>C64-C63</f>
        <v>197545</v>
      </c>
      <c r="D67" s="11">
        <f t="shared" ref="D67:BK67" si="867">D64-D63</f>
        <v>157343</v>
      </c>
      <c r="E67" s="11">
        <f t="shared" si="867"/>
        <v>20</v>
      </c>
      <c r="F67" s="11">
        <f t="shared" si="867"/>
        <v>48316</v>
      </c>
      <c r="G67" s="11">
        <f t="shared" si="867"/>
        <v>12902</v>
      </c>
      <c r="H67" s="11">
        <f t="shared" si="867"/>
        <v>0</v>
      </c>
      <c r="I67" s="11">
        <f t="shared" si="867"/>
        <v>0</v>
      </c>
      <c r="J67" s="11">
        <f t="shared" si="867"/>
        <v>143110</v>
      </c>
      <c r="K67" s="11">
        <f t="shared" si="867"/>
        <v>-15711</v>
      </c>
      <c r="L67" s="11">
        <f t="shared" si="867"/>
        <v>-31503</v>
      </c>
      <c r="M67" s="11">
        <f t="shared" si="867"/>
        <v>29477</v>
      </c>
      <c r="N67" s="11">
        <f t="shared" si="867"/>
        <v>-12</v>
      </c>
      <c r="O67" s="11">
        <f t="shared" si="867"/>
        <v>633</v>
      </c>
      <c r="P67" s="11">
        <f t="shared" si="867"/>
        <v>1508</v>
      </c>
      <c r="Q67" s="11">
        <f t="shared" si="867"/>
        <v>0</v>
      </c>
      <c r="R67" s="11">
        <f t="shared" si="867"/>
        <v>915</v>
      </c>
      <c r="S67" s="11">
        <f t="shared" si="867"/>
        <v>0</v>
      </c>
      <c r="T67" s="11">
        <f t="shared" si="867"/>
        <v>0</v>
      </c>
      <c r="U67" s="11">
        <f t="shared" ref="U67" si="868">U64-U63</f>
        <v>0</v>
      </c>
      <c r="V67" s="9">
        <f t="shared" si="867"/>
        <v>0</v>
      </c>
      <c r="W67" s="11">
        <f t="shared" si="867"/>
        <v>0</v>
      </c>
      <c r="X67" s="11">
        <f t="shared" si="867"/>
        <v>0</v>
      </c>
      <c r="Y67" s="11">
        <f t="shared" si="867"/>
        <v>3571</v>
      </c>
      <c r="Z67" s="11">
        <f t="shared" si="867"/>
        <v>386</v>
      </c>
      <c r="AA67" s="11">
        <f t="shared" si="867"/>
        <v>353</v>
      </c>
      <c r="AB67" s="11">
        <f t="shared" ref="AB67" si="869">AB64-AB63</f>
        <v>151</v>
      </c>
      <c r="AC67" s="10">
        <f t="shared" ref="AC67:AD67" si="870">AC64-AC63</f>
        <v>0</v>
      </c>
      <c r="AD67" s="227">
        <f t="shared" si="870"/>
        <v>549004</v>
      </c>
      <c r="AE67" s="11">
        <f t="shared" si="867"/>
        <v>400</v>
      </c>
      <c r="AF67" s="11">
        <f t="shared" si="867"/>
        <v>-341</v>
      </c>
      <c r="AG67" s="11">
        <f t="shared" si="867"/>
        <v>944</v>
      </c>
      <c r="AH67" s="11">
        <f t="shared" si="867"/>
        <v>0</v>
      </c>
      <c r="AI67" s="11">
        <f t="shared" si="867"/>
        <v>0</v>
      </c>
      <c r="AJ67" s="11">
        <f t="shared" si="867"/>
        <v>-557</v>
      </c>
      <c r="AK67" s="11">
        <f t="shared" si="867"/>
        <v>11449</v>
      </c>
      <c r="AL67" s="11">
        <f t="shared" si="867"/>
        <v>-2338</v>
      </c>
      <c r="AM67" s="11">
        <f t="shared" si="867"/>
        <v>39951</v>
      </c>
      <c r="AN67" s="11">
        <f t="shared" si="867"/>
        <v>11498</v>
      </c>
      <c r="AO67" s="9">
        <f t="shared" si="867"/>
        <v>24774</v>
      </c>
      <c r="AP67" s="11">
        <f t="shared" si="867"/>
        <v>78</v>
      </c>
      <c r="AQ67" s="10">
        <f t="shared" si="867"/>
        <v>0</v>
      </c>
      <c r="AR67" s="11">
        <f t="shared" si="867"/>
        <v>0</v>
      </c>
      <c r="AS67" s="11">
        <f t="shared" si="867"/>
        <v>0</v>
      </c>
      <c r="AT67" s="11">
        <f t="shared" si="867"/>
        <v>0</v>
      </c>
      <c r="AU67" s="11">
        <f t="shared" si="867"/>
        <v>0</v>
      </c>
      <c r="AV67" s="11">
        <f t="shared" si="867"/>
        <v>0</v>
      </c>
      <c r="AW67" s="11">
        <f t="shared" si="867"/>
        <v>0</v>
      </c>
      <c r="AX67" s="11">
        <f t="shared" si="867"/>
        <v>0</v>
      </c>
      <c r="AY67" s="11">
        <f t="shared" si="867"/>
        <v>0</v>
      </c>
      <c r="AZ67" s="11">
        <f t="shared" si="867"/>
        <v>0</v>
      </c>
      <c r="BA67" s="11">
        <f t="shared" si="867"/>
        <v>0</v>
      </c>
      <c r="BB67" s="10">
        <f t="shared" si="867"/>
        <v>0</v>
      </c>
      <c r="BC67" s="11">
        <f t="shared" si="867"/>
        <v>1617</v>
      </c>
      <c r="BD67" s="11">
        <f t="shared" si="867"/>
        <v>1617</v>
      </c>
      <c r="BE67" s="11">
        <f t="shared" si="867"/>
        <v>0</v>
      </c>
      <c r="BF67" s="11">
        <f t="shared" si="867"/>
        <v>3399</v>
      </c>
      <c r="BG67" s="11">
        <f t="shared" si="867"/>
        <v>-105</v>
      </c>
      <c r="BH67" s="9">
        <f t="shared" si="867"/>
        <v>92386</v>
      </c>
      <c r="BI67" s="227">
        <f t="shared" si="867"/>
        <v>641390</v>
      </c>
      <c r="BJ67" s="11">
        <f t="shared" si="867"/>
        <v>-296</v>
      </c>
      <c r="BK67" s="49">
        <f t="shared" si="867"/>
        <v>641686</v>
      </c>
      <c r="BM67" s="30">
        <f t="shared" si="755"/>
        <v>92682</v>
      </c>
    </row>
    <row r="68" spans="1:65" ht="15.75" x14ac:dyDescent="0.25">
      <c r="A68" s="128"/>
      <c r="B68" s="5" t="s">
        <v>135</v>
      </c>
      <c r="C68" s="13">
        <f>C67/C63</f>
        <v>0.10522769281578429</v>
      </c>
      <c r="D68" s="13">
        <f t="shared" ref="D68" si="871">D67/D63</f>
        <v>0.40624878971978301</v>
      </c>
      <c r="E68" s="13">
        <f t="shared" ref="E68" si="872">E67/E63</f>
        <v>6.1919504643962849E-2</v>
      </c>
      <c r="F68" s="13">
        <f t="shared" ref="F68" si="873">F67/F63</f>
        <v>0.16749229547920561</v>
      </c>
      <c r="G68" s="13">
        <f t="shared" ref="G68" si="874">G67/G63</f>
        <v>0.12930706167692277</v>
      </c>
      <c r="H68" s="13" t="e">
        <f t="shared" ref="H68" si="875">H67/H63</f>
        <v>#DIV/0!</v>
      </c>
      <c r="I68" s="13" t="e">
        <f t="shared" ref="I68" si="876">I67/I63</f>
        <v>#DIV/0!</v>
      </c>
      <c r="J68" s="13">
        <f t="shared" ref="J68" si="877">J67/J63</f>
        <v>0.28436932443656682</v>
      </c>
      <c r="K68" s="13">
        <f t="shared" ref="K68" si="878">K67/K63</f>
        <v>-0.92254844392248969</v>
      </c>
      <c r="L68" s="13">
        <f t="shared" ref="L68" si="879">L67/L63</f>
        <v>-0.45798563661210129</v>
      </c>
      <c r="M68" s="13">
        <f t="shared" ref="M68" si="880">M67/M63</f>
        <v>0.23937794380380056</v>
      </c>
      <c r="N68" s="13">
        <f t="shared" ref="N68" si="881">N67/N63</f>
        <v>-8.1632653061224483E-2</v>
      </c>
      <c r="O68" s="13">
        <f t="shared" ref="O68" si="882">O67/O63</f>
        <v>0.24823529411764705</v>
      </c>
      <c r="P68" s="13">
        <f t="shared" ref="P68" si="883">P67/P63</f>
        <v>0.30009950248756218</v>
      </c>
      <c r="Q68" s="13" t="e">
        <f t="shared" ref="Q68" si="884">Q67/Q63</f>
        <v>#DIV/0!</v>
      </c>
      <c r="R68" s="13">
        <f t="shared" ref="R68" si="885">R67/R63</f>
        <v>0.33152173913043476</v>
      </c>
      <c r="S68" s="13" t="e">
        <f t="shared" ref="S68" si="886">S67/S63</f>
        <v>#DIV/0!</v>
      </c>
      <c r="T68" s="13" t="e">
        <f t="shared" ref="T68:U68" si="887">T67/T63</f>
        <v>#DIV/0!</v>
      </c>
      <c r="U68" s="13" t="e">
        <f t="shared" si="887"/>
        <v>#DIV/0!</v>
      </c>
      <c r="V68" s="162" t="e">
        <f t="shared" ref="V68" si="888">V67/V63</f>
        <v>#DIV/0!</v>
      </c>
      <c r="W68" s="13" t="e">
        <f t="shared" ref="W68" si="889">W67/W63</f>
        <v>#DIV/0!</v>
      </c>
      <c r="X68" s="13" t="e">
        <f t="shared" ref="X68" si="890">X67/X63</f>
        <v>#DIV/0!</v>
      </c>
      <c r="Y68" s="13">
        <f t="shared" ref="Y68" si="891">Y67/Y63</f>
        <v>4.9666203059805287</v>
      </c>
      <c r="Z68" s="13">
        <f t="shared" ref="Z68" si="892">Z67/Z63</f>
        <v>2.8592592592592592</v>
      </c>
      <c r="AA68" s="13">
        <f t="shared" ref="AA68:AD68" si="893">AA67/AA63</f>
        <v>0.62811387900355875</v>
      </c>
      <c r="AB68" s="13" t="e">
        <f t="shared" ref="AB68" si="894">AB67/AB63</f>
        <v>#DIV/0!</v>
      </c>
      <c r="AC68" s="14" t="e">
        <f t="shared" si="893"/>
        <v>#DIV/0!</v>
      </c>
      <c r="AD68" s="228">
        <f t="shared" si="893"/>
        <v>0.1625574091439505</v>
      </c>
      <c r="AE68" s="13">
        <f t="shared" ref="AE68" si="895">AE67/AE63</f>
        <v>0.35810205908683973</v>
      </c>
      <c r="AF68" s="13">
        <f t="shared" ref="AF68" si="896">AF67/AF63</f>
        <v>-0.2736757624398074</v>
      </c>
      <c r="AG68" s="13">
        <f t="shared" ref="AG68" si="897">AG67/AG63</f>
        <v>0.33274585830102221</v>
      </c>
      <c r="AH68" s="13" t="e">
        <f t="shared" ref="AH68" si="898">AH67/AH63</f>
        <v>#DIV/0!</v>
      </c>
      <c r="AI68" s="13" t="e">
        <f t="shared" ref="AI68" si="899">AI67/AI63</f>
        <v>#DIV/0!</v>
      </c>
      <c r="AJ68" s="13">
        <f t="shared" ref="AJ68" si="900">AJ67/AJ63</f>
        <v>-1</v>
      </c>
      <c r="AK68" s="13">
        <f t="shared" ref="AK68" si="901">AK67/AK63</f>
        <v>0.18051526236125126</v>
      </c>
      <c r="AL68" s="13">
        <f t="shared" ref="AL68" si="902">AL67/AL63</f>
        <v>-0.22448391742678828</v>
      </c>
      <c r="AM68" s="13">
        <f t="shared" ref="AM68" si="903">AM67/AM63</f>
        <v>0.122482953988031</v>
      </c>
      <c r="AN68" s="13">
        <f t="shared" ref="AN68" si="904">AN67/AN63</f>
        <v>2.3736581337737408</v>
      </c>
      <c r="AO68" s="162">
        <f t="shared" ref="AO68" si="905">AO67/AO63</f>
        <v>0.11088483177498981</v>
      </c>
      <c r="AP68" s="13">
        <f t="shared" ref="AP68" si="906">AP67/AP63</f>
        <v>0.1703056768558952</v>
      </c>
      <c r="AQ68" s="14" t="e">
        <f t="shared" ref="AQ68" si="907">AQ67/AQ63</f>
        <v>#DIV/0!</v>
      </c>
      <c r="AR68" s="13" t="e">
        <f t="shared" ref="AR68" si="908">AR67/AR63</f>
        <v>#DIV/0!</v>
      </c>
      <c r="AS68" s="13" t="e">
        <f t="shared" ref="AS68" si="909">AS67/AS63</f>
        <v>#DIV/0!</v>
      </c>
      <c r="AT68" s="13" t="e">
        <f t="shared" ref="AT68" si="910">AT67/AT63</f>
        <v>#DIV/0!</v>
      </c>
      <c r="AU68" s="13" t="e">
        <f t="shared" ref="AU68" si="911">AU67/AU63</f>
        <v>#DIV/0!</v>
      </c>
      <c r="AV68" s="13" t="e">
        <f t="shared" ref="AV68" si="912">AV67/AV63</f>
        <v>#DIV/0!</v>
      </c>
      <c r="AW68" s="13" t="e">
        <f t="shared" ref="AW68" si="913">AW67/AW63</f>
        <v>#DIV/0!</v>
      </c>
      <c r="AX68" s="13" t="e">
        <f t="shared" ref="AX68" si="914">AX67/AX63</f>
        <v>#DIV/0!</v>
      </c>
      <c r="AY68" s="13" t="e">
        <f t="shared" ref="AY68" si="915">AY67/AY63</f>
        <v>#DIV/0!</v>
      </c>
      <c r="AZ68" s="13" t="e">
        <f t="shared" ref="AZ68" si="916">AZ67/AZ63</f>
        <v>#DIV/0!</v>
      </c>
      <c r="BA68" s="13" t="e">
        <f t="shared" ref="BA68" si="917">BA67/BA63</f>
        <v>#DIV/0!</v>
      </c>
      <c r="BB68" s="14" t="e">
        <f t="shared" ref="BB68" si="918">BB67/BB63</f>
        <v>#DIV/0!</v>
      </c>
      <c r="BC68" s="13">
        <f t="shared" ref="BC68" si="919">BC67/BC63</f>
        <v>0.16694197811274003</v>
      </c>
      <c r="BD68" s="13">
        <f t="shared" ref="BD68" si="920">BD67/BD63</f>
        <v>0.16694197811274003</v>
      </c>
      <c r="BE68" s="13" t="e">
        <f t="shared" ref="BE68" si="921">BE67/BE63</f>
        <v>#DIV/0!</v>
      </c>
      <c r="BF68" s="13">
        <f t="shared" ref="BF68" si="922">BF67/BF63</f>
        <v>0.26069949378739071</v>
      </c>
      <c r="BG68" s="13">
        <f t="shared" ref="BG68:BH68" si="923">BG67/BG63</f>
        <v>-0.8203125</v>
      </c>
      <c r="BH68" s="162">
        <f t="shared" si="923"/>
        <v>0.13850289266048307</v>
      </c>
      <c r="BI68" s="228">
        <f t="shared" ref="BI68" si="924">BI67/BI63</f>
        <v>0.15859008398432767</v>
      </c>
      <c r="BJ68" s="13">
        <f t="shared" ref="BJ68:BK68" si="925">BJ67/BJ63</f>
        <v>-4.0326975476839236E-2</v>
      </c>
      <c r="BK68" s="50">
        <f t="shared" si="925"/>
        <v>0.15895175261940467</v>
      </c>
      <c r="BM68" s="14">
        <f t="shared" ref="BM68" si="926">BM67/BM63</f>
        <v>0.14049262308376775</v>
      </c>
    </row>
    <row r="69" spans="1:65" ht="15.75" x14ac:dyDescent="0.25">
      <c r="A69" s="128"/>
      <c r="B69" s="5" t="s">
        <v>296</v>
      </c>
      <c r="C69" s="126">
        <f>C64/C61</f>
        <v>0.46405098073684814</v>
      </c>
      <c r="D69" s="126">
        <f t="shared" ref="D69:BK69" si="927">D64/D61</f>
        <v>0.34226496266286099</v>
      </c>
      <c r="E69" s="126">
        <f t="shared" si="927"/>
        <v>2.6857934836229239E-3</v>
      </c>
      <c r="F69" s="126">
        <f t="shared" si="927"/>
        <v>0.4414521993765877</v>
      </c>
      <c r="G69" s="126">
        <f t="shared" si="927"/>
        <v>0.43645490779367163</v>
      </c>
      <c r="H69" s="126" t="e">
        <f t="shared" si="927"/>
        <v>#DIV/0!</v>
      </c>
      <c r="I69" s="126" t="e">
        <f t="shared" si="927"/>
        <v>#DIV/0!</v>
      </c>
      <c r="J69" s="126">
        <f t="shared" si="927"/>
        <v>0.45391335979904224</v>
      </c>
      <c r="K69" s="126">
        <f t="shared" si="927"/>
        <v>2.5393708367024759E-2</v>
      </c>
      <c r="L69" s="126">
        <f t="shared" si="927"/>
        <v>0.24706272157980186</v>
      </c>
      <c r="M69" s="126">
        <f t="shared" si="927"/>
        <v>0.49476438093262098</v>
      </c>
      <c r="N69" s="126">
        <f t="shared" si="927"/>
        <v>0.20930232558139536</v>
      </c>
      <c r="O69" s="126">
        <f t="shared" si="927"/>
        <v>0.44799437016185784</v>
      </c>
      <c r="P69" s="126">
        <f t="shared" si="927"/>
        <v>0.4916465984346779</v>
      </c>
      <c r="Q69" s="126" t="e">
        <f t="shared" si="927"/>
        <v>#DIV/0!</v>
      </c>
      <c r="R69" s="126">
        <f t="shared" si="927"/>
        <v>0.41870798678363907</v>
      </c>
      <c r="S69" s="126" t="e">
        <f t="shared" si="927"/>
        <v>#DIV/0!</v>
      </c>
      <c r="T69" s="126" t="e">
        <f t="shared" si="927"/>
        <v>#DIV/0!</v>
      </c>
      <c r="U69" s="126" t="e">
        <f t="shared" si="927"/>
        <v>#DIV/0!</v>
      </c>
      <c r="V69" s="177" t="e">
        <f t="shared" si="927"/>
        <v>#DIV/0!</v>
      </c>
      <c r="W69" s="126" t="e">
        <f t="shared" si="927"/>
        <v>#DIV/0!</v>
      </c>
      <c r="X69" s="126" t="e">
        <f t="shared" si="927"/>
        <v>#DIV/0!</v>
      </c>
      <c r="Y69" s="126">
        <f t="shared" si="927"/>
        <v>5.6151832460732987</v>
      </c>
      <c r="Z69" s="126">
        <f t="shared" si="927"/>
        <v>2.100806451612903</v>
      </c>
      <c r="AA69" s="126">
        <f t="shared" si="927"/>
        <v>0.22251945525291827</v>
      </c>
      <c r="AB69" s="126">
        <f t="shared" ref="AB69" si="928">AB64/AB61</f>
        <v>1.8532155130093275E-2</v>
      </c>
      <c r="AC69" s="215" t="e">
        <f t="shared" si="927"/>
        <v>#DIV/0!</v>
      </c>
      <c r="AD69" s="229">
        <f t="shared" si="927"/>
        <v>0.42725221110234157</v>
      </c>
      <c r="AE69" s="126">
        <f t="shared" si="927"/>
        <v>0.52491349480968863</v>
      </c>
      <c r="AF69" s="126">
        <f t="shared" si="927"/>
        <v>18.854166666666668</v>
      </c>
      <c r="AG69" s="126">
        <f t="shared" si="927"/>
        <v>0.96601941747572817</v>
      </c>
      <c r="AH69" s="126" t="e">
        <f t="shared" si="927"/>
        <v>#DIV/0!</v>
      </c>
      <c r="AI69" s="126" t="e">
        <f t="shared" si="927"/>
        <v>#DIV/0!</v>
      </c>
      <c r="AJ69" s="126">
        <f t="shared" si="927"/>
        <v>0</v>
      </c>
      <c r="AK69" s="126">
        <f t="shared" si="927"/>
        <v>0.83577607858458447</v>
      </c>
      <c r="AL69" s="126">
        <f t="shared" si="927"/>
        <v>0.13593981419146359</v>
      </c>
      <c r="AM69" s="126">
        <f t="shared" si="927"/>
        <v>0.53996333652381279</v>
      </c>
      <c r="AN69" s="126">
        <f t="shared" si="927"/>
        <v>1.1166381961052272</v>
      </c>
      <c r="AO69" s="177">
        <f t="shared" si="927"/>
        <v>0.54550629586729993</v>
      </c>
      <c r="AP69" s="126">
        <f t="shared" si="927"/>
        <v>0.37222222222222223</v>
      </c>
      <c r="AQ69" s="215" t="e">
        <f t="shared" si="927"/>
        <v>#DIV/0!</v>
      </c>
      <c r="AR69" s="126" t="e">
        <f t="shared" si="927"/>
        <v>#DIV/0!</v>
      </c>
      <c r="AS69" s="126" t="e">
        <f t="shared" si="927"/>
        <v>#DIV/0!</v>
      </c>
      <c r="AT69" s="126" t="e">
        <f t="shared" si="927"/>
        <v>#DIV/0!</v>
      </c>
      <c r="AU69" s="126" t="e">
        <f t="shared" si="927"/>
        <v>#DIV/0!</v>
      </c>
      <c r="AV69" s="126" t="e">
        <f t="shared" si="927"/>
        <v>#DIV/0!</v>
      </c>
      <c r="AW69" s="126">
        <f t="shared" si="927"/>
        <v>0</v>
      </c>
      <c r="AX69" s="126">
        <f t="shared" si="927"/>
        <v>0</v>
      </c>
      <c r="AY69" s="126" t="e">
        <f t="shared" si="927"/>
        <v>#DIV/0!</v>
      </c>
      <c r="AZ69" s="126" t="e">
        <f t="shared" si="927"/>
        <v>#DIV/0!</v>
      </c>
      <c r="BA69" s="126" t="e">
        <f t="shared" si="927"/>
        <v>#DIV/0!</v>
      </c>
      <c r="BB69" s="215" t="e">
        <f t="shared" si="927"/>
        <v>#DIV/0!</v>
      </c>
      <c r="BC69" s="126">
        <f t="shared" si="927"/>
        <v>0.5159067050070747</v>
      </c>
      <c r="BD69" s="126">
        <f t="shared" si="927"/>
        <v>0.5159067050070747</v>
      </c>
      <c r="BE69" s="126" t="e">
        <f t="shared" si="927"/>
        <v>#DIV/0!</v>
      </c>
      <c r="BF69" s="126">
        <f t="shared" si="927"/>
        <v>0.71874590056408239</v>
      </c>
      <c r="BG69" s="126">
        <f t="shared" si="927"/>
        <v>11.5</v>
      </c>
      <c r="BH69" s="177">
        <f t="shared" si="927"/>
        <v>0.5528269980148518</v>
      </c>
      <c r="BI69" s="229">
        <f t="shared" si="927"/>
        <v>0.44358247025469577</v>
      </c>
      <c r="BJ69" s="126">
        <f t="shared" si="927"/>
        <v>0.25512495472654834</v>
      </c>
      <c r="BK69" s="126">
        <f t="shared" si="927"/>
        <v>0.4440763428247741</v>
      </c>
      <c r="BM69" s="126" t="e">
        <f t="shared" ref="BM69" si="929">BM64/BM61</f>
        <v>#DIV/0!</v>
      </c>
    </row>
    <row r="70" spans="1:65" s="180" customFormat="1" ht="15.75" x14ac:dyDescent="0.25">
      <c r="A70" s="128"/>
      <c r="B70" s="5" t="s">
        <v>297</v>
      </c>
      <c r="C70" s="11">
        <f>C64-C61</f>
        <v>-2396324</v>
      </c>
      <c r="D70" s="11">
        <f t="shared" ref="D70:BM70" si="930">D64-D61</f>
        <v>-1046661</v>
      </c>
      <c r="E70" s="11">
        <f t="shared" si="930"/>
        <v>-127366</v>
      </c>
      <c r="F70" s="11">
        <f t="shared" si="930"/>
        <v>-426115</v>
      </c>
      <c r="G70" s="11">
        <f t="shared" si="930"/>
        <v>-145491</v>
      </c>
      <c r="H70" s="11">
        <f t="shared" si="930"/>
        <v>0</v>
      </c>
      <c r="I70" s="11">
        <f t="shared" si="930"/>
        <v>0</v>
      </c>
      <c r="J70" s="11">
        <f t="shared" si="930"/>
        <v>-777617</v>
      </c>
      <c r="K70" s="11">
        <f t="shared" si="930"/>
        <v>-50623</v>
      </c>
      <c r="L70" s="11">
        <f t="shared" si="930"/>
        <v>-113622</v>
      </c>
      <c r="M70" s="11">
        <f t="shared" si="930"/>
        <v>-155847</v>
      </c>
      <c r="N70" s="11">
        <f t="shared" si="930"/>
        <v>-510</v>
      </c>
      <c r="O70" s="11">
        <f t="shared" si="930"/>
        <v>-3922</v>
      </c>
      <c r="P70" s="11">
        <f t="shared" si="930"/>
        <v>-6755</v>
      </c>
      <c r="Q70" s="11">
        <f t="shared" si="930"/>
        <v>0</v>
      </c>
      <c r="R70" s="11">
        <f t="shared" si="930"/>
        <v>-5102</v>
      </c>
      <c r="S70" s="11">
        <f t="shared" si="930"/>
        <v>0</v>
      </c>
      <c r="T70" s="11">
        <f t="shared" si="930"/>
        <v>0</v>
      </c>
      <c r="U70" s="11">
        <f t="shared" si="930"/>
        <v>0</v>
      </c>
      <c r="V70" s="9">
        <f t="shared" si="930"/>
        <v>0</v>
      </c>
      <c r="W70" s="11">
        <f t="shared" si="930"/>
        <v>0</v>
      </c>
      <c r="X70" s="11">
        <f t="shared" si="930"/>
        <v>0</v>
      </c>
      <c r="Y70" s="11">
        <f t="shared" si="930"/>
        <v>3526</v>
      </c>
      <c r="Z70" s="11">
        <f t="shared" si="930"/>
        <v>273</v>
      </c>
      <c r="AA70" s="11">
        <f t="shared" si="930"/>
        <v>-3197</v>
      </c>
      <c r="AB70" s="11">
        <f t="shared" ref="AB70" si="931">AB64-AB61</f>
        <v>-7997</v>
      </c>
      <c r="AC70" s="10">
        <f t="shared" si="930"/>
        <v>0</v>
      </c>
      <c r="AD70" s="227">
        <f t="shared" si="930"/>
        <v>-5263350</v>
      </c>
      <c r="AE70" s="11">
        <f t="shared" si="930"/>
        <v>-1373</v>
      </c>
      <c r="AF70" s="11">
        <f t="shared" si="930"/>
        <v>857</v>
      </c>
      <c r="AG70" s="11">
        <f t="shared" si="930"/>
        <v>-133</v>
      </c>
      <c r="AH70" s="11">
        <f t="shared" si="930"/>
        <v>0</v>
      </c>
      <c r="AI70" s="11">
        <f t="shared" si="930"/>
        <v>0</v>
      </c>
      <c r="AJ70" s="11">
        <f t="shared" si="930"/>
        <v>-344</v>
      </c>
      <c r="AK70" s="11">
        <f t="shared" si="930"/>
        <v>-14712</v>
      </c>
      <c r="AL70" s="11">
        <f t="shared" si="930"/>
        <v>-51339</v>
      </c>
      <c r="AM70" s="11">
        <f t="shared" si="930"/>
        <v>-311932</v>
      </c>
      <c r="AN70" s="11">
        <f t="shared" si="930"/>
        <v>1707</v>
      </c>
      <c r="AO70" s="9">
        <f t="shared" si="930"/>
        <v>-206786</v>
      </c>
      <c r="AP70" s="11">
        <f t="shared" si="930"/>
        <v>-904</v>
      </c>
      <c r="AQ70" s="10">
        <f t="shared" si="930"/>
        <v>0</v>
      </c>
      <c r="AR70" s="11">
        <f t="shared" si="930"/>
        <v>0</v>
      </c>
      <c r="AS70" s="11">
        <f t="shared" si="930"/>
        <v>0</v>
      </c>
      <c r="AT70" s="11">
        <f t="shared" si="930"/>
        <v>0</v>
      </c>
      <c r="AU70" s="11">
        <f t="shared" si="930"/>
        <v>0</v>
      </c>
      <c r="AV70" s="11">
        <f t="shared" si="930"/>
        <v>0</v>
      </c>
      <c r="AW70" s="11">
        <f t="shared" si="930"/>
        <v>-1252</v>
      </c>
      <c r="AX70" s="11">
        <f t="shared" si="930"/>
        <v>-448</v>
      </c>
      <c r="AY70" s="11">
        <f t="shared" si="930"/>
        <v>0</v>
      </c>
      <c r="AZ70" s="11">
        <f t="shared" si="930"/>
        <v>0</v>
      </c>
      <c r="BA70" s="11">
        <f t="shared" si="930"/>
        <v>0</v>
      </c>
      <c r="BB70" s="10">
        <f t="shared" si="930"/>
        <v>0</v>
      </c>
      <c r="BC70" s="11">
        <f t="shared" si="930"/>
        <v>-10606</v>
      </c>
      <c r="BD70" s="11">
        <f t="shared" si="930"/>
        <v>-10606</v>
      </c>
      <c r="BE70" s="11">
        <f t="shared" si="930"/>
        <v>0</v>
      </c>
      <c r="BF70" s="11">
        <f t="shared" si="930"/>
        <v>-6432</v>
      </c>
      <c r="BG70" s="11">
        <f t="shared" si="930"/>
        <v>21</v>
      </c>
      <c r="BH70" s="11">
        <f t="shared" si="930"/>
        <v>-614282</v>
      </c>
      <c r="BI70" s="227">
        <f t="shared" si="930"/>
        <v>-5877632</v>
      </c>
      <c r="BJ70" s="11">
        <f t="shared" si="930"/>
        <v>-20566</v>
      </c>
      <c r="BK70" s="11">
        <f t="shared" si="930"/>
        <v>-5857066</v>
      </c>
      <c r="BL70" s="11">
        <f t="shared" si="930"/>
        <v>4678667</v>
      </c>
      <c r="BM70" s="11">
        <f t="shared" si="930"/>
        <v>752375</v>
      </c>
    </row>
    <row r="71" spans="1:65" s="180" customFormat="1" ht="15.75" x14ac:dyDescent="0.25">
      <c r="A71" s="128"/>
      <c r="B71" s="5"/>
      <c r="C71" s="5"/>
      <c r="D71" s="5"/>
      <c r="E71" s="5"/>
      <c r="F71" s="5"/>
      <c r="G71" s="5"/>
      <c r="H71" s="5"/>
      <c r="I71" s="5"/>
      <c r="J71" s="5"/>
      <c r="K71" s="5"/>
      <c r="L71" s="5"/>
      <c r="M71" s="5"/>
      <c r="N71" s="5"/>
      <c r="O71" s="5"/>
      <c r="P71" s="5"/>
      <c r="Q71" s="5"/>
      <c r="R71" s="5"/>
      <c r="S71" s="5"/>
      <c r="T71" s="5"/>
      <c r="U71" s="5"/>
      <c r="V71" s="16"/>
      <c r="W71" s="5"/>
      <c r="X71" s="5"/>
      <c r="Y71" s="5"/>
      <c r="Z71" s="5"/>
      <c r="AA71" s="5"/>
      <c r="AB71" s="5"/>
      <c r="AC71" s="6"/>
      <c r="AD71" s="234"/>
      <c r="AE71" s="5"/>
      <c r="AF71" s="5"/>
      <c r="AG71" s="5"/>
      <c r="AH71" s="5"/>
      <c r="AI71" s="5"/>
      <c r="AJ71" s="5"/>
      <c r="AK71" s="5"/>
      <c r="AL71" s="5"/>
      <c r="AM71" s="5"/>
      <c r="AN71" s="5"/>
      <c r="AO71" s="16"/>
      <c r="AP71" s="5"/>
      <c r="AQ71" s="6"/>
      <c r="AR71" s="5"/>
      <c r="AS71" s="5"/>
      <c r="AT71" s="5"/>
      <c r="AU71" s="5"/>
      <c r="AV71" s="7"/>
      <c r="AW71" s="6"/>
      <c r="AX71" s="5"/>
      <c r="AY71" s="5"/>
      <c r="AZ71" s="5"/>
      <c r="BA71" s="5"/>
      <c r="BB71" s="6"/>
      <c r="BC71" s="5"/>
      <c r="BD71" s="5"/>
      <c r="BE71" s="5"/>
      <c r="BF71" s="5"/>
      <c r="BG71" s="5"/>
      <c r="BH71" s="16"/>
      <c r="BI71" s="230"/>
      <c r="BJ71" s="5"/>
      <c r="BK71" s="48"/>
    </row>
    <row r="72" spans="1:65" ht="15.75" x14ac:dyDescent="0.25">
      <c r="A72" s="15" t="s">
        <v>141</v>
      </c>
      <c r="B72" s="11" t="s">
        <v>301</v>
      </c>
      <c r="C72" s="120">
        <v>5895304</v>
      </c>
      <c r="D72" s="120">
        <v>1776522</v>
      </c>
      <c r="E72" s="120">
        <v>224044</v>
      </c>
      <c r="F72" s="120">
        <v>679305</v>
      </c>
      <c r="G72" s="120">
        <v>342500</v>
      </c>
      <c r="H72" s="120">
        <v>0</v>
      </c>
      <c r="I72" s="120">
        <v>0</v>
      </c>
      <c r="J72" s="120">
        <v>550715</v>
      </c>
      <c r="K72" s="120">
        <v>61527</v>
      </c>
      <c r="L72" s="120">
        <v>202170</v>
      </c>
      <c r="M72" s="120">
        <v>233105</v>
      </c>
      <c r="N72" s="120">
        <v>1125</v>
      </c>
      <c r="O72" s="120">
        <v>14818</v>
      </c>
      <c r="P72" s="120">
        <v>172511</v>
      </c>
      <c r="Q72" s="120">
        <v>0</v>
      </c>
      <c r="R72" s="120">
        <v>11089</v>
      </c>
      <c r="S72" s="120">
        <v>0</v>
      </c>
      <c r="T72" s="120">
        <v>0</v>
      </c>
      <c r="U72" s="120"/>
      <c r="V72" s="189">
        <v>0</v>
      </c>
      <c r="W72" s="120">
        <v>0</v>
      </c>
      <c r="X72" s="120">
        <v>0</v>
      </c>
      <c r="Y72" s="120">
        <v>2312</v>
      </c>
      <c r="Z72" s="120">
        <v>634</v>
      </c>
      <c r="AA72" s="120">
        <v>509</v>
      </c>
      <c r="AB72" s="120">
        <v>10476</v>
      </c>
      <c r="AC72" s="151">
        <v>0</v>
      </c>
      <c r="AD72" s="233">
        <f t="shared" ref="AD72:AD73" si="932">SUM(C72:AC72)</f>
        <v>10178666</v>
      </c>
      <c r="AE72" s="120">
        <v>10263</v>
      </c>
      <c r="AF72" s="120">
        <v>635</v>
      </c>
      <c r="AG72" s="120">
        <v>6060</v>
      </c>
      <c r="AH72" s="120">
        <v>0</v>
      </c>
      <c r="AI72" s="120">
        <v>0</v>
      </c>
      <c r="AJ72" s="120">
        <v>14414</v>
      </c>
      <c r="AK72" s="120">
        <v>26297</v>
      </c>
      <c r="AL72" s="120">
        <v>56981</v>
      </c>
      <c r="AM72" s="120">
        <v>0</v>
      </c>
      <c r="AN72" s="120">
        <v>342</v>
      </c>
      <c r="AO72" s="189">
        <v>393803</v>
      </c>
      <c r="AP72" s="120">
        <v>15433058</v>
      </c>
      <c r="AQ72" s="151">
        <v>0</v>
      </c>
      <c r="AR72" s="120">
        <v>0</v>
      </c>
      <c r="AS72" s="120"/>
      <c r="AT72" s="120"/>
      <c r="AU72" s="120">
        <v>0</v>
      </c>
      <c r="AV72" s="120"/>
      <c r="AW72" s="120">
        <v>602</v>
      </c>
      <c r="AX72" s="120">
        <v>2643</v>
      </c>
      <c r="AY72" s="120">
        <v>50</v>
      </c>
      <c r="AZ72" s="120">
        <v>0</v>
      </c>
      <c r="BA72" s="120">
        <v>0</v>
      </c>
      <c r="BB72" s="151">
        <v>0</v>
      </c>
      <c r="BC72" s="120">
        <v>17832</v>
      </c>
      <c r="BD72" s="120">
        <v>17832</v>
      </c>
      <c r="BE72" s="120">
        <v>0</v>
      </c>
      <c r="BF72" s="120">
        <v>23472</v>
      </c>
      <c r="BG72" s="189">
        <v>2890</v>
      </c>
      <c r="BH72" s="9">
        <f>SUM(AE72:BG72)</f>
        <v>16007174</v>
      </c>
      <c r="BI72" s="226">
        <f>AD72+BH72</f>
        <v>26185840</v>
      </c>
      <c r="BJ72" s="96">
        <v>0</v>
      </c>
      <c r="BK72" s="9">
        <f t="shared" ref="BK72:BK73" si="933">BI72-BJ72</f>
        <v>26185840</v>
      </c>
      <c r="BL72">
        <v>7</v>
      </c>
      <c r="BM72" s="30"/>
    </row>
    <row r="73" spans="1:65" s="41" customFormat="1" ht="15.75" x14ac:dyDescent="0.25">
      <c r="A73" s="134" t="s">
        <v>141</v>
      </c>
      <c r="B73" s="216" t="s">
        <v>324</v>
      </c>
      <c r="C73" s="10">
        <v>2593932</v>
      </c>
      <c r="D73" s="10">
        <v>631648</v>
      </c>
      <c r="E73" s="10">
        <v>0</v>
      </c>
      <c r="F73" s="10">
        <v>298894</v>
      </c>
      <c r="G73" s="10">
        <v>150702</v>
      </c>
      <c r="H73" s="10">
        <v>0</v>
      </c>
      <c r="I73" s="10">
        <v>0</v>
      </c>
      <c r="J73" s="10">
        <v>242315</v>
      </c>
      <c r="K73" s="10">
        <v>27072</v>
      </c>
      <c r="L73" s="10">
        <v>88956</v>
      </c>
      <c r="M73" s="10">
        <v>102563</v>
      </c>
      <c r="N73" s="10">
        <v>496</v>
      </c>
      <c r="O73" s="10">
        <v>6518</v>
      </c>
      <c r="P73" s="10">
        <v>75906</v>
      </c>
      <c r="Q73" s="10">
        <v>0</v>
      </c>
      <c r="R73" s="10">
        <v>4880</v>
      </c>
      <c r="S73" s="10">
        <v>0</v>
      </c>
      <c r="T73" s="10">
        <v>0</v>
      </c>
      <c r="U73" s="10"/>
      <c r="V73" s="10">
        <v>0</v>
      </c>
      <c r="W73" s="10">
        <v>0</v>
      </c>
      <c r="X73" s="10">
        <v>0</v>
      </c>
      <c r="Y73" s="10">
        <v>1017</v>
      </c>
      <c r="Z73" s="10">
        <v>280</v>
      </c>
      <c r="AA73" s="10">
        <v>225</v>
      </c>
      <c r="AB73" s="10">
        <v>4729</v>
      </c>
      <c r="AC73" s="10">
        <v>0</v>
      </c>
      <c r="AD73" s="233">
        <f t="shared" si="932"/>
        <v>4230133</v>
      </c>
      <c r="AE73" s="10">
        <v>4515</v>
      </c>
      <c r="AF73" s="10">
        <v>279</v>
      </c>
      <c r="AG73" s="10">
        <v>2667</v>
      </c>
      <c r="AH73" s="10">
        <v>0</v>
      </c>
      <c r="AI73" s="10">
        <v>0</v>
      </c>
      <c r="AJ73" s="10">
        <v>6342</v>
      </c>
      <c r="AK73" s="10">
        <v>11571</v>
      </c>
      <c r="AL73" s="10">
        <v>25072</v>
      </c>
      <c r="AM73" s="10" t="s">
        <v>321</v>
      </c>
      <c r="AN73" s="10">
        <v>150</v>
      </c>
      <c r="AO73" s="10">
        <v>173273</v>
      </c>
      <c r="AP73" s="10">
        <v>7196446</v>
      </c>
      <c r="AQ73" s="10">
        <v>0</v>
      </c>
      <c r="AR73" s="10">
        <v>0</v>
      </c>
      <c r="AS73" s="10"/>
      <c r="AT73" s="10"/>
      <c r="AU73" s="10">
        <v>0</v>
      </c>
      <c r="AV73" s="10"/>
      <c r="AW73" s="10">
        <v>264</v>
      </c>
      <c r="AX73" s="10">
        <v>1162</v>
      </c>
      <c r="AY73" s="10">
        <v>22</v>
      </c>
      <c r="AZ73" s="10">
        <v>0</v>
      </c>
      <c r="BA73" s="10">
        <v>0</v>
      </c>
      <c r="BB73" s="10">
        <v>0</v>
      </c>
      <c r="BC73" s="10">
        <v>7847</v>
      </c>
      <c r="BD73" s="10">
        <v>7847</v>
      </c>
      <c r="BE73" s="10">
        <v>0</v>
      </c>
      <c r="BF73" s="10">
        <v>10328</v>
      </c>
      <c r="BG73" s="10">
        <v>1151</v>
      </c>
      <c r="BH73" s="10">
        <f>SUM(AE73:BG73)</f>
        <v>7448936</v>
      </c>
      <c r="BI73" s="226">
        <f>AD73+BH73</f>
        <v>11679069</v>
      </c>
      <c r="BJ73" s="10">
        <v>0</v>
      </c>
      <c r="BK73" s="10">
        <f t="shared" si="933"/>
        <v>11679069</v>
      </c>
      <c r="BM73" s="217"/>
    </row>
    <row r="74" spans="1:65" ht="15.75" x14ac:dyDescent="0.25">
      <c r="A74" s="128"/>
      <c r="B74" s="12" t="s">
        <v>325</v>
      </c>
      <c r="C74" s="9">
        <f>IF('Upto Month COPPY'!$H$4="",0,'Upto Month COPPY'!$H$4)</f>
        <v>2399627</v>
      </c>
      <c r="D74" s="9">
        <f>IF('Upto Month COPPY'!$H$5="",0,'Upto Month COPPY'!$H$5)</f>
        <v>429633</v>
      </c>
      <c r="E74" s="9">
        <f>IF('Upto Month COPPY'!$H$6="",0,'Upto Month COPPY'!$H$6)</f>
        <v>1913</v>
      </c>
      <c r="F74" s="9">
        <f>IF('Upto Month COPPY'!$H$7="",0,'Upto Month COPPY'!$H$7)</f>
        <v>261005</v>
      </c>
      <c r="G74" s="9">
        <f>IF('Upto Month COPPY'!$H$8="",0,'Upto Month COPPY'!$H$8)</f>
        <v>130553</v>
      </c>
      <c r="H74" s="9">
        <f>IF('Upto Month COPPY'!$H$9="",0,'Upto Month COPPY'!$H$9)</f>
        <v>0</v>
      </c>
      <c r="I74" s="9">
        <f>IF('Upto Month COPPY'!$H$10="",0,'Upto Month COPPY'!$H$10)</f>
        <v>0</v>
      </c>
      <c r="J74" s="9">
        <f>IF('Upto Month COPPY'!$H$11="",0,'Upto Month COPPY'!$H$11)</f>
        <v>223271</v>
      </c>
      <c r="K74" s="9">
        <f>IF('Upto Month COPPY'!$H$12="",0,'Upto Month COPPY'!$H$12)</f>
        <v>11644</v>
      </c>
      <c r="L74" s="9">
        <f>IF('Upto Month COPPY'!$H$13="",0,'Upto Month COPPY'!$H$13)</f>
        <v>94137</v>
      </c>
      <c r="M74" s="9">
        <f>IF('Upto Month COPPY'!$H$14="",0,'Upto Month COPPY'!$H$14)</f>
        <v>121300</v>
      </c>
      <c r="N74" s="9">
        <f>IF('Upto Month COPPY'!$H$15="",0,'Upto Month COPPY'!$H$15)</f>
        <v>47</v>
      </c>
      <c r="O74" s="9">
        <f>IF('Upto Month COPPY'!$H$16="",0,'Upto Month COPPY'!$H$16)</f>
        <v>4878</v>
      </c>
      <c r="P74" s="9">
        <f>IF('Upto Month COPPY'!$H$17="",0,'Upto Month COPPY'!$H$17)</f>
        <v>71072</v>
      </c>
      <c r="Q74" s="9">
        <f>IF('Upto Month COPPY'!$H$18="",0,'Upto Month COPPY'!$H$18)</f>
        <v>0</v>
      </c>
      <c r="R74" s="9">
        <f>IF('Upto Month COPPY'!$H$21="",0,'Upto Month COPPY'!$H$21)</f>
        <v>1651</v>
      </c>
      <c r="S74" s="9">
        <f>IF('Upto Month COPPY'!$H$26="",0,'Upto Month COPPY'!$H$26)</f>
        <v>0</v>
      </c>
      <c r="T74" s="9">
        <f>IF('Upto Month COPPY'!$H$27="",0,'Upto Month COPPY'!$H$27)</f>
        <v>0</v>
      </c>
      <c r="U74" s="9">
        <f>IF('Upto Month COPPY'!$H$30="",0,'Upto Month COPPY'!$H$30)</f>
        <v>0</v>
      </c>
      <c r="V74" s="9">
        <f>IF('Upto Month COPPY'!$H$35="",0,'Upto Month COPPY'!$H$35)</f>
        <v>0</v>
      </c>
      <c r="W74" s="9">
        <f>IF('Upto Month COPPY'!$H$39="",0,'Upto Month COPPY'!$H$39)</f>
        <v>0</v>
      </c>
      <c r="X74" s="9">
        <f>IF('Upto Month COPPY'!$H$40="",0,'Upto Month COPPY'!$H$40)</f>
        <v>0</v>
      </c>
      <c r="Y74" s="9">
        <f>IF('Upto Month COPPY'!$H$42="",0,'Upto Month COPPY'!$H$42)</f>
        <v>923</v>
      </c>
      <c r="Z74" s="9">
        <f>IF('Upto Month COPPY'!$H$43="",0,'Upto Month COPPY'!$H$43)</f>
        <v>177</v>
      </c>
      <c r="AA74" s="9">
        <f>IF('Upto Month COPPY'!$H$44="",0,'Upto Month COPPY'!$H$44)</f>
        <v>159</v>
      </c>
      <c r="AB74" s="9">
        <f>IF('Upto Month COPPY'!$H$48="",0,'Upto Month COPPY'!$H$48)</f>
        <v>0</v>
      </c>
      <c r="AC74" s="10">
        <f>IF('Upto Month COPPY'!$H$51="",0,'Upto Month COPPY'!$H$51)</f>
        <v>0</v>
      </c>
      <c r="AD74" s="233">
        <f t="shared" ref="AD74:AD75" si="934">SUM(C74:AC74)</f>
        <v>3751990</v>
      </c>
      <c r="AE74" s="9">
        <f>IF('Upto Month COPPY'!$H$19="",0,'Upto Month COPPY'!$H$19)</f>
        <v>4578</v>
      </c>
      <c r="AF74" s="9">
        <f>IF('Upto Month COPPY'!$H$20="",0,'Upto Month COPPY'!$H$20)</f>
        <v>743</v>
      </c>
      <c r="AG74" s="9">
        <f>IF('Upto Month COPPY'!$H$22="",0,'Upto Month COPPY'!$H$22)</f>
        <v>5344</v>
      </c>
      <c r="AH74" s="9">
        <f>IF('Upto Month COPPY'!$H$23="",0,'Upto Month COPPY'!$H$23)</f>
        <v>0</v>
      </c>
      <c r="AI74" s="9">
        <f>IF('Upto Month COPPY'!$H$24="",0,'Upto Month COPPY'!$H$24)</f>
        <v>0</v>
      </c>
      <c r="AJ74" s="9">
        <f>IF('Upto Month COPPY'!$H$25="",0,'Upto Month COPPY'!$H$25)</f>
        <v>6825</v>
      </c>
      <c r="AK74" s="9">
        <f>IF('Upto Month COPPY'!$H$28="",0,'Upto Month COPPY'!$H$28)</f>
        <v>5466</v>
      </c>
      <c r="AL74" s="9">
        <f>IF('Upto Month COPPY'!$H$29="",0,'Upto Month COPPY'!$H$29)</f>
        <v>55707</v>
      </c>
      <c r="AM74" s="9">
        <f>IF('Upto Month COPPY'!$H$31="",0,'Upto Month COPPY'!$H$31)</f>
        <v>0</v>
      </c>
      <c r="AN74" s="9">
        <f>IF('Upto Month COPPY'!$H$32="",0,'Upto Month COPPY'!$H$32)</f>
        <v>0</v>
      </c>
      <c r="AO74" s="9">
        <f>IF('Upto Month COPPY'!$H$33="",0,'Upto Month COPPY'!$H$33)</f>
        <v>200806</v>
      </c>
      <c r="AP74" s="9">
        <f>IF('Upto Month COPPY'!$H$34="",0,'Upto Month COPPY'!$H$34)</f>
        <v>6796430</v>
      </c>
      <c r="AQ74" s="10">
        <f>IF('Upto Month COPPY'!$H$36="",0,'Upto Month COPPY'!$H$36)</f>
        <v>0</v>
      </c>
      <c r="AR74" s="9">
        <f>IF('Upto Month COPPY'!$H$37="",0,'Upto Month COPPY'!$H$37)</f>
        <v>0</v>
      </c>
      <c r="AS74" s="9">
        <v>0</v>
      </c>
      <c r="AT74" s="9">
        <f>IF('Upto Month COPPY'!$H$38="",0,'Upto Month COPPY'!$H$38)</f>
        <v>0</v>
      </c>
      <c r="AU74" s="9">
        <f>IF('Upto Month COPPY'!$H$41="",0,'Upto Month COPPY'!$H$41)</f>
        <v>0</v>
      </c>
      <c r="AV74" s="9">
        <v>0</v>
      </c>
      <c r="AW74" s="9">
        <f>IF('Upto Month COPPY'!$H$45="",0,'Upto Month COPPY'!$H$45)</f>
        <v>15</v>
      </c>
      <c r="AX74" s="9">
        <f>IF('Upto Month COPPY'!$H$46="",0,'Upto Month COPPY'!$H$46)</f>
        <v>570</v>
      </c>
      <c r="AY74" s="9">
        <f>IF('Upto Month COPPY'!$H$47="",0,'Upto Month COPPY'!$H$47)</f>
        <v>0</v>
      </c>
      <c r="AZ74" s="9">
        <f>IF('Upto Month COPPY'!$H$49="",0,'Upto Month COPPY'!$H$49)</f>
        <v>0</v>
      </c>
      <c r="BA74" s="9">
        <f>IF('Upto Month COPPY'!$H$50="",0,'Upto Month COPPY'!$H$50)</f>
        <v>0</v>
      </c>
      <c r="BB74" s="10">
        <f>IF('Upto Month COPPY'!$H$52="",0,'Upto Month COPPY'!$H$52)</f>
        <v>0</v>
      </c>
      <c r="BC74" s="9">
        <f>IF('Upto Month COPPY'!$H$53="",0,'Upto Month COPPY'!$H$53)</f>
        <v>8372</v>
      </c>
      <c r="BD74" s="9">
        <f>IF('Upto Month COPPY'!$H$54="",0,'Upto Month COPPY'!$H$54)</f>
        <v>8372</v>
      </c>
      <c r="BE74" s="9">
        <f>IF('Upto Month COPPY'!$H$55="",0,'Upto Month COPPY'!$H$55)</f>
        <v>0</v>
      </c>
      <c r="BF74" s="9">
        <f>IF('Upto Month COPPY'!$H$56="",0,'Upto Month COPPY'!$H$56)</f>
        <v>8544</v>
      </c>
      <c r="BG74" s="9">
        <f>IF('Upto Month COPPY'!$H$58="",0,'Upto Month COPPY'!$H$58)</f>
        <v>2161</v>
      </c>
      <c r="BH74" s="9">
        <f>SUM(AE74:BG74)</f>
        <v>7103933</v>
      </c>
      <c r="BI74" s="226">
        <f>AD74+BH74</f>
        <v>10855923</v>
      </c>
      <c r="BJ74" s="9">
        <f>IF('Upto Month COPPY'!$H$60="",0,'Upto Month COPPY'!$H$60)</f>
        <v>42</v>
      </c>
      <c r="BK74" s="49">
        <f t="shared" ref="BK74:BK75" si="935">BI74-BJ74</f>
        <v>10855881</v>
      </c>
      <c r="BL74">
        <f>'Upto Month COPPY'!$H$61</f>
        <v>10855881</v>
      </c>
      <c r="BM74" s="30">
        <f t="shared" ref="BM74:BM78" si="936">BK74-AD74</f>
        <v>7103891</v>
      </c>
    </row>
    <row r="75" spans="1:65" ht="15.75" x14ac:dyDescent="0.25">
      <c r="A75" s="128"/>
      <c r="B75" s="182" t="s">
        <v>326</v>
      </c>
      <c r="C75" s="9">
        <f>IF('Upto Month Current'!$H$4="",0,'Upto Month Current'!$H$4)</f>
        <v>2365502</v>
      </c>
      <c r="D75" s="9">
        <f>IF('Upto Month Current'!$H$5="",0,'Upto Month Current'!$H$5)</f>
        <v>533876</v>
      </c>
      <c r="E75" s="9">
        <f>IF('Upto Month Current'!$H$6="",0,'Upto Month Current'!$H$6)</f>
        <v>138</v>
      </c>
      <c r="F75" s="9">
        <f>IF('Upto Month Current'!$H$7="",0,'Upto Month Current'!$H$7)</f>
        <v>278048</v>
      </c>
      <c r="G75" s="9">
        <f>IF('Upto Month Current'!$H$8="",0,'Upto Month Current'!$H$8)</f>
        <v>133861</v>
      </c>
      <c r="H75" s="9">
        <f>IF('Upto Month Current'!$H$9="",0,'Upto Month Current'!$H$9)</f>
        <v>0</v>
      </c>
      <c r="I75" s="9">
        <f>IF('Upto Month Current'!$H$10="",0,'Upto Month Current'!$H$10)</f>
        <v>0</v>
      </c>
      <c r="J75" s="9">
        <f>IF('Upto Month Current'!$H$11="",0,'Upto Month Current'!$H$11)</f>
        <v>267000</v>
      </c>
      <c r="K75" s="9">
        <f>IF('Upto Month Current'!$H$12="",0,'Upto Month Current'!$H$12)</f>
        <v>4011</v>
      </c>
      <c r="L75" s="9">
        <f>IF('Upto Month Current'!$H$13="",0,'Upto Month Current'!$H$13)</f>
        <v>65308</v>
      </c>
      <c r="M75" s="9">
        <f>IF('Upto Month Current'!$H$14="",0,'Upto Month Current'!$H$14)</f>
        <v>131649</v>
      </c>
      <c r="N75" s="9">
        <f>IF('Upto Month Current'!$H$15="",0,'Upto Month Current'!$H$15)</f>
        <v>162</v>
      </c>
      <c r="O75" s="9">
        <f>IF('Upto Month Current'!$H$16="",0,'Upto Month Current'!$H$16)</f>
        <v>6043</v>
      </c>
      <c r="P75" s="9">
        <f>IF('Upto Month Current'!$H$17="",0,'Upto Month Current'!$H$17)</f>
        <v>96558</v>
      </c>
      <c r="Q75" s="9">
        <f>IF('Upto Month Current'!$H$18="",0,'Upto Month Current'!$H$18)</f>
        <v>0</v>
      </c>
      <c r="R75" s="9">
        <f>IF('Upto Month Current'!$H$21="",0,'Upto Month Current'!$H$21)</f>
        <v>3109</v>
      </c>
      <c r="S75" s="9">
        <f>IF('Upto Month Current'!$H$26="",0,'Upto Month Current'!$H$26)</f>
        <v>0</v>
      </c>
      <c r="T75" s="9">
        <f>IF('Upto Month Current'!$H$27="",0,'Upto Month Current'!$H$27)</f>
        <v>0</v>
      </c>
      <c r="U75" s="9">
        <f>IF('Upto Month Current'!$H$30="",0,'Upto Month Current'!$H$30)</f>
        <v>0</v>
      </c>
      <c r="V75" s="9">
        <f>IF('Upto Month Current'!$H$35="",0,'Upto Month Current'!$H$35)</f>
        <v>0</v>
      </c>
      <c r="W75" s="9">
        <f>IF('Upto Month Current'!$H$39="",0,'Upto Month Current'!$H$39)</f>
        <v>0</v>
      </c>
      <c r="X75" s="9">
        <f>IF('Upto Month Current'!$H$40="",0,'Upto Month Current'!$H$40)</f>
        <v>0</v>
      </c>
      <c r="Y75" s="9">
        <f>IF('Upto Month Current'!$H$42="",0,'Upto Month Current'!$H$42)</f>
        <v>10256</v>
      </c>
      <c r="Z75" s="9">
        <f>IF('Upto Month Current'!$H$43="",0,'Upto Month Current'!$H$43)</f>
        <v>1363</v>
      </c>
      <c r="AA75" s="9">
        <f>IF('Upto Month Current'!$H$44="",0,'Upto Month Current'!$H$44)</f>
        <v>2957</v>
      </c>
      <c r="AB75" s="9">
        <f>IF('Upto Month Current'!$H$48="",0,'Upto Month Current'!$H$48)</f>
        <v>30</v>
      </c>
      <c r="AC75" s="10">
        <f>IF('Upto Month Current'!$H$51="",0,'Upto Month Current'!$H$51)</f>
        <v>0</v>
      </c>
      <c r="AD75" s="233">
        <f t="shared" si="934"/>
        <v>3899871</v>
      </c>
      <c r="AE75" s="9">
        <f>IF('Upto Month Current'!$H$19="",0,'Upto Month Current'!$H$19)</f>
        <v>4927</v>
      </c>
      <c r="AF75" s="9">
        <f>IF('Upto Month Current'!$H$20="",0,'Upto Month Current'!$H$20)</f>
        <v>1010</v>
      </c>
      <c r="AG75" s="9">
        <f>IF('Upto Month Current'!$H$22="",0,'Upto Month Current'!$H$22)</f>
        <v>5900</v>
      </c>
      <c r="AH75" s="9">
        <f>IF('Upto Month Current'!$H$23="",0,'Upto Month Current'!$H$23)</f>
        <v>0</v>
      </c>
      <c r="AI75" s="9">
        <f>IF('Upto Month Current'!$H$24="",0,'Upto Month Current'!$H$24)</f>
        <v>0</v>
      </c>
      <c r="AJ75" s="9">
        <f>IF('Upto Month Current'!$H$25="",0,'Upto Month Current'!$H$25)</f>
        <v>6961</v>
      </c>
      <c r="AK75" s="9">
        <f>IF('Upto Month Current'!$H$28="",0,'Upto Month Current'!$H$28)</f>
        <v>8377</v>
      </c>
      <c r="AL75" s="9">
        <f>IF('Upto Month Current'!$H$29="",0,'Upto Month Current'!$H$29)</f>
        <v>7415</v>
      </c>
      <c r="AM75" s="9">
        <f>IF('Upto Month Current'!$H$31="",0,'Upto Month Current'!$H$31)</f>
        <v>0</v>
      </c>
      <c r="AN75" s="9">
        <f>IF('Upto Month Current'!$H$32="",0,'Upto Month Current'!$H$32)</f>
        <v>0</v>
      </c>
      <c r="AO75" s="9">
        <f>IF('Upto Month Current'!$H$33="",0,'Upto Month Current'!$H$33)</f>
        <v>153234</v>
      </c>
      <c r="AP75" s="9">
        <f>IF('Upto Month Current'!$H$34="",0,'Upto Month Current'!$H$34)</f>
        <v>6986353</v>
      </c>
      <c r="AQ75" s="10">
        <f>IF('Upto Month Current'!$H$36="",0,'Upto Month Current'!$H$36)</f>
        <v>0</v>
      </c>
      <c r="AR75" s="9">
        <f>IF('Upto Month Current'!$H$37="",0,'Upto Month Current'!$H$37)</f>
        <v>0</v>
      </c>
      <c r="AS75" s="9">
        <v>0</v>
      </c>
      <c r="AT75" s="9">
        <f>IF('Upto Month Current'!$H$38="",0,'Upto Month Current'!$H$38)</f>
        <v>0</v>
      </c>
      <c r="AU75" s="9">
        <f>IF('Upto Month Current'!$H$41="",0,'Upto Month Current'!$H$41)</f>
        <v>0</v>
      </c>
      <c r="AV75" s="9">
        <v>0</v>
      </c>
      <c r="AW75" s="9">
        <f>IF('Upto Month Current'!$H$45="",0,'Upto Month Current'!$H$45)</f>
        <v>59</v>
      </c>
      <c r="AX75" s="9">
        <f>IF('Upto Month Current'!$H$46="",0,'Upto Month Current'!$H$46)</f>
        <v>1762</v>
      </c>
      <c r="AY75" s="9">
        <f>IF('Upto Month Current'!$H$47="",0,'Upto Month Current'!$H$47)</f>
        <v>0</v>
      </c>
      <c r="AZ75" s="9">
        <f>IF('Upto Month Current'!$H$49="",0,'Upto Month Current'!$H$49)</f>
        <v>0</v>
      </c>
      <c r="BA75" s="9">
        <f>IF('Upto Month Current'!$H$50="",0,'Upto Month Current'!$H$50)</f>
        <v>0</v>
      </c>
      <c r="BB75" s="10">
        <f>IF('Upto Month Current'!$H$52="",0,'Upto Month Current'!$H$52)</f>
        <v>0</v>
      </c>
      <c r="BC75" s="9">
        <f>IF('Upto Month Current'!$H$53="",0,'Upto Month Current'!$H$53)</f>
        <v>8587</v>
      </c>
      <c r="BD75" s="9">
        <f>IF('Upto Month Current'!$H$54="",0,'Upto Month Current'!$H$54)</f>
        <v>8587</v>
      </c>
      <c r="BE75" s="9">
        <f>IF('Upto Month Current'!$H$55="",0,'Upto Month Current'!$H$55)</f>
        <v>0</v>
      </c>
      <c r="BF75" s="9">
        <f>IF('Upto Month Current'!$H$56="",0,'Upto Month Current'!$H$56)</f>
        <v>5008</v>
      </c>
      <c r="BG75" s="9">
        <f>IF('Upto Month Current'!$H$58="",0,'Upto Month Current'!$H$58)</f>
        <v>2762</v>
      </c>
      <c r="BH75" s="9">
        <f>SUM(AE75:BG75)</f>
        <v>7200942</v>
      </c>
      <c r="BI75" s="226">
        <f>AD75+BH75</f>
        <v>11100813</v>
      </c>
      <c r="BJ75" s="9">
        <f>IF('Upto Month Current'!$H$60="",0,'Upto Month Current'!$H$60)</f>
        <v>47</v>
      </c>
      <c r="BK75" s="49">
        <f t="shared" si="935"/>
        <v>11100766</v>
      </c>
      <c r="BL75">
        <f>'Upto Month Current'!$H$61</f>
        <v>11100766</v>
      </c>
      <c r="BM75" s="30">
        <f t="shared" si="936"/>
        <v>7200895</v>
      </c>
    </row>
    <row r="76" spans="1:65" ht="15.75" x14ac:dyDescent="0.25">
      <c r="A76" s="128"/>
      <c r="B76" s="5" t="s">
        <v>132</v>
      </c>
      <c r="C76" s="11">
        <f>C75-C73</f>
        <v>-228430</v>
      </c>
      <c r="D76" s="11">
        <f t="shared" ref="D76" si="937">D75-D73</f>
        <v>-97772</v>
      </c>
      <c r="E76" s="11">
        <f t="shared" ref="E76" si="938">E75-E73</f>
        <v>138</v>
      </c>
      <c r="F76" s="11">
        <f t="shared" ref="F76" si="939">F75-F73</f>
        <v>-20846</v>
      </c>
      <c r="G76" s="11">
        <f t="shared" ref="G76" si="940">G75-G73</f>
        <v>-16841</v>
      </c>
      <c r="H76" s="11">
        <f t="shared" ref="H76" si="941">H75-H73</f>
        <v>0</v>
      </c>
      <c r="I76" s="11">
        <f t="shared" ref="I76" si="942">I75-I73</f>
        <v>0</v>
      </c>
      <c r="J76" s="11">
        <f t="shared" ref="J76" si="943">J75-J73</f>
        <v>24685</v>
      </c>
      <c r="K76" s="11">
        <f t="shared" ref="K76" si="944">K75-K73</f>
        <v>-23061</v>
      </c>
      <c r="L76" s="11">
        <f t="shared" ref="L76" si="945">L75-L73</f>
        <v>-23648</v>
      </c>
      <c r="M76" s="11">
        <f t="shared" ref="M76" si="946">M75-M73</f>
        <v>29086</v>
      </c>
      <c r="N76" s="11">
        <f t="shared" ref="N76" si="947">N75-N73</f>
        <v>-334</v>
      </c>
      <c r="O76" s="11">
        <f t="shared" ref="O76" si="948">O75-O73</f>
        <v>-475</v>
      </c>
      <c r="P76" s="11">
        <f t="shared" ref="P76" si="949">P75-P73</f>
        <v>20652</v>
      </c>
      <c r="Q76" s="11">
        <f t="shared" ref="Q76" si="950">Q75-Q73</f>
        <v>0</v>
      </c>
      <c r="R76" s="11">
        <f t="shared" ref="R76" si="951">R75-R73</f>
        <v>-1771</v>
      </c>
      <c r="S76" s="11">
        <f t="shared" ref="S76" si="952">S75-S73</f>
        <v>0</v>
      </c>
      <c r="T76" s="11">
        <f t="shared" ref="T76:U76" si="953">T75-T73</f>
        <v>0</v>
      </c>
      <c r="U76" s="11">
        <f t="shared" si="953"/>
        <v>0</v>
      </c>
      <c r="V76" s="9">
        <f t="shared" ref="V76" si="954">V75-V73</f>
        <v>0</v>
      </c>
      <c r="W76" s="11">
        <f t="shared" ref="W76" si="955">W75-W73</f>
        <v>0</v>
      </c>
      <c r="X76" s="11">
        <f t="shared" ref="X76" si="956">X75-X73</f>
        <v>0</v>
      </c>
      <c r="Y76" s="11">
        <f t="shared" ref="Y76" si="957">Y75-Y73</f>
        <v>9239</v>
      </c>
      <c r="Z76" s="11">
        <f t="shared" ref="Z76" si="958">Z75-Z73</f>
        <v>1083</v>
      </c>
      <c r="AA76" s="11">
        <f t="shared" ref="AA76:AD76" si="959">AA75-AA73</f>
        <v>2732</v>
      </c>
      <c r="AB76" s="11">
        <f t="shared" ref="AB76" si="960">AB75-AB73</f>
        <v>-4699</v>
      </c>
      <c r="AC76" s="10">
        <f t="shared" si="959"/>
        <v>0</v>
      </c>
      <c r="AD76" s="227">
        <f t="shared" si="959"/>
        <v>-330262</v>
      </c>
      <c r="AE76" s="11">
        <f t="shared" ref="AE76" si="961">AE75-AE73</f>
        <v>412</v>
      </c>
      <c r="AF76" s="11">
        <f t="shared" ref="AF76" si="962">AF75-AF73</f>
        <v>731</v>
      </c>
      <c r="AG76" s="11">
        <f t="shared" ref="AG76" si="963">AG75-AG73</f>
        <v>3233</v>
      </c>
      <c r="AH76" s="11">
        <f t="shared" ref="AH76" si="964">AH75-AH73</f>
        <v>0</v>
      </c>
      <c r="AI76" s="11">
        <f t="shared" ref="AI76" si="965">AI75-AI73</f>
        <v>0</v>
      </c>
      <c r="AJ76" s="11">
        <f t="shared" ref="AJ76" si="966">AJ75-AJ73</f>
        <v>619</v>
      </c>
      <c r="AK76" s="11">
        <f t="shared" ref="AK76" si="967">AK75-AK73</f>
        <v>-3194</v>
      </c>
      <c r="AL76" s="11">
        <f t="shared" ref="AL76" si="968">AL75-AL73</f>
        <v>-17657</v>
      </c>
      <c r="AM76" s="11" t="e">
        <f t="shared" ref="AM76" si="969">AM75-AM73</f>
        <v>#VALUE!</v>
      </c>
      <c r="AN76" s="11">
        <f t="shared" ref="AN76" si="970">AN75-AN73</f>
        <v>-150</v>
      </c>
      <c r="AO76" s="9">
        <f t="shared" ref="AO76" si="971">AO75-AO73</f>
        <v>-20039</v>
      </c>
      <c r="AP76" s="11">
        <f t="shared" ref="AP76" si="972">AP75-AP73</f>
        <v>-210093</v>
      </c>
      <c r="AQ76" s="10">
        <f t="shared" ref="AQ76" si="973">AQ75-AQ73</f>
        <v>0</v>
      </c>
      <c r="AR76" s="11">
        <f t="shared" ref="AR76" si="974">AR75-AR73</f>
        <v>0</v>
      </c>
      <c r="AS76" s="11">
        <f t="shared" ref="AS76" si="975">AS75-AS73</f>
        <v>0</v>
      </c>
      <c r="AT76" s="11">
        <f t="shared" ref="AT76" si="976">AT75-AT73</f>
        <v>0</v>
      </c>
      <c r="AU76" s="11">
        <f t="shared" ref="AU76" si="977">AU75-AU73</f>
        <v>0</v>
      </c>
      <c r="AV76" s="11">
        <f t="shared" ref="AV76" si="978">AV75-AV73</f>
        <v>0</v>
      </c>
      <c r="AW76" s="11">
        <f t="shared" ref="AW76" si="979">AW75-AW73</f>
        <v>-205</v>
      </c>
      <c r="AX76" s="11">
        <f t="shared" ref="AX76" si="980">AX75-AX73</f>
        <v>600</v>
      </c>
      <c r="AY76" s="11">
        <f t="shared" ref="AY76" si="981">AY75-AY73</f>
        <v>-22</v>
      </c>
      <c r="AZ76" s="11">
        <f t="shared" ref="AZ76" si="982">AZ75-AZ73</f>
        <v>0</v>
      </c>
      <c r="BA76" s="11">
        <f t="shared" ref="BA76" si="983">BA75-BA73</f>
        <v>0</v>
      </c>
      <c r="BB76" s="10">
        <f t="shared" ref="BB76" si="984">BB75-BB73</f>
        <v>0</v>
      </c>
      <c r="BC76" s="11">
        <f t="shared" ref="BC76" si="985">BC75-BC73</f>
        <v>740</v>
      </c>
      <c r="BD76" s="11">
        <f t="shared" ref="BD76" si="986">BD75-BD73</f>
        <v>740</v>
      </c>
      <c r="BE76" s="11">
        <f t="shared" ref="BE76" si="987">BE75-BE73</f>
        <v>0</v>
      </c>
      <c r="BF76" s="11">
        <f t="shared" ref="BF76" si="988">BF75-BF73</f>
        <v>-5320</v>
      </c>
      <c r="BG76" s="11">
        <f t="shared" ref="BG76:BH76" si="989">BG75-BG73</f>
        <v>1611</v>
      </c>
      <c r="BH76" s="9">
        <f t="shared" si="989"/>
        <v>-247994</v>
      </c>
      <c r="BI76" s="227">
        <f t="shared" ref="BI76" si="990">BI75-BI73</f>
        <v>-578256</v>
      </c>
      <c r="BJ76" s="11">
        <f t="shared" ref="BJ76:BK76" si="991">BJ75-BJ73</f>
        <v>47</v>
      </c>
      <c r="BK76" s="49">
        <f t="shared" si="991"/>
        <v>-578303</v>
      </c>
      <c r="BM76" s="30">
        <f t="shared" si="936"/>
        <v>-248041</v>
      </c>
    </row>
    <row r="77" spans="1:65" ht="15.75" x14ac:dyDescent="0.25">
      <c r="A77" s="128"/>
      <c r="B77" s="5" t="s">
        <v>133</v>
      </c>
      <c r="C77" s="13">
        <f>C76/C73</f>
        <v>-8.8063218311042843E-2</v>
      </c>
      <c r="D77" s="13">
        <f t="shared" ref="D77" si="992">D76/D73</f>
        <v>-0.15478874309742136</v>
      </c>
      <c r="E77" s="13" t="e">
        <f t="shared" ref="E77" si="993">E76/E73</f>
        <v>#DIV/0!</v>
      </c>
      <c r="F77" s="13">
        <f t="shared" ref="F77" si="994">F76/F73</f>
        <v>-6.974378876792442E-2</v>
      </c>
      <c r="G77" s="13">
        <f t="shared" ref="G77" si="995">G76/G73</f>
        <v>-0.11175034173401813</v>
      </c>
      <c r="H77" s="13" t="e">
        <f t="shared" ref="H77" si="996">H76/H73</f>
        <v>#DIV/0!</v>
      </c>
      <c r="I77" s="13" t="e">
        <f t="shared" ref="I77" si="997">I76/I73</f>
        <v>#DIV/0!</v>
      </c>
      <c r="J77" s="13">
        <f t="shared" ref="J77" si="998">J76/J73</f>
        <v>0.10187153085859316</v>
      </c>
      <c r="K77" s="13">
        <f t="shared" ref="K77" si="999">K76/K73</f>
        <v>-0.85183953900709219</v>
      </c>
      <c r="L77" s="13">
        <f t="shared" ref="L77" si="1000">L76/L73</f>
        <v>-0.26583929133504203</v>
      </c>
      <c r="M77" s="13">
        <f t="shared" ref="M77" si="1001">M76/M73</f>
        <v>0.28359154860914754</v>
      </c>
      <c r="N77" s="13">
        <f t="shared" ref="N77" si="1002">N76/N73</f>
        <v>-0.67338709677419351</v>
      </c>
      <c r="O77" s="13">
        <f t="shared" ref="O77" si="1003">O76/O73</f>
        <v>-7.2875115065971163E-2</v>
      </c>
      <c r="P77" s="13">
        <f t="shared" ref="P77" si="1004">P76/P73</f>
        <v>0.27207335388506837</v>
      </c>
      <c r="Q77" s="13" t="e">
        <f t="shared" ref="Q77" si="1005">Q76/Q73</f>
        <v>#DIV/0!</v>
      </c>
      <c r="R77" s="13">
        <f t="shared" ref="R77" si="1006">R76/R73</f>
        <v>-0.36290983606557375</v>
      </c>
      <c r="S77" s="13" t="e">
        <f t="shared" ref="S77" si="1007">S76/S73</f>
        <v>#DIV/0!</v>
      </c>
      <c r="T77" s="13" t="e">
        <f t="shared" ref="T77:U77" si="1008">T76/T73</f>
        <v>#DIV/0!</v>
      </c>
      <c r="U77" s="13" t="e">
        <f t="shared" si="1008"/>
        <v>#DIV/0!</v>
      </c>
      <c r="V77" s="162" t="e">
        <f t="shared" ref="V77" si="1009">V76/V73</f>
        <v>#DIV/0!</v>
      </c>
      <c r="W77" s="13" t="e">
        <f t="shared" ref="W77" si="1010">W76/W73</f>
        <v>#DIV/0!</v>
      </c>
      <c r="X77" s="13" t="e">
        <f t="shared" ref="X77" si="1011">X76/X73</f>
        <v>#DIV/0!</v>
      </c>
      <c r="Y77" s="13">
        <f t="shared" ref="Y77" si="1012">Y76/Y73</f>
        <v>9.0845624385447401</v>
      </c>
      <c r="Z77" s="13">
        <f t="shared" ref="Z77" si="1013">Z76/Z73</f>
        <v>3.8678571428571429</v>
      </c>
      <c r="AA77" s="13">
        <f t="shared" ref="AA77:AD77" si="1014">AA76/AA73</f>
        <v>12.142222222222221</v>
      </c>
      <c r="AB77" s="13">
        <f t="shared" ref="AB77" si="1015">AB76/AB73</f>
        <v>-0.99365616409388879</v>
      </c>
      <c r="AC77" s="14" t="e">
        <f t="shared" si="1014"/>
        <v>#DIV/0!</v>
      </c>
      <c r="AD77" s="228">
        <f t="shared" si="1014"/>
        <v>-7.8073668132893223E-2</v>
      </c>
      <c r="AE77" s="13">
        <f t="shared" ref="AE77" si="1016">AE76/AE73</f>
        <v>9.1251384274640093E-2</v>
      </c>
      <c r="AF77" s="13">
        <f t="shared" ref="AF77" si="1017">AF76/AF73</f>
        <v>2.6200716845878138</v>
      </c>
      <c r="AG77" s="13">
        <f t="shared" ref="AG77" si="1018">AG76/AG73</f>
        <v>1.2122234720659917</v>
      </c>
      <c r="AH77" s="13" t="e">
        <f t="shared" ref="AH77" si="1019">AH76/AH73</f>
        <v>#DIV/0!</v>
      </c>
      <c r="AI77" s="13" t="e">
        <f t="shared" ref="AI77" si="1020">AI76/AI73</f>
        <v>#DIV/0!</v>
      </c>
      <c r="AJ77" s="13">
        <f t="shared" ref="AJ77" si="1021">AJ76/AJ73</f>
        <v>9.7603279722485017E-2</v>
      </c>
      <c r="AK77" s="13">
        <f t="shared" ref="AK77" si="1022">AK76/AK73</f>
        <v>-0.27603491487339038</v>
      </c>
      <c r="AL77" s="13">
        <f t="shared" ref="AL77" si="1023">AL76/AL73</f>
        <v>-0.7042517549457562</v>
      </c>
      <c r="AM77" s="13" t="e">
        <f t="shared" ref="AM77" si="1024">AM76/AM73</f>
        <v>#VALUE!</v>
      </c>
      <c r="AN77" s="13">
        <f t="shared" ref="AN77" si="1025">AN76/AN73</f>
        <v>-1</v>
      </c>
      <c r="AO77" s="162">
        <f t="shared" ref="AO77" si="1026">AO76/AO73</f>
        <v>-0.11564987043567088</v>
      </c>
      <c r="AP77" s="13">
        <f t="shared" ref="AP77" si="1027">AP76/AP73</f>
        <v>-2.9193993813057168E-2</v>
      </c>
      <c r="AQ77" s="14" t="e">
        <f t="shared" ref="AQ77" si="1028">AQ76/AQ73</f>
        <v>#DIV/0!</v>
      </c>
      <c r="AR77" s="13" t="e">
        <f t="shared" ref="AR77" si="1029">AR76/AR73</f>
        <v>#DIV/0!</v>
      </c>
      <c r="AS77" s="13" t="e">
        <f t="shared" ref="AS77" si="1030">AS76/AS73</f>
        <v>#DIV/0!</v>
      </c>
      <c r="AT77" s="13" t="e">
        <f t="shared" ref="AT77" si="1031">AT76/AT73</f>
        <v>#DIV/0!</v>
      </c>
      <c r="AU77" s="13" t="e">
        <f t="shared" ref="AU77" si="1032">AU76/AU73</f>
        <v>#DIV/0!</v>
      </c>
      <c r="AV77" s="13" t="e">
        <f t="shared" ref="AV77" si="1033">AV76/AV73</f>
        <v>#DIV/0!</v>
      </c>
      <c r="AW77" s="13">
        <f t="shared" ref="AW77" si="1034">AW76/AW73</f>
        <v>-0.77651515151515149</v>
      </c>
      <c r="AX77" s="13">
        <f t="shared" ref="AX77" si="1035">AX76/AX73</f>
        <v>0.51635111876075734</v>
      </c>
      <c r="AY77" s="13">
        <f t="shared" ref="AY77" si="1036">AY76/AY73</f>
        <v>-1</v>
      </c>
      <c r="AZ77" s="13" t="e">
        <f t="shared" ref="AZ77" si="1037">AZ76/AZ73</f>
        <v>#DIV/0!</v>
      </c>
      <c r="BA77" s="13" t="e">
        <f t="shared" ref="BA77" si="1038">BA76/BA73</f>
        <v>#DIV/0!</v>
      </c>
      <c r="BB77" s="14" t="e">
        <f t="shared" ref="BB77" si="1039">BB76/BB73</f>
        <v>#DIV/0!</v>
      </c>
      <c r="BC77" s="13">
        <f t="shared" ref="BC77" si="1040">BC76/BC73</f>
        <v>9.430355549891678E-2</v>
      </c>
      <c r="BD77" s="13">
        <f t="shared" ref="BD77" si="1041">BD76/BD73</f>
        <v>9.430355549891678E-2</v>
      </c>
      <c r="BE77" s="13" t="e">
        <f t="shared" ref="BE77" si="1042">BE76/BE73</f>
        <v>#DIV/0!</v>
      </c>
      <c r="BF77" s="13">
        <f t="shared" ref="BF77" si="1043">BF76/BF73</f>
        <v>-0.5151045701006971</v>
      </c>
      <c r="BG77" s="13">
        <f t="shared" ref="BG77:BH77" si="1044">BG76/BG73</f>
        <v>1.3996524761077325</v>
      </c>
      <c r="BH77" s="162">
        <f t="shared" si="1044"/>
        <v>-3.3292540035247987E-2</v>
      </c>
      <c r="BI77" s="228">
        <f t="shared" ref="BI77" si="1045">BI76/BI73</f>
        <v>-4.9512165738553306E-2</v>
      </c>
      <c r="BJ77" s="13" t="e">
        <f t="shared" ref="BJ77:BK77" si="1046">BJ76/BJ73</f>
        <v>#DIV/0!</v>
      </c>
      <c r="BK77" s="50">
        <f t="shared" si="1046"/>
        <v>-4.9516190031928059E-2</v>
      </c>
      <c r="BM77" s="162" t="e">
        <f t="shared" ref="BM77" si="1047">BM76/BM73</f>
        <v>#DIV/0!</v>
      </c>
    </row>
    <row r="78" spans="1:65" ht="15.75" x14ac:dyDescent="0.25">
      <c r="A78" s="128"/>
      <c r="B78" s="5" t="s">
        <v>134</v>
      </c>
      <c r="C78" s="11">
        <f>C75-C74</f>
        <v>-34125</v>
      </c>
      <c r="D78" s="11">
        <f t="shared" ref="D78:BK78" si="1048">D75-D74</f>
        <v>104243</v>
      </c>
      <c r="E78" s="11">
        <f t="shared" si="1048"/>
        <v>-1775</v>
      </c>
      <c r="F78" s="11">
        <f t="shared" si="1048"/>
        <v>17043</v>
      </c>
      <c r="G78" s="11">
        <f t="shared" si="1048"/>
        <v>3308</v>
      </c>
      <c r="H78" s="11">
        <f t="shared" si="1048"/>
        <v>0</v>
      </c>
      <c r="I78" s="11">
        <f t="shared" si="1048"/>
        <v>0</v>
      </c>
      <c r="J78" s="11">
        <f t="shared" si="1048"/>
        <v>43729</v>
      </c>
      <c r="K78" s="11">
        <f t="shared" si="1048"/>
        <v>-7633</v>
      </c>
      <c r="L78" s="11">
        <f t="shared" si="1048"/>
        <v>-28829</v>
      </c>
      <c r="M78" s="11">
        <f t="shared" si="1048"/>
        <v>10349</v>
      </c>
      <c r="N78" s="11">
        <f t="shared" si="1048"/>
        <v>115</v>
      </c>
      <c r="O78" s="11">
        <f t="shared" si="1048"/>
        <v>1165</v>
      </c>
      <c r="P78" s="11">
        <f t="shared" si="1048"/>
        <v>25486</v>
      </c>
      <c r="Q78" s="11">
        <f t="shared" si="1048"/>
        <v>0</v>
      </c>
      <c r="R78" s="11">
        <f t="shared" si="1048"/>
        <v>1458</v>
      </c>
      <c r="S78" s="11">
        <f t="shared" si="1048"/>
        <v>0</v>
      </c>
      <c r="T78" s="11">
        <f t="shared" si="1048"/>
        <v>0</v>
      </c>
      <c r="U78" s="11">
        <f t="shared" ref="U78" si="1049">U75-U74</f>
        <v>0</v>
      </c>
      <c r="V78" s="9">
        <f t="shared" si="1048"/>
        <v>0</v>
      </c>
      <c r="W78" s="11">
        <f t="shared" si="1048"/>
        <v>0</v>
      </c>
      <c r="X78" s="11">
        <f t="shared" si="1048"/>
        <v>0</v>
      </c>
      <c r="Y78" s="11">
        <f t="shared" si="1048"/>
        <v>9333</v>
      </c>
      <c r="Z78" s="11">
        <f t="shared" si="1048"/>
        <v>1186</v>
      </c>
      <c r="AA78" s="11">
        <f t="shared" si="1048"/>
        <v>2798</v>
      </c>
      <c r="AB78" s="11">
        <f t="shared" ref="AB78" si="1050">AB75-AB74</f>
        <v>30</v>
      </c>
      <c r="AC78" s="10">
        <f t="shared" ref="AC78:AD78" si="1051">AC75-AC74</f>
        <v>0</v>
      </c>
      <c r="AD78" s="227">
        <f t="shared" si="1051"/>
        <v>147881</v>
      </c>
      <c r="AE78" s="11">
        <f t="shared" si="1048"/>
        <v>349</v>
      </c>
      <c r="AF78" s="11">
        <f t="shared" si="1048"/>
        <v>267</v>
      </c>
      <c r="AG78" s="11">
        <f t="shared" si="1048"/>
        <v>556</v>
      </c>
      <c r="AH78" s="11">
        <f t="shared" si="1048"/>
        <v>0</v>
      </c>
      <c r="AI78" s="11">
        <f t="shared" si="1048"/>
        <v>0</v>
      </c>
      <c r="AJ78" s="11">
        <f t="shared" si="1048"/>
        <v>136</v>
      </c>
      <c r="AK78" s="11">
        <f t="shared" si="1048"/>
        <v>2911</v>
      </c>
      <c r="AL78" s="11">
        <f t="shared" si="1048"/>
        <v>-48292</v>
      </c>
      <c r="AM78" s="11">
        <f t="shared" si="1048"/>
        <v>0</v>
      </c>
      <c r="AN78" s="11">
        <f t="shared" si="1048"/>
        <v>0</v>
      </c>
      <c r="AO78" s="9">
        <f t="shared" si="1048"/>
        <v>-47572</v>
      </c>
      <c r="AP78" s="11">
        <f t="shared" si="1048"/>
        <v>189923</v>
      </c>
      <c r="AQ78" s="10">
        <f t="shared" si="1048"/>
        <v>0</v>
      </c>
      <c r="AR78" s="11">
        <f t="shared" si="1048"/>
        <v>0</v>
      </c>
      <c r="AS78" s="11">
        <f t="shared" si="1048"/>
        <v>0</v>
      </c>
      <c r="AT78" s="11">
        <f t="shared" si="1048"/>
        <v>0</v>
      </c>
      <c r="AU78" s="11">
        <f t="shared" si="1048"/>
        <v>0</v>
      </c>
      <c r="AV78" s="11">
        <f t="shared" si="1048"/>
        <v>0</v>
      </c>
      <c r="AW78" s="11">
        <f t="shared" si="1048"/>
        <v>44</v>
      </c>
      <c r="AX78" s="11">
        <f t="shared" si="1048"/>
        <v>1192</v>
      </c>
      <c r="AY78" s="11">
        <f t="shared" si="1048"/>
        <v>0</v>
      </c>
      <c r="AZ78" s="11">
        <f t="shared" si="1048"/>
        <v>0</v>
      </c>
      <c r="BA78" s="11">
        <f t="shared" si="1048"/>
        <v>0</v>
      </c>
      <c r="BB78" s="10">
        <f t="shared" si="1048"/>
        <v>0</v>
      </c>
      <c r="BC78" s="11">
        <f t="shared" si="1048"/>
        <v>215</v>
      </c>
      <c r="BD78" s="11">
        <f t="shared" si="1048"/>
        <v>215</v>
      </c>
      <c r="BE78" s="11">
        <f t="shared" si="1048"/>
        <v>0</v>
      </c>
      <c r="BF78" s="11">
        <f t="shared" si="1048"/>
        <v>-3536</v>
      </c>
      <c r="BG78" s="11">
        <f t="shared" si="1048"/>
        <v>601</v>
      </c>
      <c r="BH78" s="9">
        <f t="shared" si="1048"/>
        <v>97009</v>
      </c>
      <c r="BI78" s="227">
        <f t="shared" si="1048"/>
        <v>244890</v>
      </c>
      <c r="BJ78" s="11">
        <f t="shared" si="1048"/>
        <v>5</v>
      </c>
      <c r="BK78" s="49">
        <f t="shared" si="1048"/>
        <v>244885</v>
      </c>
      <c r="BM78" s="30">
        <f t="shared" si="936"/>
        <v>97004</v>
      </c>
    </row>
    <row r="79" spans="1:65" ht="15.75" x14ac:dyDescent="0.25">
      <c r="A79" s="128"/>
      <c r="B79" s="5" t="s">
        <v>135</v>
      </c>
      <c r="C79" s="13">
        <f>C78/C74</f>
        <v>-1.4220960174227078E-2</v>
      </c>
      <c r="D79" s="13">
        <f t="shared" ref="D79" si="1052">D78/D74</f>
        <v>0.24263266555408919</v>
      </c>
      <c r="E79" s="13">
        <f t="shared" ref="E79" si="1053">E78/E74</f>
        <v>-0.92786199686356507</v>
      </c>
      <c r="F79" s="13">
        <f t="shared" ref="F79" si="1054">F78/F74</f>
        <v>6.529759966284171E-2</v>
      </c>
      <c r="G79" s="13">
        <f t="shared" ref="G79" si="1055">G78/G74</f>
        <v>2.5338368325507649E-2</v>
      </c>
      <c r="H79" s="13" t="e">
        <f t="shared" ref="H79" si="1056">H78/H74</f>
        <v>#DIV/0!</v>
      </c>
      <c r="I79" s="13" t="e">
        <f t="shared" ref="I79" si="1057">I78/I74</f>
        <v>#DIV/0!</v>
      </c>
      <c r="J79" s="13">
        <f t="shared" ref="J79" si="1058">J78/J74</f>
        <v>0.19585615686766306</v>
      </c>
      <c r="K79" s="13">
        <f t="shared" ref="K79" si="1059">K78/K74</f>
        <v>-0.65553074544829959</v>
      </c>
      <c r="L79" s="13">
        <f t="shared" ref="L79" si="1060">L78/L74</f>
        <v>-0.30624515334034441</v>
      </c>
      <c r="M79" s="13">
        <f t="shared" ref="M79" si="1061">M78/M74</f>
        <v>8.5317394888705683E-2</v>
      </c>
      <c r="N79" s="13">
        <f t="shared" ref="N79" si="1062">N78/N74</f>
        <v>2.4468085106382977</v>
      </c>
      <c r="O79" s="13">
        <f t="shared" ref="O79" si="1063">O78/O74</f>
        <v>0.23882738827388275</v>
      </c>
      <c r="P79" s="13">
        <f t="shared" ref="P79" si="1064">P78/P74</f>
        <v>0.35859410175596579</v>
      </c>
      <c r="Q79" s="13" t="e">
        <f t="shared" ref="Q79" si="1065">Q78/Q74</f>
        <v>#DIV/0!</v>
      </c>
      <c r="R79" s="13">
        <f t="shared" ref="R79" si="1066">R78/R74</f>
        <v>0.88310115081768625</v>
      </c>
      <c r="S79" s="13" t="e">
        <f t="shared" ref="S79" si="1067">S78/S74</f>
        <v>#DIV/0!</v>
      </c>
      <c r="T79" s="13" t="e">
        <f t="shared" ref="T79:U79" si="1068">T78/T74</f>
        <v>#DIV/0!</v>
      </c>
      <c r="U79" s="13" t="e">
        <f t="shared" si="1068"/>
        <v>#DIV/0!</v>
      </c>
      <c r="V79" s="162" t="e">
        <f t="shared" ref="V79" si="1069">V78/V74</f>
        <v>#DIV/0!</v>
      </c>
      <c r="W79" s="13" t="e">
        <f t="shared" ref="W79" si="1070">W78/W74</f>
        <v>#DIV/0!</v>
      </c>
      <c r="X79" s="13" t="e">
        <f t="shared" ref="X79" si="1071">X78/X74</f>
        <v>#DIV/0!</v>
      </c>
      <c r="Y79" s="13">
        <f t="shared" ref="Y79" si="1072">Y78/Y74</f>
        <v>10.111592632719393</v>
      </c>
      <c r="Z79" s="13">
        <f t="shared" ref="Z79" si="1073">Z78/Z74</f>
        <v>6.7005649717514126</v>
      </c>
      <c r="AA79" s="13">
        <f t="shared" ref="AA79:AD79" si="1074">AA78/AA74</f>
        <v>17.59748427672956</v>
      </c>
      <c r="AB79" s="13" t="e">
        <f t="shared" ref="AB79" si="1075">AB78/AB74</f>
        <v>#DIV/0!</v>
      </c>
      <c r="AC79" s="14" t="e">
        <f t="shared" si="1074"/>
        <v>#DIV/0!</v>
      </c>
      <c r="AD79" s="228">
        <f t="shared" si="1074"/>
        <v>3.9414017627978755E-2</v>
      </c>
      <c r="AE79" s="13">
        <f t="shared" ref="AE79" si="1076">AE78/AE74</f>
        <v>7.6234163390126689E-2</v>
      </c>
      <c r="AF79" s="13">
        <f t="shared" ref="AF79" si="1077">AF78/AF74</f>
        <v>0.35935397039030953</v>
      </c>
      <c r="AG79" s="13">
        <f t="shared" ref="AG79" si="1078">AG78/AG74</f>
        <v>0.10404191616766467</v>
      </c>
      <c r="AH79" s="13" t="e">
        <f t="shared" ref="AH79" si="1079">AH78/AH74</f>
        <v>#DIV/0!</v>
      </c>
      <c r="AI79" s="13" t="e">
        <f t="shared" ref="AI79" si="1080">AI78/AI74</f>
        <v>#DIV/0!</v>
      </c>
      <c r="AJ79" s="13">
        <f t="shared" ref="AJ79" si="1081">AJ78/AJ74</f>
        <v>1.9926739926739927E-2</v>
      </c>
      <c r="AK79" s="13">
        <f t="shared" ref="AK79" si="1082">AK78/AK74</f>
        <v>0.53256494694474932</v>
      </c>
      <c r="AL79" s="13">
        <f t="shared" ref="AL79" si="1083">AL78/AL74</f>
        <v>-0.86689285009065287</v>
      </c>
      <c r="AM79" s="13" t="e">
        <f t="shared" ref="AM79" si="1084">AM78/AM74</f>
        <v>#DIV/0!</v>
      </c>
      <c r="AN79" s="13" t="e">
        <f t="shared" ref="AN79" si="1085">AN78/AN74</f>
        <v>#DIV/0!</v>
      </c>
      <c r="AO79" s="162">
        <f t="shared" ref="AO79" si="1086">AO78/AO74</f>
        <v>-0.23690527175482803</v>
      </c>
      <c r="AP79" s="13">
        <f t="shared" ref="AP79" si="1087">AP78/AP74</f>
        <v>2.7944523816179966E-2</v>
      </c>
      <c r="AQ79" s="14" t="e">
        <f t="shared" ref="AQ79" si="1088">AQ78/AQ74</f>
        <v>#DIV/0!</v>
      </c>
      <c r="AR79" s="13" t="e">
        <f t="shared" ref="AR79" si="1089">AR78/AR74</f>
        <v>#DIV/0!</v>
      </c>
      <c r="AS79" s="13" t="e">
        <f t="shared" ref="AS79" si="1090">AS78/AS74</f>
        <v>#DIV/0!</v>
      </c>
      <c r="AT79" s="13" t="e">
        <f t="shared" ref="AT79" si="1091">AT78/AT74</f>
        <v>#DIV/0!</v>
      </c>
      <c r="AU79" s="13" t="e">
        <f t="shared" ref="AU79" si="1092">AU78/AU74</f>
        <v>#DIV/0!</v>
      </c>
      <c r="AV79" s="13" t="e">
        <f t="shared" ref="AV79" si="1093">AV78/AV74</f>
        <v>#DIV/0!</v>
      </c>
      <c r="AW79" s="13">
        <f t="shared" ref="AW79" si="1094">AW78/AW74</f>
        <v>2.9333333333333331</v>
      </c>
      <c r="AX79" s="13">
        <f t="shared" ref="AX79" si="1095">AX78/AX74</f>
        <v>2.0912280701754384</v>
      </c>
      <c r="AY79" s="13" t="e">
        <f t="shared" ref="AY79" si="1096">AY78/AY74</f>
        <v>#DIV/0!</v>
      </c>
      <c r="AZ79" s="13" t="e">
        <f t="shared" ref="AZ79" si="1097">AZ78/AZ74</f>
        <v>#DIV/0!</v>
      </c>
      <c r="BA79" s="13" t="e">
        <f t="shared" ref="BA79" si="1098">BA78/BA74</f>
        <v>#DIV/0!</v>
      </c>
      <c r="BB79" s="14" t="e">
        <f t="shared" ref="BB79" si="1099">BB78/BB74</f>
        <v>#DIV/0!</v>
      </c>
      <c r="BC79" s="13">
        <f t="shared" ref="BC79" si="1100">BC78/BC74</f>
        <v>2.5680840898232204E-2</v>
      </c>
      <c r="BD79" s="13">
        <f t="shared" ref="BD79" si="1101">BD78/BD74</f>
        <v>2.5680840898232204E-2</v>
      </c>
      <c r="BE79" s="13" t="e">
        <f t="shared" ref="BE79" si="1102">BE78/BE74</f>
        <v>#DIV/0!</v>
      </c>
      <c r="BF79" s="13">
        <f t="shared" ref="BF79" si="1103">BF78/BF74</f>
        <v>-0.41385767790262173</v>
      </c>
      <c r="BG79" s="13">
        <f t="shared" ref="BG79:BH79" si="1104">BG78/BG74</f>
        <v>0.27811198519204072</v>
      </c>
      <c r="BH79" s="162">
        <f t="shared" si="1104"/>
        <v>1.3655674962024557E-2</v>
      </c>
      <c r="BI79" s="228">
        <f t="shared" ref="BI79" si="1105">BI78/BI74</f>
        <v>2.2558192426383274E-2</v>
      </c>
      <c r="BJ79" s="13">
        <f t="shared" ref="BJ79:BK79" si="1106">BJ78/BJ74</f>
        <v>0.11904761904761904</v>
      </c>
      <c r="BK79" s="50">
        <f t="shared" si="1106"/>
        <v>2.2557819121267079E-2</v>
      </c>
      <c r="BM79" s="14">
        <f t="shared" ref="BM79" si="1107">BM78/BM74</f>
        <v>1.3655051858199964E-2</v>
      </c>
    </row>
    <row r="80" spans="1:65" ht="15.75" x14ac:dyDescent="0.25">
      <c r="A80" s="128"/>
      <c r="B80" s="5" t="s">
        <v>296</v>
      </c>
      <c r="C80" s="126">
        <f>C75/C72</f>
        <v>0.401251911691068</v>
      </c>
      <c r="D80" s="126">
        <f t="shared" ref="D80:BK80" si="1108">D75/D72</f>
        <v>0.30051752806888965</v>
      </c>
      <c r="E80" s="126">
        <f t="shared" si="1108"/>
        <v>6.159504383067612E-4</v>
      </c>
      <c r="F80" s="126">
        <f t="shared" si="1108"/>
        <v>0.40931245905741898</v>
      </c>
      <c r="G80" s="126">
        <f t="shared" si="1108"/>
        <v>0.39083503649635037</v>
      </c>
      <c r="H80" s="126" t="e">
        <f t="shared" si="1108"/>
        <v>#DIV/0!</v>
      </c>
      <c r="I80" s="126" t="e">
        <f t="shared" si="1108"/>
        <v>#DIV/0!</v>
      </c>
      <c r="J80" s="126">
        <f t="shared" si="1108"/>
        <v>0.48482427389847743</v>
      </c>
      <c r="K80" s="126">
        <f t="shared" si="1108"/>
        <v>6.5190891803598425E-2</v>
      </c>
      <c r="L80" s="126">
        <f t="shared" si="1108"/>
        <v>0.32303506949596872</v>
      </c>
      <c r="M80" s="126">
        <f t="shared" si="1108"/>
        <v>0.5647626606035907</v>
      </c>
      <c r="N80" s="126">
        <f t="shared" si="1108"/>
        <v>0.14399999999999999</v>
      </c>
      <c r="O80" s="126">
        <f t="shared" si="1108"/>
        <v>0.40781481981374007</v>
      </c>
      <c r="P80" s="126">
        <f t="shared" si="1108"/>
        <v>0.55972082939638634</v>
      </c>
      <c r="Q80" s="126" t="e">
        <f t="shared" si="1108"/>
        <v>#DIV/0!</v>
      </c>
      <c r="R80" s="126">
        <f t="shared" si="1108"/>
        <v>0.28036793218504824</v>
      </c>
      <c r="S80" s="126" t="e">
        <f t="shared" si="1108"/>
        <v>#DIV/0!</v>
      </c>
      <c r="T80" s="126" t="e">
        <f t="shared" si="1108"/>
        <v>#DIV/0!</v>
      </c>
      <c r="U80" s="126" t="e">
        <f t="shared" si="1108"/>
        <v>#DIV/0!</v>
      </c>
      <c r="V80" s="177" t="e">
        <f t="shared" si="1108"/>
        <v>#DIV/0!</v>
      </c>
      <c r="W80" s="126" t="e">
        <f t="shared" si="1108"/>
        <v>#DIV/0!</v>
      </c>
      <c r="X80" s="126" t="e">
        <f t="shared" si="1108"/>
        <v>#DIV/0!</v>
      </c>
      <c r="Y80" s="126">
        <f t="shared" si="1108"/>
        <v>4.4359861591695502</v>
      </c>
      <c r="Z80" s="126">
        <f t="shared" si="1108"/>
        <v>2.1498422712933754</v>
      </c>
      <c r="AA80" s="126">
        <f t="shared" si="1108"/>
        <v>5.8094302554027504</v>
      </c>
      <c r="AB80" s="126">
        <f t="shared" ref="AB80" si="1109">AB75/AB72</f>
        <v>2.8636884306987398E-3</v>
      </c>
      <c r="AC80" s="215" t="e">
        <f t="shared" si="1108"/>
        <v>#DIV/0!</v>
      </c>
      <c r="AD80" s="229">
        <f t="shared" si="1108"/>
        <v>0.38314166119607423</v>
      </c>
      <c r="AE80" s="126">
        <f t="shared" si="1108"/>
        <v>0.48007405242131929</v>
      </c>
      <c r="AF80" s="126">
        <f t="shared" si="1108"/>
        <v>1.5905511811023623</v>
      </c>
      <c r="AG80" s="126">
        <f t="shared" si="1108"/>
        <v>0.97359735973597361</v>
      </c>
      <c r="AH80" s="126" t="e">
        <f t="shared" si="1108"/>
        <v>#DIV/0!</v>
      </c>
      <c r="AI80" s="126" t="e">
        <f t="shared" si="1108"/>
        <v>#DIV/0!</v>
      </c>
      <c r="AJ80" s="126">
        <f t="shared" si="1108"/>
        <v>0.48293325933120579</v>
      </c>
      <c r="AK80" s="126">
        <f t="shared" si="1108"/>
        <v>0.31855344716127315</v>
      </c>
      <c r="AL80" s="126">
        <f t="shared" si="1108"/>
        <v>0.13013109633035574</v>
      </c>
      <c r="AM80" s="126" t="e">
        <f t="shared" si="1108"/>
        <v>#DIV/0!</v>
      </c>
      <c r="AN80" s="126">
        <f t="shared" si="1108"/>
        <v>0</v>
      </c>
      <c r="AO80" s="177">
        <f t="shared" si="1108"/>
        <v>0.38911333839508588</v>
      </c>
      <c r="AP80" s="126">
        <f t="shared" si="1108"/>
        <v>0.45268753606705814</v>
      </c>
      <c r="AQ80" s="215" t="e">
        <f t="shared" si="1108"/>
        <v>#DIV/0!</v>
      </c>
      <c r="AR80" s="126" t="e">
        <f t="shared" si="1108"/>
        <v>#DIV/0!</v>
      </c>
      <c r="AS80" s="126" t="e">
        <f t="shared" si="1108"/>
        <v>#DIV/0!</v>
      </c>
      <c r="AT80" s="126" t="e">
        <f t="shared" si="1108"/>
        <v>#DIV/0!</v>
      </c>
      <c r="AU80" s="126" t="e">
        <f t="shared" si="1108"/>
        <v>#DIV/0!</v>
      </c>
      <c r="AV80" s="126" t="e">
        <f t="shared" si="1108"/>
        <v>#DIV/0!</v>
      </c>
      <c r="AW80" s="126">
        <f t="shared" si="1108"/>
        <v>9.8006644518272429E-2</v>
      </c>
      <c r="AX80" s="126">
        <f t="shared" si="1108"/>
        <v>0.66666666666666663</v>
      </c>
      <c r="AY80" s="126">
        <f t="shared" si="1108"/>
        <v>0</v>
      </c>
      <c r="AZ80" s="126" t="e">
        <f t="shared" si="1108"/>
        <v>#DIV/0!</v>
      </c>
      <c r="BA80" s="126" t="e">
        <f t="shared" si="1108"/>
        <v>#DIV/0!</v>
      </c>
      <c r="BB80" s="215" t="e">
        <f t="shared" si="1108"/>
        <v>#DIV/0!</v>
      </c>
      <c r="BC80" s="126">
        <f t="shared" si="1108"/>
        <v>0.48155002243158368</v>
      </c>
      <c r="BD80" s="126">
        <f t="shared" si="1108"/>
        <v>0.48155002243158368</v>
      </c>
      <c r="BE80" s="126" t="e">
        <f t="shared" si="1108"/>
        <v>#DIV/0!</v>
      </c>
      <c r="BF80" s="126">
        <f t="shared" si="1108"/>
        <v>0.21336059986366734</v>
      </c>
      <c r="BG80" s="126">
        <f t="shared" si="1108"/>
        <v>0.95570934256055362</v>
      </c>
      <c r="BH80" s="177">
        <f t="shared" si="1108"/>
        <v>0.44985717029127065</v>
      </c>
      <c r="BI80" s="229">
        <f t="shared" si="1108"/>
        <v>0.42392426593914878</v>
      </c>
      <c r="BJ80" s="126" t="e">
        <f t="shared" si="1108"/>
        <v>#DIV/0!</v>
      </c>
      <c r="BK80" s="126">
        <f t="shared" si="1108"/>
        <v>0.42392247107597081</v>
      </c>
      <c r="BM80" s="126" t="e">
        <f t="shared" ref="BM80" si="1110">BM75/BM72</f>
        <v>#DIV/0!</v>
      </c>
    </row>
    <row r="81" spans="1:66" s="180" customFormat="1" ht="15.75" x14ac:dyDescent="0.25">
      <c r="A81" s="128"/>
      <c r="B81" s="5" t="s">
        <v>297</v>
      </c>
      <c r="C81" s="11">
        <f>C75-C72</f>
        <v>-3529802</v>
      </c>
      <c r="D81" s="11">
        <f t="shared" ref="D81:BM81" si="1111">D75-D72</f>
        <v>-1242646</v>
      </c>
      <c r="E81" s="11">
        <f t="shared" si="1111"/>
        <v>-223906</v>
      </c>
      <c r="F81" s="11">
        <f t="shared" si="1111"/>
        <v>-401257</v>
      </c>
      <c r="G81" s="11">
        <f t="shared" si="1111"/>
        <v>-208639</v>
      </c>
      <c r="H81" s="11">
        <f t="shared" si="1111"/>
        <v>0</v>
      </c>
      <c r="I81" s="11">
        <f t="shared" si="1111"/>
        <v>0</v>
      </c>
      <c r="J81" s="11">
        <f t="shared" si="1111"/>
        <v>-283715</v>
      </c>
      <c r="K81" s="11">
        <f t="shared" si="1111"/>
        <v>-57516</v>
      </c>
      <c r="L81" s="11">
        <f t="shared" si="1111"/>
        <v>-136862</v>
      </c>
      <c r="M81" s="11">
        <f t="shared" si="1111"/>
        <v>-101456</v>
      </c>
      <c r="N81" s="11">
        <f t="shared" si="1111"/>
        <v>-963</v>
      </c>
      <c r="O81" s="11">
        <f t="shared" si="1111"/>
        <v>-8775</v>
      </c>
      <c r="P81" s="11">
        <f t="shared" si="1111"/>
        <v>-75953</v>
      </c>
      <c r="Q81" s="11">
        <f t="shared" si="1111"/>
        <v>0</v>
      </c>
      <c r="R81" s="11">
        <f t="shared" si="1111"/>
        <v>-7980</v>
      </c>
      <c r="S81" s="11">
        <f t="shared" si="1111"/>
        <v>0</v>
      </c>
      <c r="T81" s="11">
        <f t="shared" si="1111"/>
        <v>0</v>
      </c>
      <c r="U81" s="11">
        <f t="shared" si="1111"/>
        <v>0</v>
      </c>
      <c r="V81" s="9">
        <f t="shared" si="1111"/>
        <v>0</v>
      </c>
      <c r="W81" s="11">
        <f t="shared" si="1111"/>
        <v>0</v>
      </c>
      <c r="X81" s="11">
        <f t="shared" si="1111"/>
        <v>0</v>
      </c>
      <c r="Y81" s="11">
        <f t="shared" si="1111"/>
        <v>7944</v>
      </c>
      <c r="Z81" s="11">
        <f t="shared" si="1111"/>
        <v>729</v>
      </c>
      <c r="AA81" s="11">
        <f t="shared" si="1111"/>
        <v>2448</v>
      </c>
      <c r="AB81" s="11">
        <f t="shared" ref="AB81" si="1112">AB75-AB72</f>
        <v>-10446</v>
      </c>
      <c r="AC81" s="10">
        <f t="shared" si="1111"/>
        <v>0</v>
      </c>
      <c r="AD81" s="227">
        <f t="shared" si="1111"/>
        <v>-6278795</v>
      </c>
      <c r="AE81" s="11">
        <f t="shared" si="1111"/>
        <v>-5336</v>
      </c>
      <c r="AF81" s="11">
        <f t="shared" si="1111"/>
        <v>375</v>
      </c>
      <c r="AG81" s="11">
        <f t="shared" si="1111"/>
        <v>-160</v>
      </c>
      <c r="AH81" s="11">
        <f t="shared" si="1111"/>
        <v>0</v>
      </c>
      <c r="AI81" s="11">
        <f t="shared" si="1111"/>
        <v>0</v>
      </c>
      <c r="AJ81" s="11">
        <f t="shared" si="1111"/>
        <v>-7453</v>
      </c>
      <c r="AK81" s="11">
        <f t="shared" si="1111"/>
        <v>-17920</v>
      </c>
      <c r="AL81" s="11">
        <f t="shared" si="1111"/>
        <v>-49566</v>
      </c>
      <c r="AM81" s="11">
        <f t="shared" si="1111"/>
        <v>0</v>
      </c>
      <c r="AN81" s="11">
        <f t="shared" si="1111"/>
        <v>-342</v>
      </c>
      <c r="AO81" s="9">
        <f t="shared" si="1111"/>
        <v>-240569</v>
      </c>
      <c r="AP81" s="11">
        <f t="shared" si="1111"/>
        <v>-8446705</v>
      </c>
      <c r="AQ81" s="10">
        <f t="shared" si="1111"/>
        <v>0</v>
      </c>
      <c r="AR81" s="11">
        <f t="shared" si="1111"/>
        <v>0</v>
      </c>
      <c r="AS81" s="11">
        <f t="shared" si="1111"/>
        <v>0</v>
      </c>
      <c r="AT81" s="11">
        <f t="shared" si="1111"/>
        <v>0</v>
      </c>
      <c r="AU81" s="11">
        <f t="shared" si="1111"/>
        <v>0</v>
      </c>
      <c r="AV81" s="11">
        <f t="shared" si="1111"/>
        <v>0</v>
      </c>
      <c r="AW81" s="11">
        <f t="shared" si="1111"/>
        <v>-543</v>
      </c>
      <c r="AX81" s="11">
        <f t="shared" si="1111"/>
        <v>-881</v>
      </c>
      <c r="AY81" s="11">
        <f t="shared" si="1111"/>
        <v>-50</v>
      </c>
      <c r="AZ81" s="11">
        <f t="shared" si="1111"/>
        <v>0</v>
      </c>
      <c r="BA81" s="11">
        <f t="shared" si="1111"/>
        <v>0</v>
      </c>
      <c r="BB81" s="10">
        <f t="shared" si="1111"/>
        <v>0</v>
      </c>
      <c r="BC81" s="11">
        <f t="shared" si="1111"/>
        <v>-9245</v>
      </c>
      <c r="BD81" s="11">
        <f t="shared" si="1111"/>
        <v>-9245</v>
      </c>
      <c r="BE81" s="11">
        <f t="shared" si="1111"/>
        <v>0</v>
      </c>
      <c r="BF81" s="11">
        <f t="shared" si="1111"/>
        <v>-18464</v>
      </c>
      <c r="BG81" s="11">
        <f t="shared" si="1111"/>
        <v>-128</v>
      </c>
      <c r="BH81" s="11">
        <f t="shared" si="1111"/>
        <v>-8806232</v>
      </c>
      <c r="BI81" s="227">
        <f t="shared" si="1111"/>
        <v>-15085027</v>
      </c>
      <c r="BJ81" s="11">
        <f t="shared" si="1111"/>
        <v>47</v>
      </c>
      <c r="BK81" s="11">
        <f t="shared" si="1111"/>
        <v>-15085074</v>
      </c>
      <c r="BL81" s="11">
        <f t="shared" si="1111"/>
        <v>11100759</v>
      </c>
      <c r="BM81" s="11">
        <f t="shared" si="1111"/>
        <v>7200895</v>
      </c>
    </row>
    <row r="82" spans="1:66" s="180" customFormat="1" ht="15.75" x14ac:dyDescent="0.25">
      <c r="A82" s="128"/>
      <c r="B82" s="5"/>
      <c r="C82" s="5"/>
      <c r="D82" s="5"/>
      <c r="E82" s="5"/>
      <c r="F82" s="5"/>
      <c r="G82" s="5"/>
      <c r="H82" s="5"/>
      <c r="I82" s="5"/>
      <c r="J82" s="5"/>
      <c r="K82" s="5"/>
      <c r="L82" s="5"/>
      <c r="M82" s="5"/>
      <c r="N82" s="5"/>
      <c r="O82" s="5"/>
      <c r="P82" s="5"/>
      <c r="Q82" s="5"/>
      <c r="R82" s="5"/>
      <c r="S82" s="5"/>
      <c r="T82" s="5"/>
      <c r="U82" s="5"/>
      <c r="V82" s="16"/>
      <c r="W82" s="5"/>
      <c r="X82" s="5"/>
      <c r="Y82" s="5"/>
      <c r="Z82" s="5"/>
      <c r="AA82" s="5"/>
      <c r="AB82" s="5"/>
      <c r="AC82" s="6"/>
      <c r="AD82" s="230"/>
      <c r="AE82" s="5"/>
      <c r="AF82" s="5"/>
      <c r="AG82" s="5"/>
      <c r="AH82" s="5"/>
      <c r="AI82" s="5"/>
      <c r="AJ82" s="5"/>
      <c r="AK82" s="5"/>
      <c r="AL82" s="5"/>
      <c r="AM82" s="5"/>
      <c r="AN82" s="5"/>
      <c r="AO82" s="16"/>
      <c r="AP82" s="5"/>
      <c r="AQ82" s="6"/>
      <c r="AR82" s="5"/>
      <c r="AS82" s="5"/>
      <c r="AT82" s="5"/>
      <c r="AU82" s="5"/>
      <c r="AV82" s="5"/>
      <c r="AW82" s="6"/>
      <c r="AX82" s="5"/>
      <c r="AY82" s="5"/>
      <c r="AZ82" s="5"/>
      <c r="BA82" s="5"/>
      <c r="BB82" s="6"/>
      <c r="BC82" s="5"/>
      <c r="BD82" s="5"/>
      <c r="BE82" s="5"/>
      <c r="BF82" s="5"/>
      <c r="BG82" s="5"/>
      <c r="BH82" s="16"/>
      <c r="BI82" s="230"/>
      <c r="BJ82" s="5"/>
      <c r="BK82" s="48"/>
    </row>
    <row r="83" spans="1:66" ht="15.75" x14ac:dyDescent="0.25">
      <c r="A83" s="15" t="s">
        <v>34</v>
      </c>
      <c r="B83" s="11" t="s">
        <v>301</v>
      </c>
      <c r="C83" s="120">
        <v>16780</v>
      </c>
      <c r="D83" s="120">
        <v>5111</v>
      </c>
      <c r="E83" s="120">
        <v>546</v>
      </c>
      <c r="F83" s="120">
        <v>1874</v>
      </c>
      <c r="G83" s="120">
        <v>734</v>
      </c>
      <c r="H83" s="120">
        <v>0</v>
      </c>
      <c r="I83" s="120">
        <v>0</v>
      </c>
      <c r="J83" s="120">
        <v>1215</v>
      </c>
      <c r="K83" s="120">
        <v>0</v>
      </c>
      <c r="L83" s="120">
        <v>475</v>
      </c>
      <c r="M83" s="120">
        <v>417</v>
      </c>
      <c r="N83" s="120">
        <v>0</v>
      </c>
      <c r="O83" s="120">
        <v>0</v>
      </c>
      <c r="P83" s="120">
        <v>233</v>
      </c>
      <c r="Q83" s="120">
        <v>0</v>
      </c>
      <c r="R83" s="120">
        <v>150</v>
      </c>
      <c r="S83" s="120">
        <v>0</v>
      </c>
      <c r="T83" s="120">
        <v>0</v>
      </c>
      <c r="U83" s="120"/>
      <c r="V83" s="189">
        <v>0</v>
      </c>
      <c r="W83" s="120">
        <v>0</v>
      </c>
      <c r="X83" s="120">
        <v>0</v>
      </c>
      <c r="Y83" s="120">
        <v>170</v>
      </c>
      <c r="Z83" s="120">
        <v>0</v>
      </c>
      <c r="AA83" s="120">
        <v>0</v>
      </c>
      <c r="AB83" s="120">
        <v>33</v>
      </c>
      <c r="AC83" s="151">
        <v>0</v>
      </c>
      <c r="AD83" s="233">
        <f t="shared" ref="AD83:AD84" si="1113">SUM(C83:AC83)</f>
        <v>27738</v>
      </c>
      <c r="AE83" s="120">
        <v>0</v>
      </c>
      <c r="AF83" s="120">
        <v>0</v>
      </c>
      <c r="AG83" s="120">
        <v>0</v>
      </c>
      <c r="AH83" s="120">
        <v>0</v>
      </c>
      <c r="AI83" s="120">
        <v>0</v>
      </c>
      <c r="AJ83" s="120">
        <v>0</v>
      </c>
      <c r="AK83" s="120">
        <v>142538</v>
      </c>
      <c r="AL83" s="120">
        <v>9603</v>
      </c>
      <c r="AM83" s="120">
        <v>6851582</v>
      </c>
      <c r="AN83" s="120">
        <v>0</v>
      </c>
      <c r="AO83" s="189">
        <v>0</v>
      </c>
      <c r="AP83" s="120">
        <v>0</v>
      </c>
      <c r="AQ83" s="151">
        <v>0</v>
      </c>
      <c r="AR83" s="120">
        <v>789456</v>
      </c>
      <c r="AS83" s="120"/>
      <c r="AT83" s="120"/>
      <c r="AU83" s="120">
        <v>348261</v>
      </c>
      <c r="AV83" s="120"/>
      <c r="AW83" s="120">
        <v>0</v>
      </c>
      <c r="AX83" s="120">
        <v>0</v>
      </c>
      <c r="AY83" s="120">
        <v>0</v>
      </c>
      <c r="AZ83" s="120">
        <v>317324</v>
      </c>
      <c r="BA83" s="120">
        <v>541110</v>
      </c>
      <c r="BB83" s="151">
        <v>0</v>
      </c>
      <c r="BC83" s="120">
        <v>0</v>
      </c>
      <c r="BD83" s="120">
        <v>0</v>
      </c>
      <c r="BE83" s="120">
        <v>0</v>
      </c>
      <c r="BF83" s="120">
        <v>0</v>
      </c>
      <c r="BG83" s="120">
        <v>25836</v>
      </c>
      <c r="BH83" s="9">
        <f>SUM(AE83:BG83)</f>
        <v>9025710</v>
      </c>
      <c r="BI83" s="226">
        <f>AD83+BH83</f>
        <v>9053448</v>
      </c>
      <c r="BJ83" s="96">
        <v>477776</v>
      </c>
      <c r="BK83" s="49">
        <f t="shared" ref="BK83:BK84" si="1114">BI83-BJ83</f>
        <v>8575672</v>
      </c>
      <c r="BL83">
        <v>8</v>
      </c>
      <c r="BM83" s="30"/>
    </row>
    <row r="84" spans="1:66" s="41" customFormat="1" ht="15.75" x14ac:dyDescent="0.25">
      <c r="A84" s="134" t="s">
        <v>34</v>
      </c>
      <c r="B84" s="216" t="s">
        <v>324</v>
      </c>
      <c r="C84" s="10">
        <v>7381</v>
      </c>
      <c r="D84" s="10">
        <v>1816</v>
      </c>
      <c r="E84" s="10">
        <v>0</v>
      </c>
      <c r="F84" s="10">
        <v>824</v>
      </c>
      <c r="G84" s="10">
        <v>323</v>
      </c>
      <c r="H84" s="10">
        <v>0</v>
      </c>
      <c r="I84" s="10">
        <v>0</v>
      </c>
      <c r="J84" s="10">
        <v>535</v>
      </c>
      <c r="K84" s="10">
        <v>0</v>
      </c>
      <c r="L84" s="10">
        <v>210</v>
      </c>
      <c r="M84" s="10">
        <v>183</v>
      </c>
      <c r="N84" s="10">
        <v>0</v>
      </c>
      <c r="O84" s="10">
        <v>0</v>
      </c>
      <c r="P84" s="10">
        <v>103</v>
      </c>
      <c r="Q84" s="10">
        <v>0</v>
      </c>
      <c r="R84" s="10">
        <v>66</v>
      </c>
      <c r="S84" s="10">
        <v>0</v>
      </c>
      <c r="T84" s="10">
        <v>0</v>
      </c>
      <c r="U84" s="10"/>
      <c r="V84" s="10">
        <v>0</v>
      </c>
      <c r="W84" s="10">
        <v>0</v>
      </c>
      <c r="X84" s="10">
        <v>0</v>
      </c>
      <c r="Y84" s="10">
        <v>76</v>
      </c>
      <c r="Z84" s="10">
        <v>0</v>
      </c>
      <c r="AA84" s="10">
        <v>0</v>
      </c>
      <c r="AB84" s="10">
        <v>15</v>
      </c>
      <c r="AC84" s="10">
        <v>0</v>
      </c>
      <c r="AD84" s="233">
        <f t="shared" si="1113"/>
        <v>11532</v>
      </c>
      <c r="AE84" s="10">
        <v>0</v>
      </c>
      <c r="AF84" s="10">
        <v>0</v>
      </c>
      <c r="AG84" s="10">
        <v>0</v>
      </c>
      <c r="AH84" s="10">
        <v>0</v>
      </c>
      <c r="AI84" s="10">
        <v>0</v>
      </c>
      <c r="AJ84" s="10">
        <v>0</v>
      </c>
      <c r="AK84" s="10">
        <v>62717</v>
      </c>
      <c r="AL84" s="10">
        <v>4225</v>
      </c>
      <c r="AM84" s="10">
        <v>3014697</v>
      </c>
      <c r="AN84" s="10">
        <v>0</v>
      </c>
      <c r="AO84" s="10">
        <v>0</v>
      </c>
      <c r="AP84" s="10">
        <v>0</v>
      </c>
      <c r="AQ84" s="10">
        <v>0</v>
      </c>
      <c r="AR84" s="10">
        <v>347360</v>
      </c>
      <c r="AS84" s="10"/>
      <c r="AT84" s="10"/>
      <c r="AU84" s="10">
        <v>153235</v>
      </c>
      <c r="AV84" s="10"/>
      <c r="AW84" s="10">
        <v>0</v>
      </c>
      <c r="AX84" s="10">
        <v>0</v>
      </c>
      <c r="AY84" s="10">
        <v>0</v>
      </c>
      <c r="AZ84" s="10">
        <v>139622</v>
      </c>
      <c r="BA84" s="10">
        <v>238089</v>
      </c>
      <c r="BB84" s="10">
        <v>0</v>
      </c>
      <c r="BC84" s="10">
        <v>0</v>
      </c>
      <c r="BD84" s="10">
        <v>0</v>
      </c>
      <c r="BE84" s="10">
        <v>0</v>
      </c>
      <c r="BF84" s="10">
        <v>0</v>
      </c>
      <c r="BG84" s="10">
        <v>11370</v>
      </c>
      <c r="BH84" s="10">
        <f>SUM(AE84:BG84)</f>
        <v>3971315</v>
      </c>
      <c r="BI84" s="226">
        <f>AD84+BH84</f>
        <v>3982847</v>
      </c>
      <c r="BJ84" s="10">
        <v>199075</v>
      </c>
      <c r="BK84" s="10">
        <f t="shared" si="1114"/>
        <v>3783772</v>
      </c>
      <c r="BM84" s="217"/>
    </row>
    <row r="85" spans="1:66" ht="15.75" x14ac:dyDescent="0.25">
      <c r="A85" s="128"/>
      <c r="B85" s="12" t="s">
        <v>325</v>
      </c>
      <c r="C85" s="9">
        <f>IF('Upto Month COPPY'!$I$4="",0,'Upto Month COPPY'!$I$4)</f>
        <v>6363</v>
      </c>
      <c r="D85" s="9">
        <f>IF('Upto Month COPPY'!$I$5="",0,'Upto Month COPPY'!$I$5)</f>
        <v>1081</v>
      </c>
      <c r="E85" s="9">
        <f>IF('Upto Month COPPY'!$I$6="",0,'Upto Month COPPY'!$I$6)</f>
        <v>0</v>
      </c>
      <c r="F85" s="9">
        <f>IF('Upto Month COPPY'!$I$7="",0,'Upto Month COPPY'!$I$7)</f>
        <v>727</v>
      </c>
      <c r="G85" s="9">
        <f>IF('Upto Month COPPY'!$I$8="",0,'Upto Month COPPY'!$I$8)</f>
        <v>284</v>
      </c>
      <c r="H85" s="9">
        <f>IF('Upto Month COPPY'!$I$9="",0,'Upto Month COPPY'!$I$9)</f>
        <v>0</v>
      </c>
      <c r="I85" s="9">
        <f>IF('Upto Month COPPY'!$I$10="",0,'Upto Month COPPY'!$I$10)</f>
        <v>0</v>
      </c>
      <c r="J85" s="9">
        <f>IF('Upto Month COPPY'!$I$11="",0,'Upto Month COPPY'!$I$11)</f>
        <v>447</v>
      </c>
      <c r="K85" s="9">
        <f>IF('Upto Month COPPY'!$I$12="",0,'Upto Month COPPY'!$I$12)</f>
        <v>0</v>
      </c>
      <c r="L85" s="9">
        <f>IF('Upto Month COPPY'!$I$13="",0,'Upto Month COPPY'!$I$13)</f>
        <v>173</v>
      </c>
      <c r="M85" s="9">
        <f>IF('Upto Month COPPY'!$I$14="",0,'Upto Month COPPY'!$I$14)</f>
        <v>158</v>
      </c>
      <c r="N85" s="9">
        <f>IF('Upto Month COPPY'!$I$15="",0,'Upto Month COPPY'!$I$15)</f>
        <v>0</v>
      </c>
      <c r="O85" s="9">
        <f>IF('Upto Month COPPY'!$I$16="",0,'Upto Month COPPY'!$I$16)</f>
        <v>0</v>
      </c>
      <c r="P85" s="9">
        <f>IF('Upto Month COPPY'!$I$17="",0,'Upto Month COPPY'!$I$17)</f>
        <v>92</v>
      </c>
      <c r="Q85" s="9">
        <f>IF('Upto Month COPPY'!$I$18="",0,'Upto Month COPPY'!$I$18)</f>
        <v>0</v>
      </c>
      <c r="R85" s="9">
        <f>IF('Upto Month COPPY'!$I$21="",0,'Upto Month COPPY'!$I$21)</f>
        <v>56</v>
      </c>
      <c r="S85" s="9">
        <f>IF('Upto Month COPPY'!$I$26="",0,'Upto Month COPPY'!$I$26)</f>
        <v>0</v>
      </c>
      <c r="T85" s="9">
        <f>IF('Upto Month COPPY'!$I$27="",0,'Upto Month COPPY'!$I$27)</f>
        <v>0</v>
      </c>
      <c r="U85" s="9">
        <f>IF('Upto Month COPPY'!$I$30="",0,'Upto Month COPPY'!$I$30)</f>
        <v>0</v>
      </c>
      <c r="V85" s="9">
        <f>IF('Upto Month COPPY'!$I$35="",0,'Upto Month COPPY'!$I$35)</f>
        <v>0</v>
      </c>
      <c r="W85" s="9">
        <f>IF('Upto Month COPPY'!$I$39="",0,'Upto Month COPPY'!$I$39)</f>
        <v>0</v>
      </c>
      <c r="X85" s="9">
        <f>IF('Upto Month COPPY'!$I$40="",0,'Upto Month COPPY'!$I$40)</f>
        <v>0</v>
      </c>
      <c r="Y85" s="9">
        <f>IF('Upto Month COPPY'!$I$42="",0,'Upto Month COPPY'!$I$42)</f>
        <v>98</v>
      </c>
      <c r="Z85" s="9">
        <f>IF('Upto Month COPPY'!$I$43="",0,'Upto Month COPPY'!$I$43)</f>
        <v>0</v>
      </c>
      <c r="AA85" s="9">
        <f>IF('Upto Month COPPY'!$I$44="",0,'Upto Month COPPY'!$I$44)</f>
        <v>0</v>
      </c>
      <c r="AB85" s="9">
        <f>IF('Upto Month COPPY'!$I$48="",0,'Upto Month COPPY'!$I$48)</f>
        <v>0</v>
      </c>
      <c r="AC85" s="10">
        <f>IF('Upto Month COPPY'!$I$51="",0,'Upto Month COPPY'!$I$51)</f>
        <v>0</v>
      </c>
      <c r="AD85" s="233">
        <f t="shared" ref="AD85:AD86" si="1115">SUM(C85:AC85)</f>
        <v>9479</v>
      </c>
      <c r="AE85" s="9">
        <f>IF('Upto Month COPPY'!$I$19="",0,'Upto Month COPPY'!$I$19)</f>
        <v>0</v>
      </c>
      <c r="AF85" s="9">
        <f>IF('Upto Month COPPY'!$I$20="",0,'Upto Month COPPY'!$I$20)</f>
        <v>0</v>
      </c>
      <c r="AG85" s="9">
        <f>IF('Upto Month COPPY'!$I$22="",0,'Upto Month COPPY'!$I$22)</f>
        <v>0</v>
      </c>
      <c r="AH85" s="9">
        <f>IF('Upto Month COPPY'!$I$23="",0,'Upto Month COPPY'!$I$23)</f>
        <v>0</v>
      </c>
      <c r="AI85" s="9">
        <f>IF('Upto Month COPPY'!$I$24="",0,'Upto Month COPPY'!$I$24)</f>
        <v>0</v>
      </c>
      <c r="AJ85" s="9">
        <f>IF('Upto Month COPPY'!$I$25="",0,'Upto Month COPPY'!$I$25)</f>
        <v>0</v>
      </c>
      <c r="AK85" s="9">
        <f>IF('Upto Month COPPY'!$I$28="",0,'Upto Month COPPY'!$I$28)</f>
        <v>51820</v>
      </c>
      <c r="AL85" s="9">
        <f>IF('Upto Month COPPY'!$I$29="",0,'Upto Month COPPY'!$I$29)</f>
        <v>0</v>
      </c>
      <c r="AM85" s="9">
        <f>IF('Upto Month COPPY'!$I$31="",0,'Upto Month COPPY'!$I$31)</f>
        <v>2630866</v>
      </c>
      <c r="AN85" s="9">
        <f>IF('Upto Month COPPY'!$I$32="",0,'Upto Month COPPY'!$I$32)</f>
        <v>0</v>
      </c>
      <c r="AO85" s="9">
        <f>IF('Upto Month COPPY'!$I$33="",0,'Upto Month COPPY'!$I$33)</f>
        <v>0</v>
      </c>
      <c r="AP85" s="9">
        <f>IF('Upto Month COPPY'!$I$34="",0,'Upto Month COPPY'!$I$34)</f>
        <v>0</v>
      </c>
      <c r="AQ85" s="10">
        <f>IF('Upto Month COPPY'!$I$36="",0,'Upto Month COPPY'!$I$36)</f>
        <v>0</v>
      </c>
      <c r="AR85" s="9">
        <f>IF('Upto Month COPPY'!$I$37="",0,'Upto Month COPPY'!$I$37)</f>
        <v>491733</v>
      </c>
      <c r="AS85" s="9">
        <f>IF('Upto Month COPPY'!$I$38="",0,'Upto Month COPPY'!$I$38)</f>
        <v>0</v>
      </c>
      <c r="AT85" s="9">
        <f>IF('Upto Month COPPY'!$I$38="",0,'Upto Month COPPY'!$I$38)</f>
        <v>0</v>
      </c>
      <c r="AU85" s="9">
        <f>IF('Upto Month COPPY'!$I$41="",0,'Upto Month COPPY'!$I$41)</f>
        <v>186075</v>
      </c>
      <c r="AV85" s="9">
        <v>0</v>
      </c>
      <c r="AW85" s="9">
        <f>IF('Upto Month COPPY'!$I$45="",0,'Upto Month COPPY'!$I$45)</f>
        <v>0</v>
      </c>
      <c r="AX85" s="9">
        <f>IF('Upto Month COPPY'!$I$46="",0,'Upto Month COPPY'!$I$46)</f>
        <v>0</v>
      </c>
      <c r="AY85" s="9">
        <f>IF('Upto Month COPPY'!$I$47="",0,'Upto Month COPPY'!$I$47)</f>
        <v>0</v>
      </c>
      <c r="AZ85" s="9">
        <f>IF('Upto Month COPPY'!$I$49="",0,'Upto Month COPPY'!$I$49)</f>
        <v>124975</v>
      </c>
      <c r="BA85" s="9">
        <f>IF('Upto Month COPPY'!$I$50="",0,'Upto Month COPPY'!$I$50)</f>
        <v>327259</v>
      </c>
      <c r="BB85" s="10">
        <f>IF('Upto Month COPPY'!$I$52="",0,'Upto Month COPPY'!$I$52)</f>
        <v>0</v>
      </c>
      <c r="BC85" s="9">
        <f>IF('Upto Month COPPY'!$I$53="",0,'Upto Month COPPY'!$I$53)</f>
        <v>0</v>
      </c>
      <c r="BD85" s="9">
        <f>IF('Upto Month COPPY'!$I$54="",0,'Upto Month COPPY'!$I$54)</f>
        <v>0</v>
      </c>
      <c r="BE85" s="9">
        <f>IF('Upto Month COPPY'!$I$55="",0,'Upto Month COPPY'!$I$55)</f>
        <v>0</v>
      </c>
      <c r="BF85" s="9">
        <f>IF('Upto Month COPPY'!$I$56="",0,'Upto Month COPPY'!$I$56)</f>
        <v>0</v>
      </c>
      <c r="BG85" s="9">
        <f>IF('Upto Month COPPY'!$I$58="",0,'Upto Month COPPY'!$I$58)</f>
        <v>32278</v>
      </c>
      <c r="BH85" s="9">
        <f>SUM(AE85:BG85)</f>
        <v>3845006</v>
      </c>
      <c r="BI85" s="226">
        <f>AD85+BH85</f>
        <v>3854485</v>
      </c>
      <c r="BJ85" s="9">
        <f>IF('Upto Month COPPY'!$I$60="",0,'Upto Month COPPY'!$I$60)-'Upto Month COPPY'!I57</f>
        <v>65646</v>
      </c>
      <c r="BK85" s="49">
        <f t="shared" ref="BK85:BK86" si="1116">BI85-BJ85</f>
        <v>3788839</v>
      </c>
      <c r="BL85">
        <f>'Upto Month COPPY'!$I$61</f>
        <v>3788839</v>
      </c>
      <c r="BM85" s="30">
        <f t="shared" ref="BM85:BM89" si="1117">BK85-AD85</f>
        <v>3779360</v>
      </c>
      <c r="BN85" s="68">
        <f>-------------------Sheet1!H8</f>
        <v>0</v>
      </c>
    </row>
    <row r="86" spans="1:66" ht="15.75" x14ac:dyDescent="0.25">
      <c r="A86" s="128"/>
      <c r="B86" s="182" t="s">
        <v>326</v>
      </c>
      <c r="C86" s="9">
        <f>IF('Upto Month Current'!$I$4="",0,'Upto Month Current'!$I$4)</f>
        <v>6041</v>
      </c>
      <c r="D86" s="9">
        <f>IF('Upto Month Current'!$I$5="",0,'Upto Month Current'!$I$5)</f>
        <v>1299</v>
      </c>
      <c r="E86" s="9">
        <f>IF('Upto Month Current'!$I$6="",0,'Upto Month Current'!$I$6)</f>
        <v>0</v>
      </c>
      <c r="F86" s="9">
        <f>IF('Upto Month Current'!$I$7="",0,'Upto Month Current'!$I$7)</f>
        <v>685</v>
      </c>
      <c r="G86" s="9">
        <f>IF('Upto Month Current'!$I$8="",0,'Upto Month Current'!$I$8)</f>
        <v>283</v>
      </c>
      <c r="H86" s="9">
        <f>IF('Upto Month Current'!$I$9="",0,'Upto Month Current'!$I$9)</f>
        <v>0</v>
      </c>
      <c r="I86" s="9">
        <f>IF('Upto Month Current'!$I$10="",0,'Upto Month Current'!$I$10)</f>
        <v>0</v>
      </c>
      <c r="J86" s="9">
        <f>IF('Upto Month Current'!$I$11="",0,'Upto Month Current'!$I$11)</f>
        <v>170</v>
      </c>
      <c r="K86" s="9">
        <f>IF('Upto Month Current'!$I$12="",0,'Upto Month Current'!$I$12)</f>
        <v>0</v>
      </c>
      <c r="L86" s="9">
        <f>IF('Upto Month Current'!$I$13="",0,'Upto Month Current'!$I$13)</f>
        <v>130</v>
      </c>
      <c r="M86" s="9">
        <f>IF('Upto Month Current'!$I$14="",0,'Upto Month Current'!$I$14)</f>
        <v>154</v>
      </c>
      <c r="N86" s="9">
        <f>IF('Upto Month Current'!$I$15="",0,'Upto Month Current'!$I$15)</f>
        <v>0</v>
      </c>
      <c r="O86" s="9">
        <f>IF('Upto Month Current'!$I$16="",0,'Upto Month Current'!$I$16)</f>
        <v>0</v>
      </c>
      <c r="P86" s="9">
        <f>IF('Upto Month Current'!$I$17="",0,'Upto Month Current'!$I$17)</f>
        <v>32</v>
      </c>
      <c r="Q86" s="9">
        <f>IF('Upto Month Current'!$I$18="",0,'Upto Month Current'!$I$18)</f>
        <v>0</v>
      </c>
      <c r="R86" s="9">
        <f>IF('Upto Month Current'!$I$21="",0,'Upto Month Current'!$I$21)</f>
        <v>0</v>
      </c>
      <c r="S86" s="9">
        <f>IF('Upto Month Current'!$I$26="",0,'Upto Month Current'!$I$26)</f>
        <v>0</v>
      </c>
      <c r="T86" s="9">
        <f>IF('Upto Month Current'!$I$27="",0,'Upto Month Current'!$I$27)</f>
        <v>0</v>
      </c>
      <c r="U86" s="9">
        <f>IF('Upto Month Current'!$I$30="",0,'Upto Month Current'!$I$30)</f>
        <v>0</v>
      </c>
      <c r="V86" s="9">
        <f>IF('Upto Month Current'!$I$35="",0,'Upto Month Current'!$I$35)</f>
        <v>0</v>
      </c>
      <c r="W86" s="9">
        <f>IF('Upto Month Current'!$I$39="",0,'Upto Month Current'!$I$39)</f>
        <v>0</v>
      </c>
      <c r="X86" s="9">
        <f>IF('Upto Month Current'!$I$40="",0,'Upto Month Current'!$I$40)</f>
        <v>0</v>
      </c>
      <c r="Y86" s="9">
        <f>IF('Upto Month Current'!$I$42="",0,'Upto Month Current'!$I$42)</f>
        <v>2</v>
      </c>
      <c r="Z86" s="9">
        <f>IF('Upto Month Current'!$I$43="",0,'Upto Month Current'!$I$43)</f>
        <v>0</v>
      </c>
      <c r="AA86" s="9">
        <f>IF('Upto Month Current'!$I$44="",0,'Upto Month Current'!$I$44)</f>
        <v>0</v>
      </c>
      <c r="AB86" s="9">
        <f>IF('Upto Month Current'!$I$48="",0,'Upto Month Current'!$I$48)</f>
        <v>0</v>
      </c>
      <c r="AC86" s="10">
        <f>IF('Upto Month Current'!$I$51="",0,'Upto Month Current'!$I$51)</f>
        <v>0</v>
      </c>
      <c r="AD86" s="233">
        <f t="shared" si="1115"/>
        <v>8796</v>
      </c>
      <c r="AE86" s="9">
        <f>IF('Upto Month Current'!$I$19="",0,'Upto Month Current'!$I$19)</f>
        <v>0</v>
      </c>
      <c r="AF86" s="9">
        <f>IF('Upto Month Current'!$I$20="",0,'Upto Month Current'!$I$20)</f>
        <v>1</v>
      </c>
      <c r="AG86" s="9">
        <f>IF('Upto Month Current'!$I$22="",0,'Upto Month Current'!$I$22)</f>
        <v>0</v>
      </c>
      <c r="AH86" s="9">
        <f>IF('Upto Month Current'!$I$23="",0,'Upto Month Current'!$I$23)</f>
        <v>0</v>
      </c>
      <c r="AI86" s="9">
        <f>IF('Upto Month Current'!$I$24="",0,'Upto Month Current'!$I$24)</f>
        <v>0</v>
      </c>
      <c r="AJ86" s="9">
        <f>IF('Upto Month Current'!$I$25="",0,'Upto Month Current'!$I$25)</f>
        <v>0</v>
      </c>
      <c r="AK86" s="9">
        <f>IF('Upto Month Current'!$I$28="",0,'Upto Month Current'!$I$28)</f>
        <v>208932</v>
      </c>
      <c r="AL86" s="9">
        <f>IF('Upto Month Current'!$I$29="",0,'Upto Month Current'!$I$29)</f>
        <v>0</v>
      </c>
      <c r="AM86" s="9">
        <f>IF('Upto Month Current'!$I$31="",0,'Upto Month Current'!$I$31)</f>
        <v>3910737</v>
      </c>
      <c r="AN86" s="9">
        <f>IF('Upto Month Current'!$I$32="",0,'Upto Month Current'!$I$32)</f>
        <v>0</v>
      </c>
      <c r="AO86" s="9">
        <f>IF('Upto Month Current'!$I$33="",0,'Upto Month Current'!$I$33)</f>
        <v>0</v>
      </c>
      <c r="AP86" s="9">
        <f>IF('Upto Month Current'!$I$34="",0,'Upto Month Current'!$I$34)</f>
        <v>538701</v>
      </c>
      <c r="AQ86" s="10">
        <f>IF('Upto Month Current'!$I$36="",0,'Upto Month Current'!$I$36)</f>
        <v>0</v>
      </c>
      <c r="AR86" s="9">
        <f>IF('Upto Month Current'!$I$37="",0,'Upto Month Current'!$I$37)</f>
        <v>262972</v>
      </c>
      <c r="AS86" s="9">
        <v>0</v>
      </c>
      <c r="AT86" s="9">
        <f>IF('Upto Month Current'!$I$38="",0,'Upto Month Current'!$I$38)</f>
        <v>0</v>
      </c>
      <c r="AU86" s="9">
        <f>IF('Upto Month Current'!$I$41="",0,'Upto Month Current'!$I$41)</f>
        <v>111026</v>
      </c>
      <c r="AV86" s="9">
        <v>0</v>
      </c>
      <c r="AW86" s="9">
        <f>IF('Upto Month Current'!$I$45="",0,'Upto Month Current'!$I$45)</f>
        <v>0</v>
      </c>
      <c r="AX86" s="9">
        <f>IF('Upto Month Current'!$I$46="",0,'Upto Month Current'!$I$46)</f>
        <v>0</v>
      </c>
      <c r="AY86" s="9">
        <f>IF('Upto Month Current'!$I$47="",0,'Upto Month Current'!$I$47)</f>
        <v>0</v>
      </c>
      <c r="AZ86" s="9">
        <f>IF('Upto Month Current'!$I$49="",0,'Upto Month Current'!$I$49)</f>
        <v>475071</v>
      </c>
      <c r="BA86" s="9">
        <f>IF('Upto Month Current'!$I$50="",0,'Upto Month Current'!$I$50)</f>
        <v>909161</v>
      </c>
      <c r="BB86" s="10">
        <f>IF('Upto Month Current'!$I$52="",0,'Upto Month Current'!$I$52)</f>
        <v>0</v>
      </c>
      <c r="BC86" s="9">
        <f>IF('Upto Month Current'!$I$53="",0,'Upto Month Current'!$I$53)</f>
        <v>0</v>
      </c>
      <c r="BD86" s="9">
        <f>IF('Upto Month Current'!$I$54="",0,'Upto Month Current'!$I$54)</f>
        <v>0</v>
      </c>
      <c r="BE86" s="9">
        <f>IF('Upto Month Current'!$I$55="",0,'Upto Month Current'!$I$55)</f>
        <v>0</v>
      </c>
      <c r="BF86" s="9">
        <f>IF('Upto Month Current'!$I$56="",0,'Upto Month Current'!$I$56)</f>
        <v>0</v>
      </c>
      <c r="BG86" s="9">
        <f>IF('Upto Month Current'!$I$58="",0,'Upto Month Current'!$I$58)</f>
        <v>10003</v>
      </c>
      <c r="BH86" s="9">
        <f>SUM(AE86:BG86)</f>
        <v>6426604</v>
      </c>
      <c r="BI86" s="226">
        <f>AD86+BH86</f>
        <v>6435400</v>
      </c>
      <c r="BJ86" s="9">
        <f>IF('Upto Month Current'!$I$60="",0,'Upto Month Current'!$I$60)-'Upto Month Current'!I57</f>
        <v>120653</v>
      </c>
      <c r="BK86" s="49">
        <f t="shared" si="1116"/>
        <v>6314747</v>
      </c>
      <c r="BL86" s="99">
        <f>'Upto Month Current'!$I$61</f>
        <v>6314748</v>
      </c>
      <c r="BM86" s="30">
        <f t="shared" si="1117"/>
        <v>6305951</v>
      </c>
    </row>
    <row r="87" spans="1:66" ht="15.75" x14ac:dyDescent="0.25">
      <c r="A87" s="128"/>
      <c r="B87" s="5" t="s">
        <v>132</v>
      </c>
      <c r="C87" s="11">
        <f>C86-C84</f>
        <v>-1340</v>
      </c>
      <c r="D87" s="11">
        <f t="shared" ref="D87" si="1118">D86-D84</f>
        <v>-517</v>
      </c>
      <c r="E87" s="11">
        <f t="shared" ref="E87" si="1119">E86-E84</f>
        <v>0</v>
      </c>
      <c r="F87" s="11">
        <f t="shared" ref="F87" si="1120">F86-F84</f>
        <v>-139</v>
      </c>
      <c r="G87" s="11">
        <f t="shared" ref="G87" si="1121">G86-G84</f>
        <v>-40</v>
      </c>
      <c r="H87" s="11">
        <f t="shared" ref="H87" si="1122">H86-H84</f>
        <v>0</v>
      </c>
      <c r="I87" s="11">
        <f t="shared" ref="I87" si="1123">I86-I84</f>
        <v>0</v>
      </c>
      <c r="J87" s="11">
        <f t="shared" ref="J87" si="1124">J86-J84</f>
        <v>-365</v>
      </c>
      <c r="K87" s="11">
        <f t="shared" ref="K87" si="1125">K86-K84</f>
        <v>0</v>
      </c>
      <c r="L87" s="11">
        <f t="shared" ref="L87" si="1126">L86-L84</f>
        <v>-80</v>
      </c>
      <c r="M87" s="11">
        <f t="shared" ref="M87" si="1127">M86-M84</f>
        <v>-29</v>
      </c>
      <c r="N87" s="11">
        <f t="shared" ref="N87" si="1128">N86-N84</f>
        <v>0</v>
      </c>
      <c r="O87" s="11">
        <f t="shared" ref="O87" si="1129">O86-O84</f>
        <v>0</v>
      </c>
      <c r="P87" s="11">
        <f t="shared" ref="P87" si="1130">P86-P84</f>
        <v>-71</v>
      </c>
      <c r="Q87" s="11">
        <f t="shared" ref="Q87" si="1131">Q86-Q84</f>
        <v>0</v>
      </c>
      <c r="R87" s="11">
        <f t="shared" ref="R87" si="1132">R86-R84</f>
        <v>-66</v>
      </c>
      <c r="S87" s="11">
        <f t="shared" ref="S87" si="1133">S86-S84</f>
        <v>0</v>
      </c>
      <c r="T87" s="11">
        <f t="shared" ref="T87:U87" si="1134">T86-T84</f>
        <v>0</v>
      </c>
      <c r="U87" s="11">
        <f t="shared" si="1134"/>
        <v>0</v>
      </c>
      <c r="V87" s="9">
        <f t="shared" ref="V87" si="1135">V86-V84</f>
        <v>0</v>
      </c>
      <c r="W87" s="11">
        <f t="shared" ref="W87" si="1136">W86-W84</f>
        <v>0</v>
      </c>
      <c r="X87" s="11">
        <f t="shared" ref="X87" si="1137">X86-X84</f>
        <v>0</v>
      </c>
      <c r="Y87" s="11">
        <f t="shared" ref="Y87" si="1138">Y86-Y84</f>
        <v>-74</v>
      </c>
      <c r="Z87" s="11">
        <f t="shared" ref="Z87" si="1139">Z86-Z84</f>
        <v>0</v>
      </c>
      <c r="AA87" s="11">
        <f t="shared" ref="AA87:AD87" si="1140">AA86-AA84</f>
        <v>0</v>
      </c>
      <c r="AB87" s="11">
        <f t="shared" ref="AB87" si="1141">AB86-AB84</f>
        <v>-15</v>
      </c>
      <c r="AC87" s="10">
        <f t="shared" si="1140"/>
        <v>0</v>
      </c>
      <c r="AD87" s="227">
        <f t="shared" si="1140"/>
        <v>-2736</v>
      </c>
      <c r="AE87" s="11">
        <f t="shared" ref="AE87" si="1142">AE86-AE84</f>
        <v>0</v>
      </c>
      <c r="AF87" s="11">
        <f t="shared" ref="AF87" si="1143">AF86-AF84</f>
        <v>1</v>
      </c>
      <c r="AG87" s="11">
        <f t="shared" ref="AG87" si="1144">AG86-AG84</f>
        <v>0</v>
      </c>
      <c r="AH87" s="11">
        <f t="shared" ref="AH87" si="1145">AH86-AH84</f>
        <v>0</v>
      </c>
      <c r="AI87" s="11">
        <f t="shared" ref="AI87" si="1146">AI86-AI84</f>
        <v>0</v>
      </c>
      <c r="AJ87" s="11">
        <f t="shared" ref="AJ87" si="1147">AJ86-AJ84</f>
        <v>0</v>
      </c>
      <c r="AK87" s="11">
        <f t="shared" ref="AK87" si="1148">AK86-AK84</f>
        <v>146215</v>
      </c>
      <c r="AL87" s="11">
        <f t="shared" ref="AL87" si="1149">AL86-AL84</f>
        <v>-4225</v>
      </c>
      <c r="AM87" s="11">
        <f t="shared" ref="AM87" si="1150">AM86-AM84</f>
        <v>896040</v>
      </c>
      <c r="AN87" s="11">
        <f t="shared" ref="AN87" si="1151">AN86-AN84</f>
        <v>0</v>
      </c>
      <c r="AO87" s="9">
        <f t="shared" ref="AO87" si="1152">AO86-AO84</f>
        <v>0</v>
      </c>
      <c r="AP87" s="11">
        <f t="shared" ref="AP87" si="1153">AP86-AP84</f>
        <v>538701</v>
      </c>
      <c r="AQ87" s="10">
        <f t="shared" ref="AQ87" si="1154">AQ86-AQ84</f>
        <v>0</v>
      </c>
      <c r="AR87" s="11">
        <f t="shared" ref="AR87" si="1155">AR86-AR84</f>
        <v>-84388</v>
      </c>
      <c r="AS87" s="11">
        <f t="shared" ref="AS87" si="1156">AS86-AS84</f>
        <v>0</v>
      </c>
      <c r="AT87" s="11">
        <f t="shared" ref="AT87" si="1157">AT86-AT84</f>
        <v>0</v>
      </c>
      <c r="AU87" s="11">
        <f t="shared" ref="AU87" si="1158">AU86-AU84</f>
        <v>-42209</v>
      </c>
      <c r="AV87" s="11">
        <f t="shared" ref="AV87" si="1159">AV86-AV84</f>
        <v>0</v>
      </c>
      <c r="AW87" s="11">
        <f t="shared" ref="AW87" si="1160">AW86-AW84</f>
        <v>0</v>
      </c>
      <c r="AX87" s="11">
        <f t="shared" ref="AX87" si="1161">AX86-AX84</f>
        <v>0</v>
      </c>
      <c r="AY87" s="11">
        <f t="shared" ref="AY87" si="1162">AY86-AY84</f>
        <v>0</v>
      </c>
      <c r="AZ87" s="11">
        <f t="shared" ref="AZ87" si="1163">AZ86-AZ84</f>
        <v>335449</v>
      </c>
      <c r="BA87" s="11">
        <f t="shared" ref="BA87" si="1164">BA86-BA84</f>
        <v>671072</v>
      </c>
      <c r="BB87" s="10">
        <f t="shared" ref="BB87" si="1165">BB86-BB84</f>
        <v>0</v>
      </c>
      <c r="BC87" s="11">
        <f t="shared" ref="BC87" si="1166">BC86-BC84</f>
        <v>0</v>
      </c>
      <c r="BD87" s="11">
        <f t="shared" ref="BD87" si="1167">BD86-BD84</f>
        <v>0</v>
      </c>
      <c r="BE87" s="11">
        <f t="shared" ref="BE87" si="1168">BE86-BE84</f>
        <v>0</v>
      </c>
      <c r="BF87" s="11">
        <f t="shared" ref="BF87" si="1169">BF86-BF84</f>
        <v>0</v>
      </c>
      <c r="BG87" s="11">
        <f t="shared" ref="BG87:BH87" si="1170">BG86-BG84</f>
        <v>-1367</v>
      </c>
      <c r="BH87" s="9">
        <f t="shared" si="1170"/>
        <v>2455289</v>
      </c>
      <c r="BI87" s="227">
        <f t="shared" ref="BI87" si="1171">BI86-BI84</f>
        <v>2452553</v>
      </c>
      <c r="BJ87" s="11">
        <f t="shared" ref="BJ87:BK87" si="1172">BJ86-BJ84</f>
        <v>-78422</v>
      </c>
      <c r="BK87" s="49">
        <f t="shared" si="1172"/>
        <v>2530975</v>
      </c>
      <c r="BM87" s="30">
        <f t="shared" si="1117"/>
        <v>2533711</v>
      </c>
    </row>
    <row r="88" spans="1:66" ht="15.75" x14ac:dyDescent="0.25">
      <c r="A88" s="128"/>
      <c r="B88" s="5" t="s">
        <v>133</v>
      </c>
      <c r="C88" s="13">
        <f>C87/C84</f>
        <v>-0.18154721582441405</v>
      </c>
      <c r="D88" s="13">
        <f t="shared" ref="D88" si="1173">D87/D84</f>
        <v>-0.28469162995594716</v>
      </c>
      <c r="E88" s="13" t="e">
        <f t="shared" ref="E88" si="1174">E87/E84</f>
        <v>#DIV/0!</v>
      </c>
      <c r="F88" s="13">
        <f t="shared" ref="F88" si="1175">F87/F84</f>
        <v>-0.16868932038834952</v>
      </c>
      <c r="G88" s="13">
        <f t="shared" ref="G88" si="1176">G87/G84</f>
        <v>-0.1238390092879257</v>
      </c>
      <c r="H88" s="13" t="e">
        <f t="shared" ref="H88" si="1177">H87/H84</f>
        <v>#DIV/0!</v>
      </c>
      <c r="I88" s="13" t="e">
        <f t="shared" ref="I88" si="1178">I87/I84</f>
        <v>#DIV/0!</v>
      </c>
      <c r="J88" s="13">
        <f t="shared" ref="J88" si="1179">J87/J84</f>
        <v>-0.68224299065420557</v>
      </c>
      <c r="K88" s="13" t="e">
        <f t="shared" ref="K88" si="1180">K87/K84</f>
        <v>#DIV/0!</v>
      </c>
      <c r="L88" s="13">
        <f t="shared" ref="L88" si="1181">L87/L84</f>
        <v>-0.38095238095238093</v>
      </c>
      <c r="M88" s="13">
        <f t="shared" ref="M88" si="1182">M87/M84</f>
        <v>-0.15846994535519127</v>
      </c>
      <c r="N88" s="13" t="e">
        <f t="shared" ref="N88" si="1183">N87/N84</f>
        <v>#DIV/0!</v>
      </c>
      <c r="O88" s="13" t="e">
        <f t="shared" ref="O88" si="1184">O87/O84</f>
        <v>#DIV/0!</v>
      </c>
      <c r="P88" s="13">
        <f t="shared" ref="P88" si="1185">P87/P84</f>
        <v>-0.68932038834951459</v>
      </c>
      <c r="Q88" s="13" t="e">
        <f t="shared" ref="Q88" si="1186">Q87/Q84</f>
        <v>#DIV/0!</v>
      </c>
      <c r="R88" s="13">
        <f t="shared" ref="R88" si="1187">R87/R84</f>
        <v>-1</v>
      </c>
      <c r="S88" s="13" t="e">
        <f t="shared" ref="S88" si="1188">S87/S84</f>
        <v>#DIV/0!</v>
      </c>
      <c r="T88" s="13" t="e">
        <f t="shared" ref="T88:U88" si="1189">T87/T84</f>
        <v>#DIV/0!</v>
      </c>
      <c r="U88" s="13" t="e">
        <f t="shared" si="1189"/>
        <v>#DIV/0!</v>
      </c>
      <c r="V88" s="162" t="e">
        <f t="shared" ref="V88" si="1190">V87/V84</f>
        <v>#DIV/0!</v>
      </c>
      <c r="W88" s="13" t="e">
        <f t="shared" ref="W88" si="1191">W87/W84</f>
        <v>#DIV/0!</v>
      </c>
      <c r="X88" s="13" t="e">
        <f t="shared" ref="X88" si="1192">X87/X84</f>
        <v>#DIV/0!</v>
      </c>
      <c r="Y88" s="13">
        <f t="shared" ref="Y88" si="1193">Y87/Y84</f>
        <v>-0.97368421052631582</v>
      </c>
      <c r="Z88" s="13" t="e">
        <f t="shared" ref="Z88" si="1194">Z87/Z84</f>
        <v>#DIV/0!</v>
      </c>
      <c r="AA88" s="13" t="e">
        <f t="shared" ref="AA88:AD88" si="1195">AA87/AA84</f>
        <v>#DIV/0!</v>
      </c>
      <c r="AB88" s="13">
        <f t="shared" ref="AB88" si="1196">AB87/AB84</f>
        <v>-1</v>
      </c>
      <c r="AC88" s="14" t="e">
        <f t="shared" si="1195"/>
        <v>#DIV/0!</v>
      </c>
      <c r="AD88" s="228">
        <f t="shared" si="1195"/>
        <v>-0.23725286160249739</v>
      </c>
      <c r="AE88" s="13" t="e">
        <f t="shared" ref="AE88" si="1197">AE87/AE84</f>
        <v>#DIV/0!</v>
      </c>
      <c r="AF88" s="13" t="e">
        <f t="shared" ref="AF88" si="1198">AF87/AF84</f>
        <v>#DIV/0!</v>
      </c>
      <c r="AG88" s="13" t="e">
        <f t="shared" ref="AG88" si="1199">AG87/AG84</f>
        <v>#DIV/0!</v>
      </c>
      <c r="AH88" s="13" t="e">
        <f t="shared" ref="AH88" si="1200">AH87/AH84</f>
        <v>#DIV/0!</v>
      </c>
      <c r="AI88" s="13" t="e">
        <f t="shared" ref="AI88" si="1201">AI87/AI84</f>
        <v>#DIV/0!</v>
      </c>
      <c r="AJ88" s="13" t="e">
        <f t="shared" ref="AJ88" si="1202">AJ87/AJ84</f>
        <v>#DIV/0!</v>
      </c>
      <c r="AK88" s="13">
        <f t="shared" ref="AK88" si="1203">AK87/AK84</f>
        <v>2.3313455681872539</v>
      </c>
      <c r="AL88" s="13">
        <f t="shared" ref="AL88" si="1204">AL87/AL84</f>
        <v>-1</v>
      </c>
      <c r="AM88" s="13">
        <f t="shared" ref="AM88" si="1205">AM87/AM84</f>
        <v>0.29722390011334471</v>
      </c>
      <c r="AN88" s="13" t="e">
        <f t="shared" ref="AN88" si="1206">AN87/AN84</f>
        <v>#DIV/0!</v>
      </c>
      <c r="AO88" s="162" t="e">
        <f t="shared" ref="AO88" si="1207">AO87/AO84</f>
        <v>#DIV/0!</v>
      </c>
      <c r="AP88" s="13" t="e">
        <f t="shared" ref="AP88" si="1208">AP87/AP84</f>
        <v>#DIV/0!</v>
      </c>
      <c r="AQ88" s="14" t="e">
        <f t="shared" ref="AQ88" si="1209">AQ87/AQ84</f>
        <v>#DIV/0!</v>
      </c>
      <c r="AR88" s="13">
        <f t="shared" ref="AR88" si="1210">AR87/AR84</f>
        <v>-0.24294104099493322</v>
      </c>
      <c r="AS88" s="13" t="e">
        <f t="shared" ref="AS88" si="1211">AS87/AS84</f>
        <v>#DIV/0!</v>
      </c>
      <c r="AT88" s="13" t="e">
        <f t="shared" ref="AT88" si="1212">AT87/AT84</f>
        <v>#DIV/0!</v>
      </c>
      <c r="AU88" s="13">
        <f t="shared" ref="AU88" si="1213">AU87/AU84</f>
        <v>-0.2754527359937351</v>
      </c>
      <c r="AV88" s="13" t="e">
        <f t="shared" ref="AV88" si="1214">AV87/AV84</f>
        <v>#DIV/0!</v>
      </c>
      <c r="AW88" s="13" t="e">
        <f t="shared" ref="AW88" si="1215">AW87/AW84</f>
        <v>#DIV/0!</v>
      </c>
      <c r="AX88" s="13" t="e">
        <f t="shared" ref="AX88" si="1216">AX87/AX84</f>
        <v>#DIV/0!</v>
      </c>
      <c r="AY88" s="13" t="e">
        <f t="shared" ref="AY88" si="1217">AY87/AY84</f>
        <v>#DIV/0!</v>
      </c>
      <c r="AZ88" s="13">
        <f t="shared" ref="AZ88" si="1218">AZ87/AZ84</f>
        <v>2.4025511738837717</v>
      </c>
      <c r="BA88" s="13">
        <f t="shared" ref="BA88" si="1219">BA87/BA84</f>
        <v>2.8185762466976634</v>
      </c>
      <c r="BB88" s="14" t="e">
        <f t="shared" ref="BB88" si="1220">BB87/BB84</f>
        <v>#DIV/0!</v>
      </c>
      <c r="BC88" s="13" t="e">
        <f t="shared" ref="BC88" si="1221">BC87/BC84</f>
        <v>#DIV/0!</v>
      </c>
      <c r="BD88" s="13" t="e">
        <f t="shared" ref="BD88" si="1222">BD87/BD84</f>
        <v>#DIV/0!</v>
      </c>
      <c r="BE88" s="13" t="e">
        <f t="shared" ref="BE88" si="1223">BE87/BE84</f>
        <v>#DIV/0!</v>
      </c>
      <c r="BF88" s="13" t="e">
        <f t="shared" ref="BF88" si="1224">BF87/BF84</f>
        <v>#DIV/0!</v>
      </c>
      <c r="BG88" s="13">
        <f t="shared" ref="BG88:BH88" si="1225">BG87/BG84</f>
        <v>-0.12022867194371152</v>
      </c>
      <c r="BH88" s="162">
        <f t="shared" si="1225"/>
        <v>0.61825591775016586</v>
      </c>
      <c r="BI88" s="228">
        <f t="shared" ref="BI88" si="1226">BI87/BI84</f>
        <v>0.61577886371231438</v>
      </c>
      <c r="BJ88" s="13">
        <f t="shared" ref="BJ88:BK88" si="1227">BJ87/BJ84</f>
        <v>-0.3939319352003014</v>
      </c>
      <c r="BK88" s="50">
        <f t="shared" si="1227"/>
        <v>0.66890261886815594</v>
      </c>
      <c r="BM88" s="162" t="e">
        <f t="shared" ref="BM88" si="1228">BM87/BM84</f>
        <v>#DIV/0!</v>
      </c>
    </row>
    <row r="89" spans="1:66" ht="15.75" x14ac:dyDescent="0.25">
      <c r="A89" s="128"/>
      <c r="B89" s="5" t="s">
        <v>134</v>
      </c>
      <c r="C89" s="11">
        <f>C86-C85</f>
        <v>-322</v>
      </c>
      <c r="D89" s="11">
        <f t="shared" ref="D89:BK89" si="1229">D86-D85</f>
        <v>218</v>
      </c>
      <c r="E89" s="11">
        <f t="shared" si="1229"/>
        <v>0</v>
      </c>
      <c r="F89" s="11">
        <f t="shared" si="1229"/>
        <v>-42</v>
      </c>
      <c r="G89" s="11">
        <f t="shared" si="1229"/>
        <v>-1</v>
      </c>
      <c r="H89" s="11">
        <f t="shared" si="1229"/>
        <v>0</v>
      </c>
      <c r="I89" s="11">
        <f t="shared" si="1229"/>
        <v>0</v>
      </c>
      <c r="J89" s="11">
        <f t="shared" si="1229"/>
        <v>-277</v>
      </c>
      <c r="K89" s="11">
        <f t="shared" si="1229"/>
        <v>0</v>
      </c>
      <c r="L89" s="11">
        <f t="shared" si="1229"/>
        <v>-43</v>
      </c>
      <c r="M89" s="11">
        <f t="shared" si="1229"/>
        <v>-4</v>
      </c>
      <c r="N89" s="11">
        <f t="shared" si="1229"/>
        <v>0</v>
      </c>
      <c r="O89" s="11">
        <f t="shared" si="1229"/>
        <v>0</v>
      </c>
      <c r="P89" s="11">
        <f t="shared" si="1229"/>
        <v>-60</v>
      </c>
      <c r="Q89" s="11">
        <f t="shared" si="1229"/>
        <v>0</v>
      </c>
      <c r="R89" s="11">
        <f t="shared" si="1229"/>
        <v>-56</v>
      </c>
      <c r="S89" s="11">
        <f t="shared" si="1229"/>
        <v>0</v>
      </c>
      <c r="T89" s="11">
        <f t="shared" si="1229"/>
        <v>0</v>
      </c>
      <c r="U89" s="11">
        <f t="shared" ref="U89" si="1230">U86-U85</f>
        <v>0</v>
      </c>
      <c r="V89" s="9">
        <f t="shared" si="1229"/>
        <v>0</v>
      </c>
      <c r="W89" s="11">
        <f t="shared" si="1229"/>
        <v>0</v>
      </c>
      <c r="X89" s="11">
        <f t="shared" si="1229"/>
        <v>0</v>
      </c>
      <c r="Y89" s="11">
        <f t="shared" si="1229"/>
        <v>-96</v>
      </c>
      <c r="Z89" s="11">
        <f t="shared" si="1229"/>
        <v>0</v>
      </c>
      <c r="AA89" s="11">
        <f t="shared" si="1229"/>
        <v>0</v>
      </c>
      <c r="AB89" s="11">
        <f t="shared" ref="AB89" si="1231">AB86-AB85</f>
        <v>0</v>
      </c>
      <c r="AC89" s="10">
        <f t="shared" ref="AC89:AD89" si="1232">AC86-AC85</f>
        <v>0</v>
      </c>
      <c r="AD89" s="227">
        <f t="shared" si="1232"/>
        <v>-683</v>
      </c>
      <c r="AE89" s="11">
        <f t="shared" si="1229"/>
        <v>0</v>
      </c>
      <c r="AF89" s="11">
        <f t="shared" si="1229"/>
        <v>1</v>
      </c>
      <c r="AG89" s="11">
        <f t="shared" si="1229"/>
        <v>0</v>
      </c>
      <c r="AH89" s="11">
        <f t="shared" si="1229"/>
        <v>0</v>
      </c>
      <c r="AI89" s="11">
        <f t="shared" si="1229"/>
        <v>0</v>
      </c>
      <c r="AJ89" s="11">
        <f t="shared" si="1229"/>
        <v>0</v>
      </c>
      <c r="AK89" s="11">
        <f t="shared" si="1229"/>
        <v>157112</v>
      </c>
      <c r="AL89" s="11">
        <f t="shared" si="1229"/>
        <v>0</v>
      </c>
      <c r="AM89" s="11">
        <f t="shared" si="1229"/>
        <v>1279871</v>
      </c>
      <c r="AN89" s="11">
        <f t="shared" si="1229"/>
        <v>0</v>
      </c>
      <c r="AO89" s="9">
        <f t="shared" si="1229"/>
        <v>0</v>
      </c>
      <c r="AP89" s="11">
        <f t="shared" si="1229"/>
        <v>538701</v>
      </c>
      <c r="AQ89" s="10">
        <f t="shared" si="1229"/>
        <v>0</v>
      </c>
      <c r="AR89" s="11">
        <f t="shared" si="1229"/>
        <v>-228761</v>
      </c>
      <c r="AS89" s="11">
        <f t="shared" si="1229"/>
        <v>0</v>
      </c>
      <c r="AT89" s="11">
        <f t="shared" si="1229"/>
        <v>0</v>
      </c>
      <c r="AU89" s="11">
        <f t="shared" si="1229"/>
        <v>-75049</v>
      </c>
      <c r="AV89" s="11">
        <f t="shared" si="1229"/>
        <v>0</v>
      </c>
      <c r="AW89" s="11">
        <f t="shared" si="1229"/>
        <v>0</v>
      </c>
      <c r="AX89" s="11">
        <f t="shared" si="1229"/>
        <v>0</v>
      </c>
      <c r="AY89" s="11">
        <f t="shared" si="1229"/>
        <v>0</v>
      </c>
      <c r="AZ89" s="11">
        <f t="shared" si="1229"/>
        <v>350096</v>
      </c>
      <c r="BA89" s="11">
        <f t="shared" si="1229"/>
        <v>581902</v>
      </c>
      <c r="BB89" s="10">
        <f t="shared" si="1229"/>
        <v>0</v>
      </c>
      <c r="BC89" s="11">
        <f t="shared" si="1229"/>
        <v>0</v>
      </c>
      <c r="BD89" s="11">
        <f t="shared" si="1229"/>
        <v>0</v>
      </c>
      <c r="BE89" s="11">
        <f t="shared" si="1229"/>
        <v>0</v>
      </c>
      <c r="BF89" s="11">
        <f t="shared" si="1229"/>
        <v>0</v>
      </c>
      <c r="BG89" s="11">
        <f t="shared" si="1229"/>
        <v>-22275</v>
      </c>
      <c r="BH89" s="9">
        <f t="shared" si="1229"/>
        <v>2581598</v>
      </c>
      <c r="BI89" s="227">
        <f t="shared" si="1229"/>
        <v>2580915</v>
      </c>
      <c r="BJ89" s="11">
        <f t="shared" si="1229"/>
        <v>55007</v>
      </c>
      <c r="BK89" s="49">
        <f t="shared" si="1229"/>
        <v>2525908</v>
      </c>
      <c r="BM89" s="30">
        <f t="shared" si="1117"/>
        <v>2526591</v>
      </c>
    </row>
    <row r="90" spans="1:66" ht="15.75" x14ac:dyDescent="0.25">
      <c r="A90" s="128"/>
      <c r="B90" s="5" t="s">
        <v>135</v>
      </c>
      <c r="C90" s="13">
        <f>C89/C85</f>
        <v>-5.0605060506050605E-2</v>
      </c>
      <c r="D90" s="13">
        <f t="shared" ref="D90" si="1233">D89/D85</f>
        <v>0.20166512488436633</v>
      </c>
      <c r="E90" s="13" t="e">
        <f t="shared" ref="E90" si="1234">E89/E85</f>
        <v>#DIV/0!</v>
      </c>
      <c r="F90" s="13">
        <f t="shared" ref="F90" si="1235">F89/F85</f>
        <v>-5.7771664374140302E-2</v>
      </c>
      <c r="G90" s="13">
        <f t="shared" ref="G90" si="1236">G89/G85</f>
        <v>-3.5211267605633804E-3</v>
      </c>
      <c r="H90" s="13" t="e">
        <f t="shared" ref="H90" si="1237">H89/H85</f>
        <v>#DIV/0!</v>
      </c>
      <c r="I90" s="13" t="e">
        <f t="shared" ref="I90" si="1238">I89/I85</f>
        <v>#DIV/0!</v>
      </c>
      <c r="J90" s="13">
        <f t="shared" ref="J90" si="1239">J89/J85</f>
        <v>-0.61968680089485462</v>
      </c>
      <c r="K90" s="13" t="e">
        <f t="shared" ref="K90" si="1240">K89/K85</f>
        <v>#DIV/0!</v>
      </c>
      <c r="L90" s="13">
        <f t="shared" ref="L90" si="1241">L89/L85</f>
        <v>-0.24855491329479767</v>
      </c>
      <c r="M90" s="13">
        <f t="shared" ref="M90" si="1242">M89/M85</f>
        <v>-2.5316455696202531E-2</v>
      </c>
      <c r="N90" s="13" t="e">
        <f t="shared" ref="N90" si="1243">N89/N85</f>
        <v>#DIV/0!</v>
      </c>
      <c r="O90" s="13" t="e">
        <f t="shared" ref="O90" si="1244">O89/O85</f>
        <v>#DIV/0!</v>
      </c>
      <c r="P90" s="13">
        <f t="shared" ref="P90" si="1245">P89/P85</f>
        <v>-0.65217391304347827</v>
      </c>
      <c r="Q90" s="13" t="e">
        <f t="shared" ref="Q90" si="1246">Q89/Q85</f>
        <v>#DIV/0!</v>
      </c>
      <c r="R90" s="13">
        <f t="shared" ref="R90" si="1247">R89/R85</f>
        <v>-1</v>
      </c>
      <c r="S90" s="13" t="e">
        <f t="shared" ref="S90" si="1248">S89/S85</f>
        <v>#DIV/0!</v>
      </c>
      <c r="T90" s="13" t="e">
        <f t="shared" ref="T90:U90" si="1249">T89/T85</f>
        <v>#DIV/0!</v>
      </c>
      <c r="U90" s="13" t="e">
        <f t="shared" si="1249"/>
        <v>#DIV/0!</v>
      </c>
      <c r="V90" s="162" t="e">
        <f t="shared" ref="V90" si="1250">V89/V85</f>
        <v>#DIV/0!</v>
      </c>
      <c r="W90" s="13" t="e">
        <f t="shared" ref="W90" si="1251">W89/W85</f>
        <v>#DIV/0!</v>
      </c>
      <c r="X90" s="13" t="e">
        <f t="shared" ref="X90" si="1252">X89/X85</f>
        <v>#DIV/0!</v>
      </c>
      <c r="Y90" s="13">
        <f t="shared" ref="Y90" si="1253">Y89/Y85</f>
        <v>-0.97959183673469385</v>
      </c>
      <c r="Z90" s="13" t="e">
        <f t="shared" ref="Z90" si="1254">Z89/Z85</f>
        <v>#DIV/0!</v>
      </c>
      <c r="AA90" s="13" t="e">
        <f t="shared" ref="AA90:AD90" si="1255">AA89/AA85</f>
        <v>#DIV/0!</v>
      </c>
      <c r="AB90" s="13" t="e">
        <f t="shared" ref="AB90" si="1256">AB89/AB85</f>
        <v>#DIV/0!</v>
      </c>
      <c r="AC90" s="14" t="e">
        <f t="shared" si="1255"/>
        <v>#DIV/0!</v>
      </c>
      <c r="AD90" s="228">
        <f t="shared" si="1255"/>
        <v>-7.2054014136512287E-2</v>
      </c>
      <c r="AE90" s="13" t="e">
        <f t="shared" ref="AE90" si="1257">AE89/AE85</f>
        <v>#DIV/0!</v>
      </c>
      <c r="AF90" s="13" t="e">
        <f t="shared" ref="AF90" si="1258">AF89/AF85</f>
        <v>#DIV/0!</v>
      </c>
      <c r="AG90" s="13" t="e">
        <f t="shared" ref="AG90" si="1259">AG89/AG85</f>
        <v>#DIV/0!</v>
      </c>
      <c r="AH90" s="13" t="e">
        <f t="shared" ref="AH90" si="1260">AH89/AH85</f>
        <v>#DIV/0!</v>
      </c>
      <c r="AI90" s="13" t="e">
        <f t="shared" ref="AI90" si="1261">AI89/AI85</f>
        <v>#DIV/0!</v>
      </c>
      <c r="AJ90" s="13" t="e">
        <f t="shared" ref="AJ90" si="1262">AJ89/AJ85</f>
        <v>#DIV/0!</v>
      </c>
      <c r="AK90" s="13">
        <f t="shared" ref="AK90" si="1263">AK89/AK85</f>
        <v>3.03187958317252</v>
      </c>
      <c r="AL90" s="13" t="e">
        <f t="shared" ref="AL90" si="1264">AL89/AL85</f>
        <v>#DIV/0!</v>
      </c>
      <c r="AM90" s="13">
        <f t="shared" ref="AM90" si="1265">AM89/AM85</f>
        <v>0.48648277791419253</v>
      </c>
      <c r="AN90" s="13" t="e">
        <f t="shared" ref="AN90" si="1266">AN89/AN85</f>
        <v>#DIV/0!</v>
      </c>
      <c r="AO90" s="162" t="e">
        <f t="shared" ref="AO90" si="1267">AO89/AO85</f>
        <v>#DIV/0!</v>
      </c>
      <c r="AP90" s="13" t="e">
        <f t="shared" ref="AP90" si="1268">AP89/AP85</f>
        <v>#DIV/0!</v>
      </c>
      <c r="AQ90" s="14" t="e">
        <f t="shared" ref="AQ90" si="1269">AQ89/AQ85</f>
        <v>#DIV/0!</v>
      </c>
      <c r="AR90" s="13">
        <f t="shared" ref="AR90" si="1270">AR89/AR85</f>
        <v>-0.46521384572522079</v>
      </c>
      <c r="AS90" s="13" t="e">
        <f t="shared" ref="AS90" si="1271">AS89/AS85</f>
        <v>#DIV/0!</v>
      </c>
      <c r="AT90" s="13" t="e">
        <f t="shared" ref="AT90" si="1272">AT89/AT85</f>
        <v>#DIV/0!</v>
      </c>
      <c r="AU90" s="13">
        <f t="shared" ref="AU90" si="1273">AU89/AU85</f>
        <v>-0.40332661561198441</v>
      </c>
      <c r="AV90" s="13" t="e">
        <f t="shared" ref="AV90" si="1274">AV89/AV85</f>
        <v>#DIV/0!</v>
      </c>
      <c r="AW90" s="13" t="e">
        <f t="shared" ref="AW90" si="1275">AW89/AW85</f>
        <v>#DIV/0!</v>
      </c>
      <c r="AX90" s="13" t="e">
        <f t="shared" ref="AX90" si="1276">AX89/AX85</f>
        <v>#DIV/0!</v>
      </c>
      <c r="AY90" s="13" t="e">
        <f t="shared" ref="AY90" si="1277">AY89/AY85</f>
        <v>#DIV/0!</v>
      </c>
      <c r="AZ90" s="13">
        <f t="shared" ref="AZ90" si="1278">AZ89/AZ85</f>
        <v>2.8013282656531304</v>
      </c>
      <c r="BA90" s="13">
        <f t="shared" ref="BA90" si="1279">BA89/BA85</f>
        <v>1.7781084706608528</v>
      </c>
      <c r="BB90" s="14" t="e">
        <f t="shared" ref="BB90" si="1280">BB89/BB85</f>
        <v>#DIV/0!</v>
      </c>
      <c r="BC90" s="13" t="e">
        <f t="shared" ref="BC90" si="1281">BC89/BC85</f>
        <v>#DIV/0!</v>
      </c>
      <c r="BD90" s="13" t="e">
        <f t="shared" ref="BD90" si="1282">BD89/BD85</f>
        <v>#DIV/0!</v>
      </c>
      <c r="BE90" s="13" t="e">
        <f t="shared" ref="BE90" si="1283">BE89/BE85</f>
        <v>#DIV/0!</v>
      </c>
      <c r="BF90" s="13" t="e">
        <f t="shared" ref="BF90" si="1284">BF89/BF85</f>
        <v>#DIV/0!</v>
      </c>
      <c r="BG90" s="13">
        <f t="shared" ref="BG90:BH90" si="1285">BG89/BG85</f>
        <v>-0.69009851911518683</v>
      </c>
      <c r="BH90" s="162">
        <f t="shared" si="1285"/>
        <v>0.67141585734846709</v>
      </c>
      <c r="BI90" s="228">
        <f t="shared" ref="BI90" si="1286">BI89/BI85</f>
        <v>0.6695875065021657</v>
      </c>
      <c r="BJ90" s="13">
        <f t="shared" ref="BJ90:BK90" si="1287">BJ89/BJ85</f>
        <v>0.83793376595679858</v>
      </c>
      <c r="BK90" s="50">
        <f t="shared" si="1287"/>
        <v>0.6666707136407749</v>
      </c>
      <c r="BM90" s="14">
        <f t="shared" ref="BM90" si="1288">BM89/BM85</f>
        <v>0.66852350662546045</v>
      </c>
    </row>
    <row r="91" spans="1:66" ht="15.75" x14ac:dyDescent="0.25">
      <c r="A91" s="128"/>
      <c r="B91" s="5" t="s">
        <v>296</v>
      </c>
      <c r="C91" s="126">
        <f>C86/C83</f>
        <v>0.36001191895113233</v>
      </c>
      <c r="D91" s="126">
        <f t="shared" ref="D91:BK91" si="1289">D86/D83</f>
        <v>0.2541576990804148</v>
      </c>
      <c r="E91" s="126">
        <f t="shared" si="1289"/>
        <v>0</v>
      </c>
      <c r="F91" s="126">
        <f t="shared" si="1289"/>
        <v>0.3655282817502668</v>
      </c>
      <c r="G91" s="126">
        <f t="shared" si="1289"/>
        <v>0.38555858310626701</v>
      </c>
      <c r="H91" s="126" t="e">
        <f t="shared" si="1289"/>
        <v>#DIV/0!</v>
      </c>
      <c r="I91" s="126" t="e">
        <f t="shared" si="1289"/>
        <v>#DIV/0!</v>
      </c>
      <c r="J91" s="126">
        <f t="shared" si="1289"/>
        <v>0.13991769547325103</v>
      </c>
      <c r="K91" s="126" t="e">
        <f t="shared" si="1289"/>
        <v>#DIV/0!</v>
      </c>
      <c r="L91" s="126">
        <f t="shared" si="1289"/>
        <v>0.27368421052631581</v>
      </c>
      <c r="M91" s="126">
        <f t="shared" si="1289"/>
        <v>0.36930455635491605</v>
      </c>
      <c r="N91" s="126" t="e">
        <f t="shared" si="1289"/>
        <v>#DIV/0!</v>
      </c>
      <c r="O91" s="126" t="e">
        <f t="shared" si="1289"/>
        <v>#DIV/0!</v>
      </c>
      <c r="P91" s="126">
        <f t="shared" si="1289"/>
        <v>0.13733905579399142</v>
      </c>
      <c r="Q91" s="126" t="e">
        <f t="shared" si="1289"/>
        <v>#DIV/0!</v>
      </c>
      <c r="R91" s="126">
        <f t="shared" si="1289"/>
        <v>0</v>
      </c>
      <c r="S91" s="126" t="e">
        <f t="shared" si="1289"/>
        <v>#DIV/0!</v>
      </c>
      <c r="T91" s="126" t="e">
        <f t="shared" si="1289"/>
        <v>#DIV/0!</v>
      </c>
      <c r="U91" s="126" t="e">
        <f t="shared" si="1289"/>
        <v>#DIV/0!</v>
      </c>
      <c r="V91" s="177" t="e">
        <f t="shared" si="1289"/>
        <v>#DIV/0!</v>
      </c>
      <c r="W91" s="126" t="e">
        <f t="shared" si="1289"/>
        <v>#DIV/0!</v>
      </c>
      <c r="X91" s="126" t="e">
        <f t="shared" si="1289"/>
        <v>#DIV/0!</v>
      </c>
      <c r="Y91" s="126">
        <f t="shared" si="1289"/>
        <v>1.1764705882352941E-2</v>
      </c>
      <c r="Z91" s="126" t="e">
        <f t="shared" si="1289"/>
        <v>#DIV/0!</v>
      </c>
      <c r="AA91" s="126" t="e">
        <f t="shared" si="1289"/>
        <v>#DIV/0!</v>
      </c>
      <c r="AB91" s="126">
        <f t="shared" ref="AB91" si="1290">AB86/AB83</f>
        <v>0</v>
      </c>
      <c r="AC91" s="215" t="e">
        <f t="shared" si="1289"/>
        <v>#DIV/0!</v>
      </c>
      <c r="AD91" s="229">
        <f t="shared" si="1289"/>
        <v>0.31711010166558512</v>
      </c>
      <c r="AE91" s="126" t="e">
        <f t="shared" si="1289"/>
        <v>#DIV/0!</v>
      </c>
      <c r="AF91" s="126" t="e">
        <f t="shared" si="1289"/>
        <v>#DIV/0!</v>
      </c>
      <c r="AG91" s="126" t="e">
        <f t="shared" si="1289"/>
        <v>#DIV/0!</v>
      </c>
      <c r="AH91" s="126" t="e">
        <f t="shared" si="1289"/>
        <v>#DIV/0!</v>
      </c>
      <c r="AI91" s="126" t="e">
        <f t="shared" si="1289"/>
        <v>#DIV/0!</v>
      </c>
      <c r="AJ91" s="126" t="e">
        <f t="shared" si="1289"/>
        <v>#DIV/0!</v>
      </c>
      <c r="AK91" s="126">
        <f t="shared" si="1289"/>
        <v>1.465798594059128</v>
      </c>
      <c r="AL91" s="126">
        <f t="shared" si="1289"/>
        <v>0</v>
      </c>
      <c r="AM91" s="126">
        <f t="shared" si="1289"/>
        <v>0.57077869023533545</v>
      </c>
      <c r="AN91" s="126" t="e">
        <f t="shared" si="1289"/>
        <v>#DIV/0!</v>
      </c>
      <c r="AO91" s="177" t="e">
        <f t="shared" si="1289"/>
        <v>#DIV/0!</v>
      </c>
      <c r="AP91" s="126" t="e">
        <f t="shared" si="1289"/>
        <v>#DIV/0!</v>
      </c>
      <c r="AQ91" s="215" t="e">
        <f t="shared" si="1289"/>
        <v>#DIV/0!</v>
      </c>
      <c r="AR91" s="126">
        <f t="shared" si="1289"/>
        <v>0.3331053282260189</v>
      </c>
      <c r="AS91" s="126" t="e">
        <f t="shared" si="1289"/>
        <v>#DIV/0!</v>
      </c>
      <c r="AT91" s="126" t="e">
        <f t="shared" si="1289"/>
        <v>#DIV/0!</v>
      </c>
      <c r="AU91" s="126">
        <f t="shared" si="1289"/>
        <v>0.31880112903827879</v>
      </c>
      <c r="AV91" s="126" t="e">
        <f t="shared" si="1289"/>
        <v>#DIV/0!</v>
      </c>
      <c r="AW91" s="126" t="e">
        <f t="shared" si="1289"/>
        <v>#DIV/0!</v>
      </c>
      <c r="AX91" s="126" t="e">
        <f t="shared" si="1289"/>
        <v>#DIV/0!</v>
      </c>
      <c r="AY91" s="126" t="e">
        <f t="shared" si="1289"/>
        <v>#DIV/0!</v>
      </c>
      <c r="AZ91" s="126">
        <f t="shared" si="1289"/>
        <v>1.4971165118301799</v>
      </c>
      <c r="BA91" s="126">
        <f t="shared" si="1289"/>
        <v>1.6801777827059192</v>
      </c>
      <c r="BB91" s="215" t="e">
        <f t="shared" si="1289"/>
        <v>#DIV/0!</v>
      </c>
      <c r="BC91" s="126" t="e">
        <f t="shared" si="1289"/>
        <v>#DIV/0!</v>
      </c>
      <c r="BD91" s="126" t="e">
        <f t="shared" si="1289"/>
        <v>#DIV/0!</v>
      </c>
      <c r="BE91" s="126" t="e">
        <f t="shared" si="1289"/>
        <v>#DIV/0!</v>
      </c>
      <c r="BF91" s="126" t="e">
        <f t="shared" si="1289"/>
        <v>#DIV/0!</v>
      </c>
      <c r="BG91" s="126">
        <f t="shared" si="1289"/>
        <v>0.38717293698714972</v>
      </c>
      <c r="BH91" s="177">
        <f t="shared" si="1289"/>
        <v>0.71203306997455051</v>
      </c>
      <c r="BI91" s="229">
        <f t="shared" si="1289"/>
        <v>0.71082310297689899</v>
      </c>
      <c r="BJ91" s="126">
        <f t="shared" si="1289"/>
        <v>0.25253047453199828</v>
      </c>
      <c r="BK91" s="126">
        <f t="shared" si="1289"/>
        <v>0.73635593805360089</v>
      </c>
      <c r="BM91" s="126" t="e">
        <f t="shared" ref="BM91" si="1291">BM86/BM83</f>
        <v>#DIV/0!</v>
      </c>
    </row>
    <row r="92" spans="1:66" s="180" customFormat="1" ht="15.75" x14ac:dyDescent="0.25">
      <c r="A92" s="128"/>
      <c r="B92" s="5" t="s">
        <v>297</v>
      </c>
      <c r="C92" s="11">
        <f>C86-C83</f>
        <v>-10739</v>
      </c>
      <c r="D92" s="11">
        <f t="shared" ref="D92:BM92" si="1292">D86-D83</f>
        <v>-3812</v>
      </c>
      <c r="E92" s="11">
        <f t="shared" si="1292"/>
        <v>-546</v>
      </c>
      <c r="F92" s="11">
        <f t="shared" si="1292"/>
        <v>-1189</v>
      </c>
      <c r="G92" s="11">
        <f t="shared" si="1292"/>
        <v>-451</v>
      </c>
      <c r="H92" s="11">
        <f t="shared" si="1292"/>
        <v>0</v>
      </c>
      <c r="I92" s="11">
        <f t="shared" si="1292"/>
        <v>0</v>
      </c>
      <c r="J92" s="11">
        <f t="shared" si="1292"/>
        <v>-1045</v>
      </c>
      <c r="K92" s="11">
        <f t="shared" si="1292"/>
        <v>0</v>
      </c>
      <c r="L92" s="11">
        <f t="shared" si="1292"/>
        <v>-345</v>
      </c>
      <c r="M92" s="11">
        <f t="shared" si="1292"/>
        <v>-263</v>
      </c>
      <c r="N92" s="11">
        <f t="shared" si="1292"/>
        <v>0</v>
      </c>
      <c r="O92" s="11">
        <f t="shared" si="1292"/>
        <v>0</v>
      </c>
      <c r="P92" s="11">
        <f t="shared" si="1292"/>
        <v>-201</v>
      </c>
      <c r="Q92" s="11">
        <f t="shared" si="1292"/>
        <v>0</v>
      </c>
      <c r="R92" s="11">
        <f t="shared" si="1292"/>
        <v>-150</v>
      </c>
      <c r="S92" s="11">
        <f t="shared" si="1292"/>
        <v>0</v>
      </c>
      <c r="T92" s="11">
        <f t="shared" si="1292"/>
        <v>0</v>
      </c>
      <c r="U92" s="11">
        <f t="shared" si="1292"/>
        <v>0</v>
      </c>
      <c r="V92" s="9">
        <f t="shared" si="1292"/>
        <v>0</v>
      </c>
      <c r="W92" s="11">
        <f t="shared" si="1292"/>
        <v>0</v>
      </c>
      <c r="X92" s="11">
        <f t="shared" si="1292"/>
        <v>0</v>
      </c>
      <c r="Y92" s="11">
        <f t="shared" si="1292"/>
        <v>-168</v>
      </c>
      <c r="Z92" s="11">
        <f t="shared" si="1292"/>
        <v>0</v>
      </c>
      <c r="AA92" s="11">
        <f t="shared" si="1292"/>
        <v>0</v>
      </c>
      <c r="AB92" s="11">
        <f t="shared" ref="AB92" si="1293">AB86-AB83</f>
        <v>-33</v>
      </c>
      <c r="AC92" s="10">
        <f t="shared" si="1292"/>
        <v>0</v>
      </c>
      <c r="AD92" s="227">
        <f t="shared" si="1292"/>
        <v>-18942</v>
      </c>
      <c r="AE92" s="11">
        <f t="shared" si="1292"/>
        <v>0</v>
      </c>
      <c r="AF92" s="11">
        <f t="shared" si="1292"/>
        <v>1</v>
      </c>
      <c r="AG92" s="11">
        <f t="shared" si="1292"/>
        <v>0</v>
      </c>
      <c r="AH92" s="11">
        <f t="shared" si="1292"/>
        <v>0</v>
      </c>
      <c r="AI92" s="11">
        <f t="shared" si="1292"/>
        <v>0</v>
      </c>
      <c r="AJ92" s="11">
        <f t="shared" si="1292"/>
        <v>0</v>
      </c>
      <c r="AK92" s="11">
        <f t="shared" si="1292"/>
        <v>66394</v>
      </c>
      <c r="AL92" s="11">
        <f t="shared" si="1292"/>
        <v>-9603</v>
      </c>
      <c r="AM92" s="11">
        <f t="shared" si="1292"/>
        <v>-2940845</v>
      </c>
      <c r="AN92" s="11">
        <f t="shared" si="1292"/>
        <v>0</v>
      </c>
      <c r="AO92" s="9">
        <f t="shared" si="1292"/>
        <v>0</v>
      </c>
      <c r="AP92" s="11">
        <f t="shared" si="1292"/>
        <v>538701</v>
      </c>
      <c r="AQ92" s="10">
        <f t="shared" si="1292"/>
        <v>0</v>
      </c>
      <c r="AR92" s="11">
        <f t="shared" si="1292"/>
        <v>-526484</v>
      </c>
      <c r="AS92" s="11">
        <f t="shared" si="1292"/>
        <v>0</v>
      </c>
      <c r="AT92" s="11">
        <f t="shared" si="1292"/>
        <v>0</v>
      </c>
      <c r="AU92" s="11">
        <f t="shared" si="1292"/>
        <v>-237235</v>
      </c>
      <c r="AV92" s="11">
        <f t="shared" si="1292"/>
        <v>0</v>
      </c>
      <c r="AW92" s="11">
        <f t="shared" si="1292"/>
        <v>0</v>
      </c>
      <c r="AX92" s="11">
        <f t="shared" si="1292"/>
        <v>0</v>
      </c>
      <c r="AY92" s="11">
        <f t="shared" si="1292"/>
        <v>0</v>
      </c>
      <c r="AZ92" s="11">
        <f t="shared" si="1292"/>
        <v>157747</v>
      </c>
      <c r="BA92" s="11">
        <f t="shared" si="1292"/>
        <v>368051</v>
      </c>
      <c r="BB92" s="10">
        <f t="shared" si="1292"/>
        <v>0</v>
      </c>
      <c r="BC92" s="11">
        <f t="shared" si="1292"/>
        <v>0</v>
      </c>
      <c r="BD92" s="11">
        <f t="shared" si="1292"/>
        <v>0</v>
      </c>
      <c r="BE92" s="11">
        <f t="shared" si="1292"/>
        <v>0</v>
      </c>
      <c r="BF92" s="11">
        <f t="shared" si="1292"/>
        <v>0</v>
      </c>
      <c r="BG92" s="11">
        <f t="shared" si="1292"/>
        <v>-15833</v>
      </c>
      <c r="BH92" s="11">
        <f t="shared" si="1292"/>
        <v>-2599106</v>
      </c>
      <c r="BI92" s="227">
        <f t="shared" si="1292"/>
        <v>-2618048</v>
      </c>
      <c r="BJ92" s="11">
        <f t="shared" si="1292"/>
        <v>-357123</v>
      </c>
      <c r="BK92" s="11">
        <f t="shared" si="1292"/>
        <v>-2260925</v>
      </c>
      <c r="BL92" s="11">
        <f t="shared" si="1292"/>
        <v>6314740</v>
      </c>
      <c r="BM92" s="11">
        <f t="shared" si="1292"/>
        <v>6305951</v>
      </c>
    </row>
    <row r="93" spans="1:66" s="180" customFormat="1" ht="15.75" x14ac:dyDescent="0.25">
      <c r="A93" s="128"/>
      <c r="B93" s="5"/>
      <c r="C93" s="5"/>
      <c r="D93" s="5"/>
      <c r="E93" s="5"/>
      <c r="F93" s="5"/>
      <c r="G93" s="5"/>
      <c r="H93" s="5"/>
      <c r="I93" s="5"/>
      <c r="J93" s="5"/>
      <c r="K93" s="5"/>
      <c r="L93" s="5"/>
      <c r="M93" s="5"/>
      <c r="N93" s="5"/>
      <c r="O93" s="5"/>
      <c r="P93" s="5"/>
      <c r="Q93" s="5"/>
      <c r="R93" s="5"/>
      <c r="S93" s="5"/>
      <c r="T93" s="5"/>
      <c r="U93" s="5"/>
      <c r="V93" s="16"/>
      <c r="W93" s="5"/>
      <c r="X93" s="5"/>
      <c r="Y93" s="5"/>
      <c r="Z93" s="5"/>
      <c r="AA93" s="5"/>
      <c r="AB93" s="5"/>
      <c r="AC93" s="6"/>
      <c r="AD93" s="230"/>
      <c r="AE93" s="5"/>
      <c r="AF93" s="5"/>
      <c r="AG93" s="5"/>
      <c r="AH93" s="5"/>
      <c r="AI93" s="5"/>
      <c r="AJ93" s="5"/>
      <c r="AK93" s="5"/>
      <c r="AL93" s="5"/>
      <c r="AM93" s="5"/>
      <c r="AN93" s="5"/>
      <c r="AO93" s="16"/>
      <c r="AP93" s="5"/>
      <c r="AQ93" s="6"/>
      <c r="AR93" s="5"/>
      <c r="AS93" s="5"/>
      <c r="AT93" s="5"/>
      <c r="AU93" s="5"/>
      <c r="AV93" s="5"/>
      <c r="AW93" s="6"/>
      <c r="AX93" s="5"/>
      <c r="AY93" s="5"/>
      <c r="AZ93" s="5"/>
      <c r="BA93" s="5"/>
      <c r="BB93" s="6"/>
      <c r="BC93" s="5"/>
      <c r="BD93" s="5"/>
      <c r="BE93" s="5"/>
      <c r="BF93" s="5"/>
      <c r="BG93" s="5"/>
      <c r="BH93" s="16"/>
      <c r="BI93" s="230"/>
      <c r="BJ93" s="5"/>
      <c r="BK93" s="48"/>
    </row>
    <row r="94" spans="1:66" ht="15.75" x14ac:dyDescent="0.25">
      <c r="A94" s="15" t="s">
        <v>142</v>
      </c>
      <c r="B94" s="11" t="s">
        <v>301</v>
      </c>
      <c r="C94" s="120">
        <v>874071</v>
      </c>
      <c r="D94" s="120">
        <v>248485</v>
      </c>
      <c r="E94" s="120">
        <v>36632</v>
      </c>
      <c r="F94" s="120">
        <v>76560</v>
      </c>
      <c r="G94" s="120">
        <v>67137</v>
      </c>
      <c r="H94" s="120">
        <v>0</v>
      </c>
      <c r="I94" s="120">
        <v>0</v>
      </c>
      <c r="J94" s="120">
        <v>0</v>
      </c>
      <c r="K94" s="120">
        <v>382</v>
      </c>
      <c r="L94" s="120">
        <v>2863</v>
      </c>
      <c r="M94" s="120">
        <v>83348</v>
      </c>
      <c r="N94" s="120">
        <v>10356</v>
      </c>
      <c r="O94" s="120">
        <v>3059</v>
      </c>
      <c r="P94" s="120">
        <v>13101</v>
      </c>
      <c r="Q94" s="120">
        <v>0</v>
      </c>
      <c r="R94" s="120">
        <v>2858</v>
      </c>
      <c r="S94" s="120">
        <v>890316</v>
      </c>
      <c r="T94" s="120">
        <v>831482</v>
      </c>
      <c r="U94" s="120"/>
      <c r="V94" s="189">
        <v>0</v>
      </c>
      <c r="W94" s="120">
        <v>0</v>
      </c>
      <c r="X94" s="120">
        <v>0</v>
      </c>
      <c r="Y94" s="120">
        <v>158</v>
      </c>
      <c r="Z94" s="120">
        <v>20</v>
      </c>
      <c r="AA94" s="120">
        <v>66</v>
      </c>
      <c r="AB94" s="120">
        <v>1591</v>
      </c>
      <c r="AC94" s="151">
        <v>0</v>
      </c>
      <c r="AD94" s="233">
        <f t="shared" ref="AD94:AD95" si="1294">SUM(C94:AC94)</f>
        <v>3142485</v>
      </c>
      <c r="AE94" s="120">
        <v>3834</v>
      </c>
      <c r="AF94" s="120">
        <v>79</v>
      </c>
      <c r="AG94" s="151">
        <v>879</v>
      </c>
      <c r="AH94" s="120">
        <v>0</v>
      </c>
      <c r="AI94" s="120">
        <v>0</v>
      </c>
      <c r="AJ94" s="120">
        <v>32</v>
      </c>
      <c r="AK94" s="120">
        <v>19957</v>
      </c>
      <c r="AL94" s="120">
        <v>208861</v>
      </c>
      <c r="AM94" s="120">
        <v>163146</v>
      </c>
      <c r="AN94" s="120">
        <v>0</v>
      </c>
      <c r="AO94" s="189">
        <v>362425</v>
      </c>
      <c r="AP94" s="120">
        <v>0</v>
      </c>
      <c r="AQ94" s="151">
        <v>0</v>
      </c>
      <c r="AR94" s="120">
        <v>0</v>
      </c>
      <c r="AS94" s="120"/>
      <c r="AT94" s="120"/>
      <c r="AU94" s="120">
        <v>0</v>
      </c>
      <c r="AV94" s="120"/>
      <c r="AW94" s="120">
        <v>917</v>
      </c>
      <c r="AX94" s="120">
        <v>291</v>
      </c>
      <c r="AY94" s="120">
        <v>1658</v>
      </c>
      <c r="AZ94" s="120">
        <v>0</v>
      </c>
      <c r="BA94" s="120">
        <v>0</v>
      </c>
      <c r="BB94" s="151">
        <v>0</v>
      </c>
      <c r="BC94" s="120">
        <v>29657</v>
      </c>
      <c r="BD94" s="120">
        <v>29659</v>
      </c>
      <c r="BE94" s="120">
        <v>180</v>
      </c>
      <c r="BF94" s="120">
        <v>3518</v>
      </c>
      <c r="BG94" s="120">
        <v>-51520</v>
      </c>
      <c r="BH94" s="9">
        <f>SUM(AE94:BG94)</f>
        <v>773573</v>
      </c>
      <c r="BI94" s="226">
        <f>AD94+BH94</f>
        <v>3916058</v>
      </c>
      <c r="BJ94" s="96">
        <v>85</v>
      </c>
      <c r="BK94" s="49">
        <f t="shared" ref="BK94:BK95" si="1295">BI94-BJ94</f>
        <v>3915973</v>
      </c>
      <c r="BL94">
        <v>9</v>
      </c>
      <c r="BM94" s="30"/>
    </row>
    <row r="95" spans="1:66" s="41" customFormat="1" ht="15.75" x14ac:dyDescent="0.25">
      <c r="A95" s="134" t="s">
        <v>142</v>
      </c>
      <c r="B95" s="216" t="s">
        <v>324</v>
      </c>
      <c r="C95" s="10">
        <v>384592</v>
      </c>
      <c r="D95" s="10">
        <v>88349</v>
      </c>
      <c r="E95" s="10">
        <v>0</v>
      </c>
      <c r="F95" s="10">
        <v>33690</v>
      </c>
      <c r="G95" s="10">
        <v>29539</v>
      </c>
      <c r="H95" s="10">
        <v>0</v>
      </c>
      <c r="I95" s="10">
        <v>0</v>
      </c>
      <c r="J95" s="10">
        <v>0</v>
      </c>
      <c r="K95" s="10">
        <v>169</v>
      </c>
      <c r="L95" s="10">
        <v>1260</v>
      </c>
      <c r="M95" s="10">
        <v>36673</v>
      </c>
      <c r="N95" s="10">
        <v>4556</v>
      </c>
      <c r="O95" s="10">
        <v>1347</v>
      </c>
      <c r="P95" s="10">
        <v>5763</v>
      </c>
      <c r="Q95" s="10">
        <v>0</v>
      </c>
      <c r="R95" s="10">
        <v>1258</v>
      </c>
      <c r="S95" s="10">
        <v>641027</v>
      </c>
      <c r="T95" s="10">
        <v>365853</v>
      </c>
      <c r="U95" s="10"/>
      <c r="V95" s="10">
        <v>0</v>
      </c>
      <c r="W95" s="10">
        <v>0</v>
      </c>
      <c r="X95" s="10">
        <v>0</v>
      </c>
      <c r="Y95" s="10">
        <v>70</v>
      </c>
      <c r="Z95" s="10">
        <v>10</v>
      </c>
      <c r="AA95" s="10">
        <v>29</v>
      </c>
      <c r="AB95" s="10">
        <v>699</v>
      </c>
      <c r="AC95" s="10">
        <v>0</v>
      </c>
      <c r="AD95" s="233">
        <f t="shared" si="1294"/>
        <v>1594884</v>
      </c>
      <c r="AE95" s="10">
        <v>1687</v>
      </c>
      <c r="AF95" s="10">
        <v>34</v>
      </c>
      <c r="AG95" s="10">
        <v>386</v>
      </c>
      <c r="AH95" s="10">
        <v>0</v>
      </c>
      <c r="AI95" s="10">
        <v>0</v>
      </c>
      <c r="AJ95" s="10">
        <v>9</v>
      </c>
      <c r="AK95" s="10">
        <v>8781</v>
      </c>
      <c r="AL95" s="10">
        <v>91899</v>
      </c>
      <c r="AM95" s="10">
        <v>71785</v>
      </c>
      <c r="AN95" s="10">
        <v>0</v>
      </c>
      <c r="AO95" s="10">
        <v>159468</v>
      </c>
      <c r="AP95" s="10">
        <v>0</v>
      </c>
      <c r="AQ95" s="10">
        <v>0</v>
      </c>
      <c r="AR95" s="10">
        <v>0</v>
      </c>
      <c r="AS95" s="10"/>
      <c r="AT95" s="10"/>
      <c r="AU95" s="10">
        <v>0</v>
      </c>
      <c r="AV95" s="10"/>
      <c r="AW95" s="10">
        <v>403</v>
      </c>
      <c r="AX95" s="10">
        <v>127</v>
      </c>
      <c r="AY95" s="10">
        <v>730</v>
      </c>
      <c r="AZ95" s="10">
        <v>0</v>
      </c>
      <c r="BA95" s="10">
        <v>0</v>
      </c>
      <c r="BB95" s="10">
        <v>0</v>
      </c>
      <c r="BC95" s="10">
        <v>13049</v>
      </c>
      <c r="BD95" s="10">
        <v>13050</v>
      </c>
      <c r="BE95" s="10">
        <v>77</v>
      </c>
      <c r="BF95" s="10">
        <v>1556</v>
      </c>
      <c r="BG95" s="10">
        <v>-22672</v>
      </c>
      <c r="BH95" s="10">
        <f>SUM(AE95:BG95)</f>
        <v>340369</v>
      </c>
      <c r="BI95" s="226">
        <f>AD95+BH95</f>
        <v>1935253</v>
      </c>
      <c r="BJ95" s="10">
        <v>35</v>
      </c>
      <c r="BK95" s="10">
        <f t="shared" si="1295"/>
        <v>1935218</v>
      </c>
      <c r="BM95" s="217"/>
    </row>
    <row r="96" spans="1:66" ht="15.75" x14ac:dyDescent="0.25">
      <c r="A96" s="128"/>
      <c r="B96" s="12" t="s">
        <v>325</v>
      </c>
      <c r="C96" s="9">
        <f>IF('Upto Month COPPY'!$J$4="",0,'Upto Month COPPY'!$J$4)</f>
        <v>358005</v>
      </c>
      <c r="D96" s="9">
        <f>IF('Upto Month COPPY'!$J$5="",0,'Upto Month COPPY'!$J$5)</f>
        <v>61376</v>
      </c>
      <c r="E96" s="9">
        <f>IF('Upto Month COPPY'!$J$6="",0,'Upto Month COPPY'!$J$6)</f>
        <v>15</v>
      </c>
      <c r="F96" s="9">
        <f>IF('Upto Month COPPY'!$J$7="",0,'Upto Month COPPY'!$J$7)</f>
        <v>29176</v>
      </c>
      <c r="G96" s="9">
        <f>IF('Upto Month COPPY'!$J$8="",0,'Upto Month COPPY'!$J$8)</f>
        <v>24069</v>
      </c>
      <c r="H96" s="9">
        <f>IF('Upto Month COPPY'!$J$9="",0,'Upto Month COPPY'!$J$9)</f>
        <v>0</v>
      </c>
      <c r="I96" s="9">
        <f>IF('Upto Month COPPY'!$J$10="",0,'Upto Month COPPY'!$J$10)</f>
        <v>0</v>
      </c>
      <c r="J96" s="9">
        <f>IF('Upto Month COPPY'!$J$11="",0,'Upto Month COPPY'!$J$11)</f>
        <v>0</v>
      </c>
      <c r="K96" s="9">
        <f>IF('Upto Month COPPY'!$J$12="",0,'Upto Month COPPY'!$J$12)</f>
        <v>144</v>
      </c>
      <c r="L96" s="9">
        <f>IF('Upto Month COPPY'!$J$13="",0,'Upto Month COPPY'!$J$13)</f>
        <v>1200</v>
      </c>
      <c r="M96" s="9">
        <f>IF('Upto Month COPPY'!$J$14="",0,'Upto Month COPPY'!$J$14)</f>
        <v>37822</v>
      </c>
      <c r="N96" s="9">
        <f>IF('Upto Month COPPY'!$J$15="",0,'Upto Month COPPY'!$J$15)</f>
        <v>3772</v>
      </c>
      <c r="O96" s="9">
        <f>IF('Upto Month COPPY'!$J$16="",0,'Upto Month COPPY'!$J$16)</f>
        <v>761</v>
      </c>
      <c r="P96" s="9">
        <f>IF('Upto Month COPPY'!$J$17="",0,'Upto Month COPPY'!$J$17)</f>
        <v>4932</v>
      </c>
      <c r="Q96" s="9">
        <f>IF('Upto Month COPPY'!$J$18="",0,'Upto Month COPPY'!$J$18)</f>
        <v>0</v>
      </c>
      <c r="R96" s="9">
        <f>IF('Upto Month COPPY'!$J$21="",0,'Upto Month COPPY'!$J$21)</f>
        <v>350</v>
      </c>
      <c r="S96" s="9">
        <f>IF('Upto Month COPPY'!$J$26="",0,'Upto Month COPPY'!$J$26)</f>
        <v>565244</v>
      </c>
      <c r="T96" s="9">
        <f>IF('Upto Month COPPY'!$J$27="",0,'Upto Month COPPY'!$J$27)</f>
        <v>384865</v>
      </c>
      <c r="U96" s="9">
        <f>IF('Upto Month COPPY'!$J$30="",0,'Upto Month COPPY'!$J$30)</f>
        <v>0</v>
      </c>
      <c r="V96" s="9">
        <f>IF('Upto Month COPPY'!$J$35="",0,'Upto Month COPPY'!$J$35)</f>
        <v>0</v>
      </c>
      <c r="W96" s="9">
        <f>IF('Upto Month COPPY'!$J$39="",0,'Upto Month COPPY'!$J$39)</f>
        <v>0</v>
      </c>
      <c r="X96" s="9">
        <f>IF('Upto Month COPPY'!$J$40="",0,'Upto Month COPPY'!$J$40)</f>
        <v>0</v>
      </c>
      <c r="Y96" s="9">
        <f>IF('Upto Month COPPY'!$J$42="",0,'Upto Month COPPY'!$J$42)</f>
        <v>73</v>
      </c>
      <c r="Z96" s="9">
        <f>IF('Upto Month COPPY'!$J$43="",0,'Upto Month COPPY'!$J$43)</f>
        <v>5</v>
      </c>
      <c r="AA96" s="9">
        <f>IF('Upto Month COPPY'!$J$44="",0,'Upto Month COPPY'!$J$44)</f>
        <v>20</v>
      </c>
      <c r="AB96" s="9">
        <f>IF('Upto Month COPPY'!$J$48="",0,'Upto Month COPPY'!$J$48)</f>
        <v>0</v>
      </c>
      <c r="AC96" s="10">
        <f>IF('Upto Month COPPY'!$J$51="",0,'Upto Month COPPY'!$J$51)</f>
        <v>0</v>
      </c>
      <c r="AD96" s="233">
        <f t="shared" ref="AD96:AD97" si="1296">SUM(C96:AC96)</f>
        <v>1471829</v>
      </c>
      <c r="AE96" s="9">
        <f>IF('Upto Month COPPY'!$J$19="",0,'Upto Month COPPY'!$J$19)</f>
        <v>624</v>
      </c>
      <c r="AF96" s="9">
        <f>IF('Upto Month COPPY'!$J$20="",0,'Upto Month COPPY'!$J$20)</f>
        <v>134</v>
      </c>
      <c r="AG96" s="9">
        <f>IF('Upto Month COPPY'!$J$22="",0,'Upto Month COPPY'!$J$22)</f>
        <v>1339</v>
      </c>
      <c r="AH96" s="9">
        <f>IF('Upto Month COPPY'!$J$23="",0,'Upto Month COPPY'!$J$23)</f>
        <v>0</v>
      </c>
      <c r="AI96" s="9">
        <f>IF('Upto Month COPPY'!$J$24="",0,'Upto Month COPPY'!$J$24)</f>
        <v>0</v>
      </c>
      <c r="AJ96" s="9">
        <f>IF('Upto Month COPPY'!$J$25="",0,'Upto Month COPPY'!$J$25)</f>
        <v>18</v>
      </c>
      <c r="AK96" s="9">
        <f>IF('Upto Month COPPY'!$J$28="",0,'Upto Month COPPY'!$J$28)</f>
        <v>14947</v>
      </c>
      <c r="AL96" s="9">
        <f>IF('Upto Month COPPY'!$J$29="",0,'Upto Month COPPY'!$J$29)</f>
        <v>113336</v>
      </c>
      <c r="AM96" s="9">
        <f>IF('Upto Month COPPY'!$J$31="",0,'Upto Month COPPY'!$J$31)</f>
        <v>74364</v>
      </c>
      <c r="AN96" s="9">
        <f>IF('Upto Month COPPY'!$J$32="",0,'Upto Month COPPY'!$J$32)</f>
        <v>0</v>
      </c>
      <c r="AO96" s="9">
        <f>IF('Upto Month COPPY'!$J$33="",0,'Upto Month COPPY'!$J$33)</f>
        <v>196309</v>
      </c>
      <c r="AP96" s="9">
        <f>IF('Upto Month COPPY'!$J$34="",0,'Upto Month COPPY'!$J$34)</f>
        <v>0</v>
      </c>
      <c r="AQ96" s="10">
        <f>IF('Upto Month COPPY'!$J$36="",0,'Upto Month COPPY'!$J$36)</f>
        <v>0</v>
      </c>
      <c r="AR96" s="9">
        <f>IF('Upto Month COPPY'!$J$37="",0,'Upto Month COPPY'!$J$37)</f>
        <v>0</v>
      </c>
      <c r="AS96" s="9">
        <v>0</v>
      </c>
      <c r="AT96" s="9">
        <f>IF('Upto Month COPPY'!$J$38="",0,'Upto Month COPPY'!$J$38)</f>
        <v>0</v>
      </c>
      <c r="AU96" s="9">
        <f>IF('Upto Month COPPY'!$J$41="",0,'Upto Month COPPY'!$J$41)</f>
        <v>0</v>
      </c>
      <c r="AV96" s="9">
        <v>0</v>
      </c>
      <c r="AW96" s="9">
        <f>IF('Upto Month COPPY'!$J$45="",0,'Upto Month COPPY'!$J$45)</f>
        <v>468</v>
      </c>
      <c r="AX96" s="9">
        <f>IF('Upto Month COPPY'!$J$46="",0,'Upto Month COPPY'!$J$46)</f>
        <v>39</v>
      </c>
      <c r="AY96" s="9">
        <f>IF('Upto Month COPPY'!$J$47="",0,'Upto Month COPPY'!$J$47)</f>
        <v>540</v>
      </c>
      <c r="AZ96" s="9">
        <f>IF('Upto Month COPPY'!$J$49="",0,'Upto Month COPPY'!$J$49)</f>
        <v>0</v>
      </c>
      <c r="BA96" s="9">
        <f>IF('Upto Month COPPY'!$J$50="",0,'Upto Month COPPY'!$J$50)</f>
        <v>0</v>
      </c>
      <c r="BB96" s="10">
        <f>IF('Upto Month COPPY'!$J$52="",0,'Upto Month COPPY'!$J$52)</f>
        <v>0</v>
      </c>
      <c r="BC96" s="9">
        <f>IF('Upto Month COPPY'!$J$53="",0,'Upto Month COPPY'!$J$53)</f>
        <v>16098</v>
      </c>
      <c r="BD96" s="9">
        <f>IF('Upto Month COPPY'!$J$54="",0,'Upto Month COPPY'!$J$54)</f>
        <v>16100</v>
      </c>
      <c r="BE96" s="9">
        <f>IF('Upto Month COPPY'!$J$55="",0,'Upto Month COPPY'!$J$55)</f>
        <v>8</v>
      </c>
      <c r="BF96" s="9">
        <f>IF('Upto Month COPPY'!$J$56="",0,'Upto Month COPPY'!$J$56)</f>
        <v>2047</v>
      </c>
      <c r="BG96" s="9">
        <f>IF('Upto Month COPPY'!$J$58="",0,'Upto Month COPPY'!$J$58)</f>
        <v>-20402</v>
      </c>
      <c r="BH96" s="9">
        <f>SUM(AE96:BG96)</f>
        <v>415969</v>
      </c>
      <c r="BI96" s="226">
        <f>AD96+BH96</f>
        <v>1887798</v>
      </c>
      <c r="BJ96" s="9">
        <f>IF('Upto Month COPPY'!$J$60="",0,'Upto Month COPPY'!$J$60)</f>
        <v>0</v>
      </c>
      <c r="BK96" s="49">
        <f t="shared" ref="BK96:BK97" si="1297">BI96-BJ96</f>
        <v>1887798</v>
      </c>
      <c r="BL96">
        <f>'Upto Month COPPY'!$J$61</f>
        <v>1887803</v>
      </c>
      <c r="BM96" s="30">
        <f t="shared" ref="BM96:BM100" si="1298">BK96-AD96</f>
        <v>415969</v>
      </c>
    </row>
    <row r="97" spans="1:65" ht="15.75" x14ac:dyDescent="0.25">
      <c r="A97" s="128"/>
      <c r="B97" s="182" t="s">
        <v>326</v>
      </c>
      <c r="C97" s="9">
        <f>IF('Upto Month Current'!$J$4="",0,'Upto Month Current'!$J$4)</f>
        <v>353744</v>
      </c>
      <c r="D97" s="9">
        <f>IF('Upto Month Current'!$J$5="",0,'Upto Month Current'!$J$5)</f>
        <v>74686</v>
      </c>
      <c r="E97" s="9">
        <f>IF('Upto Month Current'!$J$6="",0,'Upto Month Current'!$J$6)</f>
        <v>37</v>
      </c>
      <c r="F97" s="9">
        <f>IF('Upto Month Current'!$J$7="",0,'Upto Month Current'!$J$7)</f>
        <v>31229</v>
      </c>
      <c r="G97" s="9">
        <f>IF('Upto Month Current'!$J$8="",0,'Upto Month Current'!$J$8)</f>
        <v>21381</v>
      </c>
      <c r="H97" s="9">
        <f>IF('Upto Month Current'!$J$9="",0,'Upto Month Current'!$J$9)</f>
        <v>0</v>
      </c>
      <c r="I97" s="9">
        <f>IF('Upto Month Current'!$J$10="",0,'Upto Month Current'!$J$10)</f>
        <v>0</v>
      </c>
      <c r="J97" s="9">
        <f>IF('Upto Month Current'!$J$11="",0,'Upto Month Current'!$J$11)</f>
        <v>0</v>
      </c>
      <c r="K97" s="9">
        <f>IF('Upto Month Current'!$J$12="",0,'Upto Month Current'!$J$12)</f>
        <v>1017</v>
      </c>
      <c r="L97" s="9">
        <f>IF('Upto Month Current'!$J$13="",0,'Upto Month Current'!$J$13)</f>
        <v>837</v>
      </c>
      <c r="M97" s="9">
        <f>IF('Upto Month Current'!$J$14="",0,'Upto Month Current'!$J$14)</f>
        <v>34150</v>
      </c>
      <c r="N97" s="9">
        <f>IF('Upto Month Current'!$J$15="",0,'Upto Month Current'!$J$15)</f>
        <v>3255</v>
      </c>
      <c r="O97" s="9">
        <f>IF('Upto Month Current'!$J$16="",0,'Upto Month Current'!$J$16)</f>
        <v>236</v>
      </c>
      <c r="P97" s="9">
        <f>IF('Upto Month Current'!$J$17="",0,'Upto Month Current'!$J$17)</f>
        <v>5094</v>
      </c>
      <c r="Q97" s="9">
        <f>IF('Upto Month Current'!$J$18="",0,'Upto Month Current'!$J$18)</f>
        <v>0</v>
      </c>
      <c r="R97" s="9">
        <f>IF('Upto Month Current'!$J$21="",0,'Upto Month Current'!$J$21)</f>
        <v>707</v>
      </c>
      <c r="S97" s="9">
        <f>IF('Upto Month Current'!$J$26="",0,'Upto Month Current'!$J$26)</f>
        <v>679938</v>
      </c>
      <c r="T97" s="9">
        <f>IF('Upto Month Current'!$J$27="",0,'Upto Month Current'!$J$27)</f>
        <v>493865</v>
      </c>
      <c r="U97" s="9">
        <f>IF('Upto Month Current'!$J$30="",0,'Upto Month Current'!$J$30)</f>
        <v>0</v>
      </c>
      <c r="V97" s="9">
        <f>IF('Upto Month Current'!$J$35="",0,'Upto Month Current'!$J$35)</f>
        <v>0</v>
      </c>
      <c r="W97" s="9">
        <f>IF('Upto Month Current'!$J$39="",0,'Upto Month Current'!$J$39)</f>
        <v>0</v>
      </c>
      <c r="X97" s="9">
        <f>IF('Upto Month Current'!$J$40="",0,'Upto Month Current'!$J$40)</f>
        <v>0</v>
      </c>
      <c r="Y97" s="9">
        <f>IF('Upto Month Current'!$J$42="",0,'Upto Month Current'!$J$42)</f>
        <v>2185</v>
      </c>
      <c r="Z97" s="9">
        <f>IF('Upto Month Current'!$J$43="",0,'Upto Month Current'!$J$43)</f>
        <v>267</v>
      </c>
      <c r="AA97" s="9">
        <f>IF('Upto Month Current'!$J$44="",0,'Upto Month Current'!$J$44)</f>
        <v>611</v>
      </c>
      <c r="AB97" s="9">
        <f>IF('Upto Month Current'!$J$48="",0,'Upto Month Current'!$J$48)</f>
        <v>74</v>
      </c>
      <c r="AC97" s="10">
        <f>IF('Upto Month Current'!$J$51="",0,'Upto Month Current'!$J$51)</f>
        <v>0</v>
      </c>
      <c r="AD97" s="233">
        <f t="shared" si="1296"/>
        <v>1703313</v>
      </c>
      <c r="AE97" s="9">
        <f>IF('Upto Month Current'!$J$19="",0,'Upto Month Current'!$J$19)</f>
        <v>479</v>
      </c>
      <c r="AF97" s="9">
        <f>IF('Upto Month Current'!$J$20="",0,'Upto Month Current'!$J$20)</f>
        <v>123</v>
      </c>
      <c r="AG97" s="9">
        <f>IF('Upto Month Current'!$J$22="",0,'Upto Month Current'!$J$22)</f>
        <v>1743</v>
      </c>
      <c r="AH97" s="9">
        <f>IF('Upto Month Current'!$J$23="",0,'Upto Month Current'!$J$23)</f>
        <v>0</v>
      </c>
      <c r="AI97" s="9">
        <f>IF('Upto Month Current'!$J$24="",0,'Upto Month Current'!$J$24)</f>
        <v>0</v>
      </c>
      <c r="AJ97" s="9">
        <f>IF('Upto Month Current'!$J$25="",0,'Upto Month Current'!$J$25)</f>
        <v>117</v>
      </c>
      <c r="AK97" s="9">
        <f>IF('Upto Month Current'!$J$28="",0,'Upto Month Current'!$J$28)</f>
        <v>703</v>
      </c>
      <c r="AL97" s="9">
        <f>IF('Upto Month Current'!$J$29="",0,'Upto Month Current'!$J$29)</f>
        <v>114483</v>
      </c>
      <c r="AM97" s="9">
        <f>IF('Upto Month Current'!$J$31="",0,'Upto Month Current'!$J$31)</f>
        <v>70154</v>
      </c>
      <c r="AN97" s="9">
        <f>IF('Upto Month Current'!$J$32="",0,'Upto Month Current'!$J$32)</f>
        <v>6</v>
      </c>
      <c r="AO97" s="9">
        <f>IF('Upto Month Current'!$J$33="",0,'Upto Month Current'!$J$33)</f>
        <v>150094</v>
      </c>
      <c r="AP97" s="9">
        <f>IF('Upto Month Current'!$J$34="",0,'Upto Month Current'!$J$34)</f>
        <v>0</v>
      </c>
      <c r="AQ97" s="10">
        <f>IF('Upto Month Current'!$J$36="",0,'Upto Month Current'!$J$36)</f>
        <v>0</v>
      </c>
      <c r="AR97" s="9">
        <f>IF('Upto Month Current'!$J$37="",0,'Upto Month Current'!$J$37)</f>
        <v>0</v>
      </c>
      <c r="AS97" s="9">
        <v>0</v>
      </c>
      <c r="AT97" s="9">
        <f>IF('Upto Month Current'!$J$38="",0,'Upto Month Current'!$J$38)</f>
        <v>0</v>
      </c>
      <c r="AU97" s="9">
        <f>IF('Upto Month Current'!$J$41="",0,'Upto Month Current'!$J$41)</f>
        <v>0</v>
      </c>
      <c r="AV97" s="9">
        <v>0</v>
      </c>
      <c r="AW97" s="9">
        <f>IF('Upto Month Current'!$J$45="",0,'Upto Month Current'!$J$45)</f>
        <v>286</v>
      </c>
      <c r="AX97" s="9">
        <f>IF('Upto Month Current'!$J$46="",0,'Upto Month Current'!$J$46)</f>
        <v>248</v>
      </c>
      <c r="AY97" s="9">
        <f>IF('Upto Month Current'!$J$47="",0,'Upto Month Current'!$J$47)</f>
        <v>376</v>
      </c>
      <c r="AZ97" s="9">
        <f>IF('Upto Month Current'!$J$49="",0,'Upto Month Current'!$J$49)</f>
        <v>0</v>
      </c>
      <c r="BA97" s="9">
        <f>IF('Upto Month Current'!$J$50="",0,'Upto Month Current'!$J$50)</f>
        <v>0</v>
      </c>
      <c r="BB97" s="10">
        <f>IF('Upto Month Current'!$J$52="",0,'Upto Month Current'!$J$52)</f>
        <v>0</v>
      </c>
      <c r="BC97" s="9">
        <f>IF('Upto Month Current'!$J$53="",0,'Upto Month Current'!$J$53)</f>
        <v>13960</v>
      </c>
      <c r="BD97" s="9">
        <f>IF('Upto Month Current'!$J$54="",0,'Upto Month Current'!$J$54)</f>
        <v>13705</v>
      </c>
      <c r="BE97" s="9">
        <f>IF('Upto Month Current'!$J$55="",0,'Upto Month Current'!$J$55)</f>
        <v>0</v>
      </c>
      <c r="BF97" s="9">
        <f>IF('Upto Month Current'!$J$56="",0,'Upto Month Current'!$J$56)</f>
        <v>1918</v>
      </c>
      <c r="BG97" s="9">
        <f>IF('Upto Month Current'!$J$58="",0,'Upto Month Current'!$J$58)</f>
        <v>-89679</v>
      </c>
      <c r="BH97" s="9">
        <f>SUM(AE97:BG97)</f>
        <v>278716</v>
      </c>
      <c r="BI97" s="226">
        <f>AD97+BH97</f>
        <v>1982029</v>
      </c>
      <c r="BJ97" s="9">
        <f>IF('Upto Month Current'!$J$60="",0,'Upto Month Current'!$J$60)</f>
        <v>0</v>
      </c>
      <c r="BK97" s="49">
        <f t="shared" si="1297"/>
        <v>1982029</v>
      </c>
      <c r="BL97">
        <f>'Upto Month Current'!$J$61</f>
        <v>1982028</v>
      </c>
      <c r="BM97" s="30">
        <f t="shared" si="1298"/>
        <v>278716</v>
      </c>
    </row>
    <row r="98" spans="1:65" ht="15.75" x14ac:dyDescent="0.25">
      <c r="A98" s="128"/>
      <c r="B98" s="5" t="s">
        <v>132</v>
      </c>
      <c r="C98" s="11">
        <f>C97-C95</f>
        <v>-30848</v>
      </c>
      <c r="D98" s="11">
        <f t="shared" ref="D98" si="1299">D97-D95</f>
        <v>-13663</v>
      </c>
      <c r="E98" s="11">
        <f t="shared" ref="E98" si="1300">E97-E95</f>
        <v>37</v>
      </c>
      <c r="F98" s="11">
        <f t="shared" ref="F98" si="1301">F97-F95</f>
        <v>-2461</v>
      </c>
      <c r="G98" s="11">
        <f t="shared" ref="G98" si="1302">G97-G95</f>
        <v>-8158</v>
      </c>
      <c r="H98" s="11">
        <f t="shared" ref="H98" si="1303">H97-H95</f>
        <v>0</v>
      </c>
      <c r="I98" s="11">
        <f t="shared" ref="I98" si="1304">I97-I95</f>
        <v>0</v>
      </c>
      <c r="J98" s="11">
        <f t="shared" ref="J98" si="1305">J97-J95</f>
        <v>0</v>
      </c>
      <c r="K98" s="11">
        <f t="shared" ref="K98" si="1306">K97-K95</f>
        <v>848</v>
      </c>
      <c r="L98" s="11">
        <f t="shared" ref="L98" si="1307">L97-L95</f>
        <v>-423</v>
      </c>
      <c r="M98" s="11">
        <f t="shared" ref="M98" si="1308">M97-M95</f>
        <v>-2523</v>
      </c>
      <c r="N98" s="11">
        <f t="shared" ref="N98" si="1309">N97-N95</f>
        <v>-1301</v>
      </c>
      <c r="O98" s="11">
        <f t="shared" ref="O98" si="1310">O97-O95</f>
        <v>-1111</v>
      </c>
      <c r="P98" s="11">
        <f t="shared" ref="P98" si="1311">P97-P95</f>
        <v>-669</v>
      </c>
      <c r="Q98" s="11">
        <f t="shared" ref="Q98" si="1312">Q97-Q95</f>
        <v>0</v>
      </c>
      <c r="R98" s="11">
        <f t="shared" ref="R98" si="1313">R97-R95</f>
        <v>-551</v>
      </c>
      <c r="S98" s="11">
        <f t="shared" ref="S98" si="1314">S97-S95</f>
        <v>38911</v>
      </c>
      <c r="T98" s="11">
        <f t="shared" ref="T98:U98" si="1315">T97-T95</f>
        <v>128012</v>
      </c>
      <c r="U98" s="11">
        <f t="shared" si="1315"/>
        <v>0</v>
      </c>
      <c r="V98" s="9">
        <f t="shared" ref="V98" si="1316">V97-V95</f>
        <v>0</v>
      </c>
      <c r="W98" s="11">
        <f t="shared" ref="W98" si="1317">W97-W95</f>
        <v>0</v>
      </c>
      <c r="X98" s="11">
        <f t="shared" ref="X98" si="1318">X97-X95</f>
        <v>0</v>
      </c>
      <c r="Y98" s="11">
        <f t="shared" ref="Y98" si="1319">Y97-Y95</f>
        <v>2115</v>
      </c>
      <c r="Z98" s="11">
        <f t="shared" ref="Z98" si="1320">Z97-Z95</f>
        <v>257</v>
      </c>
      <c r="AA98" s="11">
        <f t="shared" ref="AA98:AD98" si="1321">AA97-AA95</f>
        <v>582</v>
      </c>
      <c r="AB98" s="11">
        <f t="shared" ref="AB98" si="1322">AB97-AB95</f>
        <v>-625</v>
      </c>
      <c r="AC98" s="10">
        <f t="shared" si="1321"/>
        <v>0</v>
      </c>
      <c r="AD98" s="227">
        <f t="shared" si="1321"/>
        <v>108429</v>
      </c>
      <c r="AE98" s="11">
        <f t="shared" ref="AE98" si="1323">AE97-AE95</f>
        <v>-1208</v>
      </c>
      <c r="AF98" s="11">
        <f t="shared" ref="AF98" si="1324">AF97-AF95</f>
        <v>89</v>
      </c>
      <c r="AG98" s="11">
        <f t="shared" ref="AG98" si="1325">AG97-AG95</f>
        <v>1357</v>
      </c>
      <c r="AH98" s="11">
        <f t="shared" ref="AH98" si="1326">AH97-AH95</f>
        <v>0</v>
      </c>
      <c r="AI98" s="11">
        <f t="shared" ref="AI98" si="1327">AI97-AI95</f>
        <v>0</v>
      </c>
      <c r="AJ98" s="11">
        <f t="shared" ref="AJ98" si="1328">AJ97-AJ95</f>
        <v>108</v>
      </c>
      <c r="AK98" s="11">
        <f t="shared" ref="AK98" si="1329">AK97-AK95</f>
        <v>-8078</v>
      </c>
      <c r="AL98" s="11">
        <f t="shared" ref="AL98" si="1330">AL97-AL95</f>
        <v>22584</v>
      </c>
      <c r="AM98" s="11">
        <f t="shared" ref="AM98" si="1331">AM97-AM95</f>
        <v>-1631</v>
      </c>
      <c r="AN98" s="11">
        <f t="shared" ref="AN98" si="1332">AN97-AN95</f>
        <v>6</v>
      </c>
      <c r="AO98" s="9">
        <f t="shared" ref="AO98" si="1333">AO97-AO95</f>
        <v>-9374</v>
      </c>
      <c r="AP98" s="11">
        <f t="shared" ref="AP98" si="1334">AP97-AP95</f>
        <v>0</v>
      </c>
      <c r="AQ98" s="10">
        <f t="shared" ref="AQ98" si="1335">AQ97-AQ95</f>
        <v>0</v>
      </c>
      <c r="AR98" s="11">
        <f t="shared" ref="AR98" si="1336">AR97-AR95</f>
        <v>0</v>
      </c>
      <c r="AS98" s="11">
        <f t="shared" ref="AS98" si="1337">AS97-AS95</f>
        <v>0</v>
      </c>
      <c r="AT98" s="11">
        <f t="shared" ref="AT98" si="1338">AT97-AT95</f>
        <v>0</v>
      </c>
      <c r="AU98" s="11">
        <f t="shared" ref="AU98" si="1339">AU97-AU95</f>
        <v>0</v>
      </c>
      <c r="AV98" s="11">
        <f t="shared" ref="AV98" si="1340">AV97-AV95</f>
        <v>0</v>
      </c>
      <c r="AW98" s="11">
        <f t="shared" ref="AW98" si="1341">AW97-AW95</f>
        <v>-117</v>
      </c>
      <c r="AX98" s="11">
        <f t="shared" ref="AX98" si="1342">AX97-AX95</f>
        <v>121</v>
      </c>
      <c r="AY98" s="11">
        <f t="shared" ref="AY98" si="1343">AY97-AY95</f>
        <v>-354</v>
      </c>
      <c r="AZ98" s="11">
        <f t="shared" ref="AZ98" si="1344">AZ97-AZ95</f>
        <v>0</v>
      </c>
      <c r="BA98" s="11">
        <f t="shared" ref="BA98" si="1345">BA97-BA95</f>
        <v>0</v>
      </c>
      <c r="BB98" s="10">
        <f t="shared" ref="BB98" si="1346">BB97-BB95</f>
        <v>0</v>
      </c>
      <c r="BC98" s="11">
        <f t="shared" ref="BC98" si="1347">BC97-BC95</f>
        <v>911</v>
      </c>
      <c r="BD98" s="11">
        <f t="shared" ref="BD98" si="1348">BD97-BD95</f>
        <v>655</v>
      </c>
      <c r="BE98" s="11">
        <f t="shared" ref="BE98" si="1349">BE97-BE95</f>
        <v>-77</v>
      </c>
      <c r="BF98" s="11">
        <f t="shared" ref="BF98" si="1350">BF97-BF95</f>
        <v>362</v>
      </c>
      <c r="BG98" s="11">
        <f t="shared" ref="BG98:BH98" si="1351">BG97-BG95</f>
        <v>-67007</v>
      </c>
      <c r="BH98" s="9">
        <f t="shared" si="1351"/>
        <v>-61653</v>
      </c>
      <c r="BI98" s="227">
        <f t="shared" ref="BI98" si="1352">BI97-BI95</f>
        <v>46776</v>
      </c>
      <c r="BJ98" s="11">
        <f t="shared" ref="BJ98:BK98" si="1353">BJ97-BJ95</f>
        <v>-35</v>
      </c>
      <c r="BK98" s="49">
        <f t="shared" si="1353"/>
        <v>46811</v>
      </c>
      <c r="BM98" s="30">
        <f t="shared" si="1298"/>
        <v>-61618</v>
      </c>
    </row>
    <row r="99" spans="1:65" ht="15.75" x14ac:dyDescent="0.25">
      <c r="A99" s="128"/>
      <c r="B99" s="5" t="s">
        <v>133</v>
      </c>
      <c r="C99" s="13">
        <f>C98/C95</f>
        <v>-8.0209676748346295E-2</v>
      </c>
      <c r="D99" s="13">
        <f t="shared" ref="D99" si="1354">D98/D95</f>
        <v>-0.15464804355453937</v>
      </c>
      <c r="E99" s="13" t="e">
        <f t="shared" ref="E99" si="1355">E98/E95</f>
        <v>#DIV/0!</v>
      </c>
      <c r="F99" s="13">
        <f t="shared" ref="F99" si="1356">F98/F95</f>
        <v>-7.3048382309290588E-2</v>
      </c>
      <c r="G99" s="13">
        <f t="shared" ref="G99" si="1357">G98/G95</f>
        <v>-0.27617725718541591</v>
      </c>
      <c r="H99" s="13" t="e">
        <f t="shared" ref="H99" si="1358">H98/H95</f>
        <v>#DIV/0!</v>
      </c>
      <c r="I99" s="13" t="e">
        <f t="shared" ref="I99" si="1359">I98/I95</f>
        <v>#DIV/0!</v>
      </c>
      <c r="J99" s="13" t="e">
        <f t="shared" ref="J99" si="1360">J98/J95</f>
        <v>#DIV/0!</v>
      </c>
      <c r="K99" s="13">
        <f t="shared" ref="K99" si="1361">K98/K95</f>
        <v>5.0177514792899407</v>
      </c>
      <c r="L99" s="13">
        <f t="shared" ref="L99" si="1362">L98/L95</f>
        <v>-0.33571428571428569</v>
      </c>
      <c r="M99" s="13">
        <f t="shared" ref="M99" si="1363">M98/M95</f>
        <v>-6.8797207755024126E-2</v>
      </c>
      <c r="N99" s="13">
        <f t="shared" ref="N99" si="1364">N98/N95</f>
        <v>-0.28555750658472345</v>
      </c>
      <c r="O99" s="13">
        <f t="shared" ref="O99" si="1365">O98/O95</f>
        <v>-0.82479584261321459</v>
      </c>
      <c r="P99" s="13">
        <f t="shared" ref="P99" si="1366">P98/P95</f>
        <v>-0.11608537220197813</v>
      </c>
      <c r="Q99" s="13" t="e">
        <f t="shared" ref="Q99" si="1367">Q98/Q95</f>
        <v>#DIV/0!</v>
      </c>
      <c r="R99" s="13">
        <f t="shared" ref="R99" si="1368">R98/R95</f>
        <v>-0.43799682034976151</v>
      </c>
      <c r="S99" s="13">
        <f t="shared" ref="S99" si="1369">S98/S95</f>
        <v>6.0701031313813616E-2</v>
      </c>
      <c r="T99" s="13">
        <f t="shared" ref="T99:U99" si="1370">T98/T95</f>
        <v>0.34990009648684034</v>
      </c>
      <c r="U99" s="13" t="e">
        <f t="shared" si="1370"/>
        <v>#DIV/0!</v>
      </c>
      <c r="V99" s="162" t="e">
        <f t="shared" ref="V99" si="1371">V98/V95</f>
        <v>#DIV/0!</v>
      </c>
      <c r="W99" s="13" t="e">
        <f t="shared" ref="W99" si="1372">W98/W95</f>
        <v>#DIV/0!</v>
      </c>
      <c r="X99" s="13" t="e">
        <f t="shared" ref="X99" si="1373">X98/X95</f>
        <v>#DIV/0!</v>
      </c>
      <c r="Y99" s="13">
        <f t="shared" ref="Y99" si="1374">Y98/Y95</f>
        <v>30.214285714285715</v>
      </c>
      <c r="Z99" s="13">
        <f t="shared" ref="Z99" si="1375">Z98/Z95</f>
        <v>25.7</v>
      </c>
      <c r="AA99" s="13">
        <f t="shared" ref="AA99:AD99" si="1376">AA98/AA95</f>
        <v>20.068965517241381</v>
      </c>
      <c r="AB99" s="13">
        <f t="shared" ref="AB99" si="1377">AB98/AB95</f>
        <v>-0.89413447782546496</v>
      </c>
      <c r="AC99" s="14" t="e">
        <f t="shared" si="1376"/>
        <v>#DIV/0!</v>
      </c>
      <c r="AD99" s="228">
        <f t="shared" si="1376"/>
        <v>6.798550866395299E-2</v>
      </c>
      <c r="AE99" s="13">
        <f t="shared" ref="AE99" si="1378">AE98/AE95</f>
        <v>-0.71606401896858329</v>
      </c>
      <c r="AF99" s="13">
        <f t="shared" ref="AF99" si="1379">AF98/AF95</f>
        <v>2.6176470588235294</v>
      </c>
      <c r="AG99" s="13">
        <f t="shared" ref="AG99" si="1380">AG98/AG95</f>
        <v>3.5155440414507773</v>
      </c>
      <c r="AH99" s="13" t="e">
        <f t="shared" ref="AH99" si="1381">AH98/AH95</f>
        <v>#DIV/0!</v>
      </c>
      <c r="AI99" s="13" t="e">
        <f t="shared" ref="AI99" si="1382">AI98/AI95</f>
        <v>#DIV/0!</v>
      </c>
      <c r="AJ99" s="13">
        <f t="shared" ref="AJ99" si="1383">AJ98/AJ95</f>
        <v>12</v>
      </c>
      <c r="AK99" s="13">
        <f t="shared" ref="AK99" si="1384">AK98/AK95</f>
        <v>-0.91994078123220591</v>
      </c>
      <c r="AL99" s="13">
        <f t="shared" ref="AL99" si="1385">AL98/AL95</f>
        <v>0.24574804948911305</v>
      </c>
      <c r="AM99" s="13">
        <f t="shared" ref="AM99" si="1386">AM98/AM95</f>
        <v>-2.27206240858118E-2</v>
      </c>
      <c r="AN99" s="13" t="e">
        <f t="shared" ref="AN99" si="1387">AN98/AN95</f>
        <v>#DIV/0!</v>
      </c>
      <c r="AO99" s="162">
        <f t="shared" ref="AO99" si="1388">AO98/AO95</f>
        <v>-5.8782953319788299E-2</v>
      </c>
      <c r="AP99" s="13" t="e">
        <f t="shared" ref="AP99" si="1389">AP98/AP95</f>
        <v>#DIV/0!</v>
      </c>
      <c r="AQ99" s="14" t="e">
        <f t="shared" ref="AQ99" si="1390">AQ98/AQ95</f>
        <v>#DIV/0!</v>
      </c>
      <c r="AR99" s="13" t="e">
        <f t="shared" ref="AR99" si="1391">AR98/AR95</f>
        <v>#DIV/0!</v>
      </c>
      <c r="AS99" s="13" t="e">
        <f t="shared" ref="AS99" si="1392">AS98/AS95</f>
        <v>#DIV/0!</v>
      </c>
      <c r="AT99" s="13" t="e">
        <f t="shared" ref="AT99" si="1393">AT98/AT95</f>
        <v>#DIV/0!</v>
      </c>
      <c r="AU99" s="13" t="e">
        <f t="shared" ref="AU99" si="1394">AU98/AU95</f>
        <v>#DIV/0!</v>
      </c>
      <c r="AV99" s="13" t="e">
        <f t="shared" ref="AV99" si="1395">AV98/AV95</f>
        <v>#DIV/0!</v>
      </c>
      <c r="AW99" s="13">
        <f t="shared" ref="AW99" si="1396">AW98/AW95</f>
        <v>-0.29032258064516131</v>
      </c>
      <c r="AX99" s="13">
        <f t="shared" ref="AX99" si="1397">AX98/AX95</f>
        <v>0.952755905511811</v>
      </c>
      <c r="AY99" s="13">
        <f t="shared" ref="AY99" si="1398">AY98/AY95</f>
        <v>-0.48493150684931507</v>
      </c>
      <c r="AZ99" s="13" t="e">
        <f t="shared" ref="AZ99" si="1399">AZ98/AZ95</f>
        <v>#DIV/0!</v>
      </c>
      <c r="BA99" s="13" t="e">
        <f t="shared" ref="BA99" si="1400">BA98/BA95</f>
        <v>#DIV/0!</v>
      </c>
      <c r="BB99" s="14" t="e">
        <f t="shared" ref="BB99" si="1401">BB98/BB95</f>
        <v>#DIV/0!</v>
      </c>
      <c r="BC99" s="13">
        <f t="shared" ref="BC99" si="1402">BC98/BC95</f>
        <v>6.9813778833627105E-2</v>
      </c>
      <c r="BD99" s="13">
        <f t="shared" ref="BD99" si="1403">BD98/BD95</f>
        <v>5.0191570881226055E-2</v>
      </c>
      <c r="BE99" s="13">
        <f t="shared" ref="BE99" si="1404">BE98/BE95</f>
        <v>-1</v>
      </c>
      <c r="BF99" s="13">
        <f t="shared" ref="BF99" si="1405">BF98/BF95</f>
        <v>0.2326478149100257</v>
      </c>
      <c r="BG99" s="13">
        <f t="shared" ref="BG99:BH99" si="1406">BG98/BG95</f>
        <v>2.9554957657021879</v>
      </c>
      <c r="BH99" s="162">
        <f t="shared" si="1406"/>
        <v>-0.18113576735836695</v>
      </c>
      <c r="BI99" s="228">
        <f t="shared" ref="BI99" si="1407">BI98/BI95</f>
        <v>2.4170483135796714E-2</v>
      </c>
      <c r="BJ99" s="13">
        <f t="shared" ref="BJ99:BK99" si="1408">BJ98/BJ95</f>
        <v>-1</v>
      </c>
      <c r="BK99" s="50">
        <f t="shared" si="1408"/>
        <v>2.4189006096470785E-2</v>
      </c>
      <c r="BM99" s="162" t="e">
        <f t="shared" ref="BM99" si="1409">BM98/BM95</f>
        <v>#DIV/0!</v>
      </c>
    </row>
    <row r="100" spans="1:65" ht="15.75" x14ac:dyDescent="0.25">
      <c r="A100" s="128"/>
      <c r="B100" s="5" t="s">
        <v>134</v>
      </c>
      <c r="C100" s="11">
        <f>C97-C96</f>
        <v>-4261</v>
      </c>
      <c r="D100" s="11">
        <f t="shared" ref="D100:BK100" si="1410">D97-D96</f>
        <v>13310</v>
      </c>
      <c r="E100" s="11">
        <f t="shared" si="1410"/>
        <v>22</v>
      </c>
      <c r="F100" s="11">
        <f t="shared" si="1410"/>
        <v>2053</v>
      </c>
      <c r="G100" s="11">
        <f t="shared" si="1410"/>
        <v>-2688</v>
      </c>
      <c r="H100" s="11">
        <f t="shared" si="1410"/>
        <v>0</v>
      </c>
      <c r="I100" s="11">
        <f t="shared" si="1410"/>
        <v>0</v>
      </c>
      <c r="J100" s="11">
        <f t="shared" si="1410"/>
        <v>0</v>
      </c>
      <c r="K100" s="11">
        <f t="shared" si="1410"/>
        <v>873</v>
      </c>
      <c r="L100" s="11">
        <f t="shared" si="1410"/>
        <v>-363</v>
      </c>
      <c r="M100" s="11">
        <f t="shared" si="1410"/>
        <v>-3672</v>
      </c>
      <c r="N100" s="11">
        <f t="shared" si="1410"/>
        <v>-517</v>
      </c>
      <c r="O100" s="11">
        <f t="shared" si="1410"/>
        <v>-525</v>
      </c>
      <c r="P100" s="11">
        <f t="shared" si="1410"/>
        <v>162</v>
      </c>
      <c r="Q100" s="11">
        <f t="shared" si="1410"/>
        <v>0</v>
      </c>
      <c r="R100" s="11">
        <f t="shared" si="1410"/>
        <v>357</v>
      </c>
      <c r="S100" s="11">
        <f t="shared" si="1410"/>
        <v>114694</v>
      </c>
      <c r="T100" s="11">
        <f t="shared" si="1410"/>
        <v>109000</v>
      </c>
      <c r="U100" s="11">
        <f t="shared" ref="U100" si="1411">U97-U96</f>
        <v>0</v>
      </c>
      <c r="V100" s="9">
        <f t="shared" si="1410"/>
        <v>0</v>
      </c>
      <c r="W100" s="11">
        <f t="shared" si="1410"/>
        <v>0</v>
      </c>
      <c r="X100" s="11">
        <f t="shared" si="1410"/>
        <v>0</v>
      </c>
      <c r="Y100" s="11">
        <f t="shared" si="1410"/>
        <v>2112</v>
      </c>
      <c r="Z100" s="11">
        <f t="shared" si="1410"/>
        <v>262</v>
      </c>
      <c r="AA100" s="11">
        <f t="shared" si="1410"/>
        <v>591</v>
      </c>
      <c r="AB100" s="11">
        <f t="shared" ref="AB100" si="1412">AB97-AB96</f>
        <v>74</v>
      </c>
      <c r="AC100" s="10">
        <f t="shared" ref="AC100:AD100" si="1413">AC97-AC96</f>
        <v>0</v>
      </c>
      <c r="AD100" s="227">
        <f t="shared" si="1413"/>
        <v>231484</v>
      </c>
      <c r="AE100" s="11">
        <f t="shared" si="1410"/>
        <v>-145</v>
      </c>
      <c r="AF100" s="11">
        <f t="shared" si="1410"/>
        <v>-11</v>
      </c>
      <c r="AG100" s="11">
        <f t="shared" si="1410"/>
        <v>404</v>
      </c>
      <c r="AH100" s="11">
        <f t="shared" si="1410"/>
        <v>0</v>
      </c>
      <c r="AI100" s="11">
        <f t="shared" si="1410"/>
        <v>0</v>
      </c>
      <c r="AJ100" s="11">
        <f t="shared" si="1410"/>
        <v>99</v>
      </c>
      <c r="AK100" s="11">
        <f t="shared" si="1410"/>
        <v>-14244</v>
      </c>
      <c r="AL100" s="11">
        <f t="shared" si="1410"/>
        <v>1147</v>
      </c>
      <c r="AM100" s="11">
        <f t="shared" si="1410"/>
        <v>-4210</v>
      </c>
      <c r="AN100" s="11">
        <f t="shared" si="1410"/>
        <v>6</v>
      </c>
      <c r="AO100" s="9">
        <f t="shared" si="1410"/>
        <v>-46215</v>
      </c>
      <c r="AP100" s="11">
        <f t="shared" si="1410"/>
        <v>0</v>
      </c>
      <c r="AQ100" s="10">
        <f t="shared" si="1410"/>
        <v>0</v>
      </c>
      <c r="AR100" s="11">
        <f t="shared" si="1410"/>
        <v>0</v>
      </c>
      <c r="AS100" s="11">
        <f t="shared" si="1410"/>
        <v>0</v>
      </c>
      <c r="AT100" s="11">
        <f t="shared" si="1410"/>
        <v>0</v>
      </c>
      <c r="AU100" s="11">
        <f t="shared" si="1410"/>
        <v>0</v>
      </c>
      <c r="AV100" s="11">
        <f t="shared" si="1410"/>
        <v>0</v>
      </c>
      <c r="AW100" s="11">
        <f t="shared" si="1410"/>
        <v>-182</v>
      </c>
      <c r="AX100" s="11">
        <f t="shared" si="1410"/>
        <v>209</v>
      </c>
      <c r="AY100" s="11">
        <f t="shared" si="1410"/>
        <v>-164</v>
      </c>
      <c r="AZ100" s="11">
        <f t="shared" si="1410"/>
        <v>0</v>
      </c>
      <c r="BA100" s="11">
        <f t="shared" si="1410"/>
        <v>0</v>
      </c>
      <c r="BB100" s="10">
        <f t="shared" si="1410"/>
        <v>0</v>
      </c>
      <c r="BC100" s="11">
        <f t="shared" si="1410"/>
        <v>-2138</v>
      </c>
      <c r="BD100" s="11">
        <f t="shared" si="1410"/>
        <v>-2395</v>
      </c>
      <c r="BE100" s="11">
        <f t="shared" si="1410"/>
        <v>-8</v>
      </c>
      <c r="BF100" s="11">
        <f t="shared" si="1410"/>
        <v>-129</v>
      </c>
      <c r="BG100" s="11">
        <f t="shared" si="1410"/>
        <v>-69277</v>
      </c>
      <c r="BH100" s="9">
        <f t="shared" si="1410"/>
        <v>-137253</v>
      </c>
      <c r="BI100" s="227">
        <f t="shared" si="1410"/>
        <v>94231</v>
      </c>
      <c r="BJ100" s="11">
        <f t="shared" si="1410"/>
        <v>0</v>
      </c>
      <c r="BK100" s="49">
        <f t="shared" si="1410"/>
        <v>94231</v>
      </c>
      <c r="BM100" s="30">
        <f t="shared" si="1298"/>
        <v>-137253</v>
      </c>
    </row>
    <row r="101" spans="1:65" ht="15.75" x14ac:dyDescent="0.25">
      <c r="A101" s="128"/>
      <c r="B101" s="5" t="s">
        <v>135</v>
      </c>
      <c r="C101" s="13">
        <f>C100/C96</f>
        <v>-1.1902068406865826E-2</v>
      </c>
      <c r="D101" s="13">
        <f t="shared" ref="D101" si="1414">D100/D96</f>
        <v>0.21686001042752867</v>
      </c>
      <c r="E101" s="13">
        <f t="shared" ref="E101" si="1415">E100/E96</f>
        <v>1.4666666666666666</v>
      </c>
      <c r="F101" s="13">
        <f t="shared" ref="F101" si="1416">F100/F96</f>
        <v>7.0366054291198243E-2</v>
      </c>
      <c r="G101" s="13">
        <f t="shared" ref="G101" si="1417">G100/G96</f>
        <v>-0.11167892309609871</v>
      </c>
      <c r="H101" s="13" t="e">
        <f t="shared" ref="H101" si="1418">H100/H96</f>
        <v>#DIV/0!</v>
      </c>
      <c r="I101" s="13" t="e">
        <f t="shared" ref="I101" si="1419">I100/I96</f>
        <v>#DIV/0!</v>
      </c>
      <c r="J101" s="13" t="e">
        <f t="shared" ref="J101" si="1420">J100/J96</f>
        <v>#DIV/0!</v>
      </c>
      <c r="K101" s="13">
        <f t="shared" ref="K101" si="1421">K100/K96</f>
        <v>6.0625</v>
      </c>
      <c r="L101" s="13">
        <f t="shared" ref="L101" si="1422">L100/L96</f>
        <v>-0.30249999999999999</v>
      </c>
      <c r="M101" s="13">
        <f t="shared" ref="M101" si="1423">M100/M96</f>
        <v>-9.7086351858706579E-2</v>
      </c>
      <c r="N101" s="13">
        <f t="shared" ref="N101" si="1424">N100/N96</f>
        <v>-0.13706256627783669</v>
      </c>
      <c r="O101" s="13">
        <f t="shared" ref="O101" si="1425">O100/O96</f>
        <v>-0.68988173455978974</v>
      </c>
      <c r="P101" s="13">
        <f t="shared" ref="P101" si="1426">P100/P96</f>
        <v>3.2846715328467155E-2</v>
      </c>
      <c r="Q101" s="13" t="e">
        <f t="shared" ref="Q101" si="1427">Q100/Q96</f>
        <v>#DIV/0!</v>
      </c>
      <c r="R101" s="13">
        <f t="shared" ref="R101" si="1428">R100/R96</f>
        <v>1.02</v>
      </c>
      <c r="S101" s="13">
        <f t="shared" ref="S101" si="1429">S100/S96</f>
        <v>0.20291060143937839</v>
      </c>
      <c r="T101" s="13">
        <f t="shared" ref="T101:U101" si="1430">T100/T96</f>
        <v>0.28321619269094356</v>
      </c>
      <c r="U101" s="13" t="e">
        <f t="shared" si="1430"/>
        <v>#DIV/0!</v>
      </c>
      <c r="V101" s="162" t="e">
        <f t="shared" ref="V101" si="1431">V100/V96</f>
        <v>#DIV/0!</v>
      </c>
      <c r="W101" s="13" t="e">
        <f t="shared" ref="W101" si="1432">W100/W96</f>
        <v>#DIV/0!</v>
      </c>
      <c r="X101" s="13" t="e">
        <f t="shared" ref="X101" si="1433">X100/X96</f>
        <v>#DIV/0!</v>
      </c>
      <c r="Y101" s="13">
        <f t="shared" ref="Y101" si="1434">Y100/Y96</f>
        <v>28.931506849315067</v>
      </c>
      <c r="Z101" s="13">
        <f t="shared" ref="Z101" si="1435">Z100/Z96</f>
        <v>52.4</v>
      </c>
      <c r="AA101" s="13">
        <f t="shared" ref="AA101:AD101" si="1436">AA100/AA96</f>
        <v>29.55</v>
      </c>
      <c r="AB101" s="13" t="e">
        <f t="shared" ref="AB101" si="1437">AB100/AB96</f>
        <v>#DIV/0!</v>
      </c>
      <c r="AC101" s="14" t="e">
        <f t="shared" si="1436"/>
        <v>#DIV/0!</v>
      </c>
      <c r="AD101" s="228">
        <f t="shared" si="1436"/>
        <v>0.15727642273660866</v>
      </c>
      <c r="AE101" s="13">
        <f t="shared" ref="AE101" si="1438">AE100/AE96</f>
        <v>-0.23237179487179488</v>
      </c>
      <c r="AF101" s="13">
        <f t="shared" ref="AF101" si="1439">AF100/AF96</f>
        <v>-8.2089552238805971E-2</v>
      </c>
      <c r="AG101" s="13">
        <f t="shared" ref="AG101" si="1440">AG100/AG96</f>
        <v>0.3017176997759522</v>
      </c>
      <c r="AH101" s="13" t="e">
        <f t="shared" ref="AH101" si="1441">AH100/AH96</f>
        <v>#DIV/0!</v>
      </c>
      <c r="AI101" s="13" t="e">
        <f t="shared" ref="AI101" si="1442">AI100/AI96</f>
        <v>#DIV/0!</v>
      </c>
      <c r="AJ101" s="13">
        <f t="shared" ref="AJ101" si="1443">AJ100/AJ96</f>
        <v>5.5</v>
      </c>
      <c r="AK101" s="13">
        <f t="shared" ref="AK101" si="1444">AK100/AK96</f>
        <v>-0.95296715059878234</v>
      </c>
      <c r="AL101" s="13">
        <f t="shared" ref="AL101" si="1445">AL100/AL96</f>
        <v>1.012035010940919E-2</v>
      </c>
      <c r="AM101" s="13">
        <f t="shared" ref="AM101" si="1446">AM100/AM96</f>
        <v>-5.661341509332473E-2</v>
      </c>
      <c r="AN101" s="13" t="e">
        <f t="shared" ref="AN101" si="1447">AN100/AN96</f>
        <v>#DIV/0!</v>
      </c>
      <c r="AO101" s="162">
        <f t="shared" ref="AO101" si="1448">AO100/AO96</f>
        <v>-0.23541967001003519</v>
      </c>
      <c r="AP101" s="13" t="e">
        <f t="shared" ref="AP101" si="1449">AP100/AP96</f>
        <v>#DIV/0!</v>
      </c>
      <c r="AQ101" s="14" t="e">
        <f t="shared" ref="AQ101" si="1450">AQ100/AQ96</f>
        <v>#DIV/0!</v>
      </c>
      <c r="AR101" s="13" t="e">
        <f t="shared" ref="AR101" si="1451">AR100/AR96</f>
        <v>#DIV/0!</v>
      </c>
      <c r="AS101" s="13" t="e">
        <f t="shared" ref="AS101" si="1452">AS100/AS96</f>
        <v>#DIV/0!</v>
      </c>
      <c r="AT101" s="13" t="e">
        <f t="shared" ref="AT101" si="1453">AT100/AT96</f>
        <v>#DIV/0!</v>
      </c>
      <c r="AU101" s="13" t="e">
        <f t="shared" ref="AU101" si="1454">AU100/AU96</f>
        <v>#DIV/0!</v>
      </c>
      <c r="AV101" s="13" t="e">
        <f t="shared" ref="AV101" si="1455">AV100/AV96</f>
        <v>#DIV/0!</v>
      </c>
      <c r="AW101" s="13">
        <f t="shared" ref="AW101" si="1456">AW100/AW96</f>
        <v>-0.3888888888888889</v>
      </c>
      <c r="AX101" s="13">
        <f t="shared" ref="AX101" si="1457">AX100/AX96</f>
        <v>5.3589743589743586</v>
      </c>
      <c r="AY101" s="13">
        <f t="shared" ref="AY101" si="1458">AY100/AY96</f>
        <v>-0.3037037037037037</v>
      </c>
      <c r="AZ101" s="13" t="e">
        <f t="shared" ref="AZ101" si="1459">AZ100/AZ96</f>
        <v>#DIV/0!</v>
      </c>
      <c r="BA101" s="13" t="e">
        <f t="shared" ref="BA101" si="1460">BA100/BA96</f>
        <v>#DIV/0!</v>
      </c>
      <c r="BB101" s="14" t="e">
        <f t="shared" ref="BB101" si="1461">BB100/BB96</f>
        <v>#DIV/0!</v>
      </c>
      <c r="BC101" s="13">
        <f t="shared" ref="BC101" si="1462">BC100/BC96</f>
        <v>-0.13281152938253199</v>
      </c>
      <c r="BD101" s="13">
        <f t="shared" ref="BD101" si="1463">BD100/BD96</f>
        <v>-0.14875776397515528</v>
      </c>
      <c r="BE101" s="13">
        <f t="shared" ref="BE101" si="1464">BE100/BE96</f>
        <v>-1</v>
      </c>
      <c r="BF101" s="13">
        <f t="shared" ref="BF101" si="1465">BF100/BF96</f>
        <v>-6.3019052271616999E-2</v>
      </c>
      <c r="BG101" s="13">
        <f t="shared" ref="BG101:BH101" si="1466">BG100/BG96</f>
        <v>3.3955984707381628</v>
      </c>
      <c r="BH101" s="162">
        <f t="shared" si="1466"/>
        <v>-0.32995968449571961</v>
      </c>
      <c r="BI101" s="228">
        <f t="shared" ref="BI101" si="1467">BI100/BI96</f>
        <v>4.9915827858700981E-2</v>
      </c>
      <c r="BJ101" s="13" t="e">
        <f t="shared" ref="BJ101:BK101" si="1468">BJ100/BJ96</f>
        <v>#DIV/0!</v>
      </c>
      <c r="BK101" s="50">
        <f t="shared" si="1468"/>
        <v>4.9915827858700981E-2</v>
      </c>
      <c r="BM101" s="14">
        <f t="shared" ref="BM101" si="1469">BM100/BM96</f>
        <v>-0.32995968449571961</v>
      </c>
    </row>
    <row r="102" spans="1:65" ht="15.75" x14ac:dyDescent="0.25">
      <c r="A102" s="128"/>
      <c r="B102" s="5" t="s">
        <v>296</v>
      </c>
      <c r="C102" s="126">
        <f>C97/C94</f>
        <v>0.40470854198343154</v>
      </c>
      <c r="D102" s="126">
        <f t="shared" ref="D102:BK102" si="1470">D97/D94</f>
        <v>0.30056542648449602</v>
      </c>
      <c r="E102" s="126">
        <f t="shared" si="1470"/>
        <v>1.0100458615418214E-3</v>
      </c>
      <c r="F102" s="126">
        <f t="shared" si="1470"/>
        <v>0.40790229885057472</v>
      </c>
      <c r="G102" s="126">
        <f t="shared" si="1470"/>
        <v>0.31846820680101884</v>
      </c>
      <c r="H102" s="126" t="e">
        <f t="shared" si="1470"/>
        <v>#DIV/0!</v>
      </c>
      <c r="I102" s="126" t="e">
        <f t="shared" si="1470"/>
        <v>#DIV/0!</v>
      </c>
      <c r="J102" s="126" t="e">
        <f t="shared" si="1470"/>
        <v>#DIV/0!</v>
      </c>
      <c r="K102" s="126">
        <f t="shared" si="1470"/>
        <v>2.662303664921466</v>
      </c>
      <c r="L102" s="126">
        <f t="shared" si="1470"/>
        <v>0.29235068110373735</v>
      </c>
      <c r="M102" s="126">
        <f t="shared" si="1470"/>
        <v>0.40972788789173104</v>
      </c>
      <c r="N102" s="126">
        <f t="shared" si="1470"/>
        <v>0.31431054461181923</v>
      </c>
      <c r="O102" s="126">
        <f t="shared" si="1470"/>
        <v>7.7149395227198436E-2</v>
      </c>
      <c r="P102" s="126">
        <f t="shared" si="1470"/>
        <v>0.38882528051293797</v>
      </c>
      <c r="Q102" s="126" t="e">
        <f t="shared" si="1470"/>
        <v>#DIV/0!</v>
      </c>
      <c r="R102" s="126">
        <f t="shared" si="1470"/>
        <v>0.24737578726382084</v>
      </c>
      <c r="S102" s="126">
        <f t="shared" si="1470"/>
        <v>0.76370412303047452</v>
      </c>
      <c r="T102" s="126">
        <f t="shared" si="1470"/>
        <v>0.59395753606211554</v>
      </c>
      <c r="U102" s="126" t="e">
        <f t="shared" si="1470"/>
        <v>#DIV/0!</v>
      </c>
      <c r="V102" s="177" t="e">
        <f t="shared" si="1470"/>
        <v>#DIV/0!</v>
      </c>
      <c r="W102" s="126" t="e">
        <f t="shared" si="1470"/>
        <v>#DIV/0!</v>
      </c>
      <c r="X102" s="126" t="e">
        <f t="shared" si="1470"/>
        <v>#DIV/0!</v>
      </c>
      <c r="Y102" s="126">
        <f t="shared" si="1470"/>
        <v>13.829113924050633</v>
      </c>
      <c r="Z102" s="126">
        <f t="shared" si="1470"/>
        <v>13.35</v>
      </c>
      <c r="AA102" s="126">
        <f t="shared" si="1470"/>
        <v>9.2575757575757578</v>
      </c>
      <c r="AB102" s="126">
        <f t="shared" ref="AB102" si="1471">AB97/AB94</f>
        <v>4.6511627906976744E-2</v>
      </c>
      <c r="AC102" s="215" t="e">
        <f t="shared" si="1470"/>
        <v>#DIV/0!</v>
      </c>
      <c r="AD102" s="229">
        <f t="shared" si="1470"/>
        <v>0.54202740824538542</v>
      </c>
      <c r="AE102" s="126">
        <f t="shared" si="1470"/>
        <v>0.12493479394887845</v>
      </c>
      <c r="AF102" s="126">
        <f t="shared" si="1470"/>
        <v>1.5569620253164558</v>
      </c>
      <c r="AG102" s="126">
        <f t="shared" si="1470"/>
        <v>1.9829351535836177</v>
      </c>
      <c r="AH102" s="126" t="e">
        <f t="shared" si="1470"/>
        <v>#DIV/0!</v>
      </c>
      <c r="AI102" s="126" t="e">
        <f t="shared" si="1470"/>
        <v>#DIV/0!</v>
      </c>
      <c r="AJ102" s="126">
        <f t="shared" si="1470"/>
        <v>3.65625</v>
      </c>
      <c r="AK102" s="126">
        <f t="shared" si="1470"/>
        <v>3.5225735330961565E-2</v>
      </c>
      <c r="AL102" s="126">
        <f t="shared" si="1470"/>
        <v>0.54813009609261665</v>
      </c>
      <c r="AM102" s="126">
        <f t="shared" si="1470"/>
        <v>0.4300074779645226</v>
      </c>
      <c r="AN102" s="126" t="e">
        <f t="shared" si="1470"/>
        <v>#DIV/0!</v>
      </c>
      <c r="AO102" s="177">
        <f t="shared" si="1470"/>
        <v>0.41413809753742153</v>
      </c>
      <c r="AP102" s="126" t="e">
        <f t="shared" si="1470"/>
        <v>#DIV/0!</v>
      </c>
      <c r="AQ102" s="215" t="e">
        <f t="shared" si="1470"/>
        <v>#DIV/0!</v>
      </c>
      <c r="AR102" s="126" t="e">
        <f t="shared" si="1470"/>
        <v>#DIV/0!</v>
      </c>
      <c r="AS102" s="126" t="e">
        <f t="shared" si="1470"/>
        <v>#DIV/0!</v>
      </c>
      <c r="AT102" s="126" t="e">
        <f t="shared" si="1470"/>
        <v>#DIV/0!</v>
      </c>
      <c r="AU102" s="126" t="e">
        <f t="shared" si="1470"/>
        <v>#DIV/0!</v>
      </c>
      <c r="AV102" s="126" t="e">
        <f t="shared" si="1470"/>
        <v>#DIV/0!</v>
      </c>
      <c r="AW102" s="126">
        <f t="shared" si="1470"/>
        <v>0.31188658669574698</v>
      </c>
      <c r="AX102" s="126">
        <f t="shared" si="1470"/>
        <v>0.85223367697594499</v>
      </c>
      <c r="AY102" s="126">
        <f t="shared" si="1470"/>
        <v>0.22677925211097708</v>
      </c>
      <c r="AZ102" s="126" t="e">
        <f t="shared" si="1470"/>
        <v>#DIV/0!</v>
      </c>
      <c r="BA102" s="126" t="e">
        <f t="shared" si="1470"/>
        <v>#DIV/0!</v>
      </c>
      <c r="BB102" s="215" t="e">
        <f t="shared" si="1470"/>
        <v>#DIV/0!</v>
      </c>
      <c r="BC102" s="126">
        <f t="shared" si="1470"/>
        <v>0.47071517685537984</v>
      </c>
      <c r="BD102" s="126">
        <f t="shared" si="1470"/>
        <v>0.46208570754239858</v>
      </c>
      <c r="BE102" s="126">
        <f t="shared" si="1470"/>
        <v>0</v>
      </c>
      <c r="BF102" s="126">
        <f t="shared" si="1470"/>
        <v>0.54519613416714041</v>
      </c>
      <c r="BG102" s="126">
        <f t="shared" si="1470"/>
        <v>1.7406638198757765</v>
      </c>
      <c r="BH102" s="177">
        <f t="shared" si="1470"/>
        <v>0.3602969596922333</v>
      </c>
      <c r="BI102" s="229">
        <f t="shared" si="1470"/>
        <v>0.50612861198685</v>
      </c>
      <c r="BJ102" s="126">
        <f t="shared" si="1470"/>
        <v>0</v>
      </c>
      <c r="BK102" s="126">
        <f t="shared" si="1470"/>
        <v>0.50613959800029262</v>
      </c>
      <c r="BM102" s="126" t="e">
        <f t="shared" ref="BM102" si="1472">BM97/BM94</f>
        <v>#DIV/0!</v>
      </c>
    </row>
    <row r="103" spans="1:65" s="180" customFormat="1" ht="15.75" x14ac:dyDescent="0.25">
      <c r="A103" s="128"/>
      <c r="B103" s="5" t="s">
        <v>297</v>
      </c>
      <c r="C103" s="11">
        <f>C97-C94</f>
        <v>-520327</v>
      </c>
      <c r="D103" s="11">
        <f t="shared" ref="D103:BM103" si="1473">D97-D94</f>
        <v>-173799</v>
      </c>
      <c r="E103" s="11">
        <f t="shared" si="1473"/>
        <v>-36595</v>
      </c>
      <c r="F103" s="11">
        <f t="shared" si="1473"/>
        <v>-45331</v>
      </c>
      <c r="G103" s="11">
        <f t="shared" si="1473"/>
        <v>-45756</v>
      </c>
      <c r="H103" s="11">
        <f t="shared" si="1473"/>
        <v>0</v>
      </c>
      <c r="I103" s="11">
        <f t="shared" si="1473"/>
        <v>0</v>
      </c>
      <c r="J103" s="11">
        <f t="shared" si="1473"/>
        <v>0</v>
      </c>
      <c r="K103" s="11">
        <f t="shared" si="1473"/>
        <v>635</v>
      </c>
      <c r="L103" s="11">
        <f t="shared" si="1473"/>
        <v>-2026</v>
      </c>
      <c r="M103" s="11">
        <f t="shared" si="1473"/>
        <v>-49198</v>
      </c>
      <c r="N103" s="11">
        <f t="shared" si="1473"/>
        <v>-7101</v>
      </c>
      <c r="O103" s="11">
        <f t="shared" si="1473"/>
        <v>-2823</v>
      </c>
      <c r="P103" s="11">
        <f t="shared" si="1473"/>
        <v>-8007</v>
      </c>
      <c r="Q103" s="11">
        <f t="shared" si="1473"/>
        <v>0</v>
      </c>
      <c r="R103" s="11">
        <f t="shared" si="1473"/>
        <v>-2151</v>
      </c>
      <c r="S103" s="11">
        <f t="shared" si="1473"/>
        <v>-210378</v>
      </c>
      <c r="T103" s="11">
        <f t="shared" si="1473"/>
        <v>-337617</v>
      </c>
      <c r="U103" s="11">
        <f t="shared" si="1473"/>
        <v>0</v>
      </c>
      <c r="V103" s="9">
        <f t="shared" si="1473"/>
        <v>0</v>
      </c>
      <c r="W103" s="11">
        <f t="shared" si="1473"/>
        <v>0</v>
      </c>
      <c r="X103" s="11">
        <f t="shared" si="1473"/>
        <v>0</v>
      </c>
      <c r="Y103" s="11">
        <f t="shared" si="1473"/>
        <v>2027</v>
      </c>
      <c r="Z103" s="11">
        <f t="shared" si="1473"/>
        <v>247</v>
      </c>
      <c r="AA103" s="11">
        <f t="shared" si="1473"/>
        <v>545</v>
      </c>
      <c r="AB103" s="11">
        <f t="shared" ref="AB103" si="1474">AB97-AB94</f>
        <v>-1517</v>
      </c>
      <c r="AC103" s="10">
        <f t="shared" si="1473"/>
        <v>0</v>
      </c>
      <c r="AD103" s="227">
        <f t="shared" si="1473"/>
        <v>-1439172</v>
      </c>
      <c r="AE103" s="11">
        <f t="shared" si="1473"/>
        <v>-3355</v>
      </c>
      <c r="AF103" s="11">
        <f t="shared" si="1473"/>
        <v>44</v>
      </c>
      <c r="AG103" s="11">
        <f t="shared" si="1473"/>
        <v>864</v>
      </c>
      <c r="AH103" s="11">
        <f t="shared" si="1473"/>
        <v>0</v>
      </c>
      <c r="AI103" s="11">
        <f t="shared" si="1473"/>
        <v>0</v>
      </c>
      <c r="AJ103" s="11">
        <f t="shared" si="1473"/>
        <v>85</v>
      </c>
      <c r="AK103" s="11">
        <f t="shared" si="1473"/>
        <v>-19254</v>
      </c>
      <c r="AL103" s="11">
        <f t="shared" si="1473"/>
        <v>-94378</v>
      </c>
      <c r="AM103" s="11">
        <f t="shared" si="1473"/>
        <v>-92992</v>
      </c>
      <c r="AN103" s="11">
        <f t="shared" si="1473"/>
        <v>6</v>
      </c>
      <c r="AO103" s="9">
        <f t="shared" si="1473"/>
        <v>-212331</v>
      </c>
      <c r="AP103" s="11">
        <f t="shared" si="1473"/>
        <v>0</v>
      </c>
      <c r="AQ103" s="10">
        <f t="shared" si="1473"/>
        <v>0</v>
      </c>
      <c r="AR103" s="11">
        <f t="shared" si="1473"/>
        <v>0</v>
      </c>
      <c r="AS103" s="11">
        <f t="shared" si="1473"/>
        <v>0</v>
      </c>
      <c r="AT103" s="11">
        <f t="shared" si="1473"/>
        <v>0</v>
      </c>
      <c r="AU103" s="11">
        <f t="shared" si="1473"/>
        <v>0</v>
      </c>
      <c r="AV103" s="11">
        <f t="shared" si="1473"/>
        <v>0</v>
      </c>
      <c r="AW103" s="11">
        <f t="shared" si="1473"/>
        <v>-631</v>
      </c>
      <c r="AX103" s="11">
        <f t="shared" si="1473"/>
        <v>-43</v>
      </c>
      <c r="AY103" s="11">
        <f t="shared" si="1473"/>
        <v>-1282</v>
      </c>
      <c r="AZ103" s="11">
        <f t="shared" si="1473"/>
        <v>0</v>
      </c>
      <c r="BA103" s="11">
        <f t="shared" si="1473"/>
        <v>0</v>
      </c>
      <c r="BB103" s="10">
        <f t="shared" si="1473"/>
        <v>0</v>
      </c>
      <c r="BC103" s="11">
        <f t="shared" si="1473"/>
        <v>-15697</v>
      </c>
      <c r="BD103" s="11">
        <f t="shared" si="1473"/>
        <v>-15954</v>
      </c>
      <c r="BE103" s="11">
        <f t="shared" si="1473"/>
        <v>-180</v>
      </c>
      <c r="BF103" s="11">
        <f t="shared" si="1473"/>
        <v>-1600</v>
      </c>
      <c r="BG103" s="11">
        <f t="shared" si="1473"/>
        <v>-38159</v>
      </c>
      <c r="BH103" s="11">
        <f t="shared" si="1473"/>
        <v>-494857</v>
      </c>
      <c r="BI103" s="227">
        <f t="shared" si="1473"/>
        <v>-1934029</v>
      </c>
      <c r="BJ103" s="11">
        <f t="shared" si="1473"/>
        <v>-85</v>
      </c>
      <c r="BK103" s="11">
        <f t="shared" si="1473"/>
        <v>-1933944</v>
      </c>
      <c r="BL103" s="11">
        <f t="shared" si="1473"/>
        <v>1982019</v>
      </c>
      <c r="BM103" s="11">
        <f t="shared" si="1473"/>
        <v>278716</v>
      </c>
    </row>
    <row r="104" spans="1:65" s="180" customFormat="1" ht="15.75" x14ac:dyDescent="0.25">
      <c r="A104" s="128"/>
      <c r="B104" s="5"/>
      <c r="C104" s="5"/>
      <c r="D104" s="5"/>
      <c r="E104" s="5"/>
      <c r="F104" s="5"/>
      <c r="G104" s="5"/>
      <c r="H104" s="5"/>
      <c r="I104" s="5"/>
      <c r="J104" s="5"/>
      <c r="K104" s="5"/>
      <c r="L104" s="5"/>
      <c r="M104" s="5"/>
      <c r="N104" s="5"/>
      <c r="O104" s="5"/>
      <c r="P104" s="5"/>
      <c r="Q104" s="5"/>
      <c r="R104" s="5"/>
      <c r="S104" s="5"/>
      <c r="T104" s="5"/>
      <c r="U104" s="5"/>
      <c r="V104" s="16"/>
      <c r="W104" s="5"/>
      <c r="X104" s="5"/>
      <c r="Y104" s="5"/>
      <c r="Z104" s="5"/>
      <c r="AA104" s="5"/>
      <c r="AB104" s="5"/>
      <c r="AC104" s="6"/>
      <c r="AD104" s="230"/>
      <c r="AE104" s="5"/>
      <c r="AF104" s="5"/>
      <c r="AG104" s="5"/>
      <c r="AH104" s="5"/>
      <c r="AI104" s="5"/>
      <c r="AJ104" s="5"/>
      <c r="AK104" s="5"/>
      <c r="AL104" s="5"/>
      <c r="AM104" s="5"/>
      <c r="AN104" s="5"/>
      <c r="AO104" s="16"/>
      <c r="AP104" s="5"/>
      <c r="AQ104" s="6"/>
      <c r="AR104" s="5"/>
      <c r="AS104" s="5"/>
      <c r="AT104" s="5"/>
      <c r="AU104" s="5"/>
      <c r="AV104" s="5"/>
      <c r="AW104" s="6"/>
      <c r="AX104" s="5"/>
      <c r="AY104" s="5"/>
      <c r="AZ104" s="5"/>
      <c r="BA104" s="5"/>
      <c r="BB104" s="6"/>
      <c r="BC104" s="5"/>
      <c r="BD104" s="5"/>
      <c r="BE104" s="5"/>
      <c r="BF104" s="5"/>
      <c r="BG104" s="5"/>
      <c r="BH104" s="16"/>
      <c r="BI104" s="230"/>
      <c r="BJ104" s="5"/>
      <c r="BK104" s="48"/>
    </row>
    <row r="105" spans="1:65" ht="15.75" x14ac:dyDescent="0.25">
      <c r="A105" s="15" t="s">
        <v>42</v>
      </c>
      <c r="B105" s="11" t="s">
        <v>301</v>
      </c>
      <c r="C105" s="120">
        <v>1439983</v>
      </c>
      <c r="D105" s="120">
        <v>409606</v>
      </c>
      <c r="E105" s="120">
        <v>23170</v>
      </c>
      <c r="F105" s="120">
        <v>159053</v>
      </c>
      <c r="G105" s="120">
        <v>99520</v>
      </c>
      <c r="H105" s="120">
        <v>0</v>
      </c>
      <c r="I105" s="120">
        <v>0</v>
      </c>
      <c r="J105" s="120">
        <v>0</v>
      </c>
      <c r="K105" s="120">
        <v>120</v>
      </c>
      <c r="L105" s="120">
        <v>2477</v>
      </c>
      <c r="M105" s="120">
        <v>187773</v>
      </c>
      <c r="N105" s="120">
        <v>1058</v>
      </c>
      <c r="O105" s="120">
        <v>24597</v>
      </c>
      <c r="P105" s="120">
        <v>157750</v>
      </c>
      <c r="Q105" s="120">
        <v>0</v>
      </c>
      <c r="R105" s="120">
        <v>10398</v>
      </c>
      <c r="S105" s="120">
        <v>0</v>
      </c>
      <c r="T105" s="120">
        <v>0</v>
      </c>
      <c r="U105" s="120"/>
      <c r="V105" s="189">
        <v>0</v>
      </c>
      <c r="W105" s="120">
        <v>0</v>
      </c>
      <c r="X105" s="120">
        <v>0</v>
      </c>
      <c r="Y105" s="120">
        <v>2088</v>
      </c>
      <c r="Z105" s="120">
        <v>774</v>
      </c>
      <c r="AA105" s="120">
        <v>420</v>
      </c>
      <c r="AB105" s="120">
        <v>2622</v>
      </c>
      <c r="AC105" s="151">
        <v>0</v>
      </c>
      <c r="AD105" s="233">
        <f t="shared" ref="AD105:AD106" si="1475">SUM(C105:AC105)</f>
        <v>2521409</v>
      </c>
      <c r="AE105" s="120">
        <v>6495</v>
      </c>
      <c r="AF105" s="120">
        <v>208</v>
      </c>
      <c r="AG105" s="120">
        <v>96</v>
      </c>
      <c r="AH105" s="120">
        <v>0</v>
      </c>
      <c r="AI105" s="120">
        <v>0</v>
      </c>
      <c r="AJ105" s="120">
        <v>0</v>
      </c>
      <c r="AK105" s="120">
        <v>5033</v>
      </c>
      <c r="AL105" s="120">
        <v>11085</v>
      </c>
      <c r="AM105" s="120">
        <v>394</v>
      </c>
      <c r="AN105" s="120">
        <v>289</v>
      </c>
      <c r="AO105" s="189">
        <v>78894</v>
      </c>
      <c r="AP105" s="120">
        <v>177168</v>
      </c>
      <c r="AQ105" s="151">
        <v>0</v>
      </c>
      <c r="AR105" s="120">
        <v>0</v>
      </c>
      <c r="AS105" s="120"/>
      <c r="AT105" s="120"/>
      <c r="AU105" s="120">
        <v>0</v>
      </c>
      <c r="AV105" s="120"/>
      <c r="AW105" s="120">
        <v>4939</v>
      </c>
      <c r="AX105" s="120">
        <v>1512</v>
      </c>
      <c r="AY105" s="120">
        <v>388</v>
      </c>
      <c r="AZ105" s="120"/>
      <c r="BA105" s="120"/>
      <c r="BB105" s="151">
        <v>0</v>
      </c>
      <c r="BC105" s="120">
        <v>6341</v>
      </c>
      <c r="BD105" s="120">
        <v>6341</v>
      </c>
      <c r="BE105" s="120">
        <v>65</v>
      </c>
      <c r="BF105" s="120">
        <v>900</v>
      </c>
      <c r="BG105" s="136">
        <f>934138</f>
        <v>934138</v>
      </c>
      <c r="BH105" s="9">
        <f>SUM(AE105:BG105)</f>
        <v>1234286</v>
      </c>
      <c r="BI105" s="226">
        <f>AD105+BH105</f>
        <v>3755695</v>
      </c>
      <c r="BJ105" s="96">
        <v>148013</v>
      </c>
      <c r="BK105" s="49">
        <f t="shared" ref="BK105:BK106" si="1476">BI105-BJ105</f>
        <v>3607682</v>
      </c>
      <c r="BL105">
        <v>10</v>
      </c>
      <c r="BM105" s="30"/>
    </row>
    <row r="106" spans="1:65" s="41" customFormat="1" ht="15.75" x14ac:dyDescent="0.25">
      <c r="A106" s="134" t="s">
        <v>42</v>
      </c>
      <c r="B106" s="216" t="s">
        <v>324</v>
      </c>
      <c r="C106" s="10">
        <v>633593</v>
      </c>
      <c r="D106" s="10">
        <v>145637</v>
      </c>
      <c r="E106" s="10">
        <v>0</v>
      </c>
      <c r="F106" s="10">
        <v>69982</v>
      </c>
      <c r="G106" s="10">
        <v>43792</v>
      </c>
      <c r="H106" s="10">
        <v>0</v>
      </c>
      <c r="I106" s="10">
        <v>0</v>
      </c>
      <c r="J106" s="10">
        <v>0</v>
      </c>
      <c r="K106" s="10">
        <v>54</v>
      </c>
      <c r="L106" s="10">
        <v>1090</v>
      </c>
      <c r="M106" s="10">
        <v>82619</v>
      </c>
      <c r="N106" s="10">
        <v>466</v>
      </c>
      <c r="O106" s="10">
        <v>10823</v>
      </c>
      <c r="P106" s="10">
        <v>69410</v>
      </c>
      <c r="Q106" s="10">
        <v>0</v>
      </c>
      <c r="R106" s="10">
        <v>4576</v>
      </c>
      <c r="S106" s="10">
        <v>0</v>
      </c>
      <c r="T106" s="10">
        <v>0</v>
      </c>
      <c r="U106" s="10"/>
      <c r="V106" s="10">
        <v>0</v>
      </c>
      <c r="W106" s="10">
        <v>0</v>
      </c>
      <c r="X106" s="10">
        <v>0</v>
      </c>
      <c r="Y106" s="10">
        <v>921</v>
      </c>
      <c r="Z106" s="10">
        <v>338</v>
      </c>
      <c r="AA106" s="10">
        <v>186</v>
      </c>
      <c r="AB106" s="10">
        <v>1154</v>
      </c>
      <c r="AC106" s="10">
        <v>0</v>
      </c>
      <c r="AD106" s="233">
        <f t="shared" si="1475"/>
        <v>1064641</v>
      </c>
      <c r="AE106" s="10">
        <v>2859</v>
      </c>
      <c r="AF106" s="10">
        <v>91</v>
      </c>
      <c r="AG106" s="10">
        <v>43</v>
      </c>
      <c r="AH106" s="10">
        <v>0</v>
      </c>
      <c r="AI106" s="10">
        <v>0</v>
      </c>
      <c r="AJ106" s="10">
        <v>0</v>
      </c>
      <c r="AK106" s="10">
        <v>2215</v>
      </c>
      <c r="AL106" s="10">
        <v>4878</v>
      </c>
      <c r="AM106" s="10">
        <v>174</v>
      </c>
      <c r="AN106" s="10">
        <v>127</v>
      </c>
      <c r="AO106" s="10">
        <v>34715</v>
      </c>
      <c r="AP106" s="10">
        <v>77953</v>
      </c>
      <c r="AQ106" s="10">
        <v>0</v>
      </c>
      <c r="AR106" s="10">
        <v>0</v>
      </c>
      <c r="AS106" s="10"/>
      <c r="AT106" s="10"/>
      <c r="AU106" s="10">
        <v>0</v>
      </c>
      <c r="AV106" s="10"/>
      <c r="AW106" s="10">
        <v>2173</v>
      </c>
      <c r="AX106" s="10">
        <v>665</v>
      </c>
      <c r="AY106" s="10">
        <v>171</v>
      </c>
      <c r="AZ106" s="10">
        <v>0</v>
      </c>
      <c r="BA106" s="10">
        <v>0</v>
      </c>
      <c r="BB106" s="10">
        <v>0</v>
      </c>
      <c r="BC106" s="10">
        <v>2789</v>
      </c>
      <c r="BD106" s="10">
        <v>2789</v>
      </c>
      <c r="BE106" s="10">
        <v>29</v>
      </c>
      <c r="BF106" s="10">
        <v>395</v>
      </c>
      <c r="BG106" s="10">
        <f>425270-32400</f>
        <v>392870</v>
      </c>
      <c r="BH106" s="10">
        <f>SUM(AE106:BG106)</f>
        <v>524936</v>
      </c>
      <c r="BI106" s="226">
        <f>AD106+BH106</f>
        <v>1589577</v>
      </c>
      <c r="BJ106" s="10">
        <f>52899+21057</f>
        <v>73956</v>
      </c>
      <c r="BK106" s="10">
        <f t="shared" si="1476"/>
        <v>1515621</v>
      </c>
      <c r="BM106" s="217"/>
    </row>
    <row r="107" spans="1:65" ht="15.75" x14ac:dyDescent="0.25">
      <c r="A107" s="128"/>
      <c r="B107" s="12" t="s">
        <v>325</v>
      </c>
      <c r="C107" s="9">
        <f>IF('Upto Month COPPY'!$K$4="",0,'Upto Month COPPY'!$K$4)</f>
        <v>647155</v>
      </c>
      <c r="D107" s="9">
        <f>IF('Upto Month COPPY'!$K$5="",0,'Upto Month COPPY'!$K$5)</f>
        <v>108506</v>
      </c>
      <c r="E107" s="9">
        <f>IF('Upto Month COPPY'!$K$6="",0,'Upto Month COPPY'!$K$6)</f>
        <v>51</v>
      </c>
      <c r="F107" s="9">
        <f>IF('Upto Month COPPY'!$K$7="",0,'Upto Month COPPY'!$K$7)</f>
        <v>52213</v>
      </c>
      <c r="G107" s="9">
        <f>IF('Upto Month COPPY'!$K$8="",0,'Upto Month COPPY'!$K$8)</f>
        <v>32899</v>
      </c>
      <c r="H107" s="9">
        <f>IF('Upto Month COPPY'!$K$9="",0,'Upto Month COPPY'!$K$9)</f>
        <v>0</v>
      </c>
      <c r="I107" s="9">
        <f>IF('Upto Month COPPY'!$K$10="",0,'Upto Month COPPY'!$K$10)</f>
        <v>0</v>
      </c>
      <c r="J107" s="9">
        <f>IF('Upto Month COPPY'!$K$11="",0,'Upto Month COPPY'!$K$11)</f>
        <v>0</v>
      </c>
      <c r="K107" s="9">
        <f>IF('Upto Month COPPY'!$K$12="",0,'Upto Month COPPY'!$K$12)</f>
        <v>0</v>
      </c>
      <c r="L107" s="9">
        <f>IF('Upto Month COPPY'!$K$13="",0,'Upto Month COPPY'!$K$13)</f>
        <v>631</v>
      </c>
      <c r="M107" s="9">
        <f>IF('Upto Month COPPY'!$K$14="",0,'Upto Month COPPY'!$K$14)</f>
        <v>77757</v>
      </c>
      <c r="N107" s="9">
        <f>IF('Upto Month COPPY'!$K$15="",0,'Upto Month COPPY'!$K$15)</f>
        <v>89</v>
      </c>
      <c r="O107" s="9">
        <f>IF('Upto Month COPPY'!$K$16="",0,'Upto Month COPPY'!$K$16)</f>
        <v>2021</v>
      </c>
      <c r="P107" s="9">
        <f>IF('Upto Month COPPY'!$K$17="",0,'Upto Month COPPY'!$K$17)</f>
        <v>79078</v>
      </c>
      <c r="Q107" s="9">
        <f>IF('Upto Month COPPY'!$K$18="",0,'Upto Month COPPY'!$K$18)</f>
        <v>0</v>
      </c>
      <c r="R107" s="9">
        <f>IF('Upto Month COPPY'!$K$21="",0,'Upto Month COPPY'!$K$21)</f>
        <v>897</v>
      </c>
      <c r="S107" s="9">
        <f>IF('Upto Month COPPY'!$K$26="",0,'Upto Month COPPY'!$K$26)</f>
        <v>0</v>
      </c>
      <c r="T107" s="9">
        <f>IF('Upto Month COPPY'!$K$27="",0,'Upto Month COPPY'!$K$27)</f>
        <v>0</v>
      </c>
      <c r="U107" s="9">
        <f>IF('Upto Month COPPY'!$K$30="",0,'Upto Month COPPY'!$K$30)</f>
        <v>0</v>
      </c>
      <c r="V107" s="9">
        <f>IF('Upto Month COPPY'!$K$35="",0,'Upto Month COPPY'!$K$35)</f>
        <v>0</v>
      </c>
      <c r="W107" s="9">
        <f>IF('Upto Month COPPY'!$K$39="",0,'Upto Month COPPY'!$K$39)</f>
        <v>0</v>
      </c>
      <c r="X107" s="9">
        <f>IF('Upto Month COPPY'!$K$40="",0,'Upto Month COPPY'!$K$40)</f>
        <v>0</v>
      </c>
      <c r="Y107" s="9">
        <f>IF('Upto Month COPPY'!$K$42="",0,'Upto Month COPPY'!$K$42)</f>
        <v>1320</v>
      </c>
      <c r="Z107" s="9">
        <f>IF('Upto Month COPPY'!$K$43="",0,'Upto Month COPPY'!$K$43)</f>
        <v>310</v>
      </c>
      <c r="AA107" s="9">
        <f>IF('Upto Month COPPY'!$K$44="",0,'Upto Month COPPY'!$K$44)</f>
        <v>173</v>
      </c>
      <c r="AB107" s="9">
        <f>IF('Upto Month COPPY'!$K$48="",0,'Upto Month COPPY'!$K$48)</f>
        <v>0</v>
      </c>
      <c r="AC107" s="10">
        <f>IF('Upto Month COPPY'!$K$51="",0,'Upto Month COPPY'!$K$51)</f>
        <v>0</v>
      </c>
      <c r="AD107" s="233">
        <f t="shared" ref="AD107:AD108" si="1477">SUM(C107:AC107)</f>
        <v>1003100</v>
      </c>
      <c r="AE107" s="9">
        <f>IF('Upto Month COPPY'!$K$19="",0,'Upto Month COPPY'!$K$19)</f>
        <v>2353</v>
      </c>
      <c r="AF107" s="9">
        <f>IF('Upto Month COPPY'!$K$20="",0,'Upto Month COPPY'!$K$20)</f>
        <v>293</v>
      </c>
      <c r="AG107" s="9">
        <f>IF('Upto Month COPPY'!$K$22="",0,'Upto Month COPPY'!$K$22)</f>
        <v>4961</v>
      </c>
      <c r="AH107" s="9">
        <f>IF('Upto Month COPPY'!$K$23="",0,'Upto Month COPPY'!$K$23)</f>
        <v>0</v>
      </c>
      <c r="AI107" s="9">
        <f>IF('Upto Month COPPY'!$K$24="",0,'Upto Month COPPY'!$K$24)</f>
        <v>0</v>
      </c>
      <c r="AJ107" s="9">
        <f>IF('Upto Month COPPY'!$K$25="",0,'Upto Month COPPY'!$K$25)</f>
        <v>44</v>
      </c>
      <c r="AK107" s="9">
        <f>IF('Upto Month COPPY'!$K$28="",0,'Upto Month COPPY'!$K$28)</f>
        <v>1825</v>
      </c>
      <c r="AL107" s="9">
        <f>IF('Upto Month COPPY'!$K$29="",0,'Upto Month COPPY'!$K$29)</f>
        <v>19868</v>
      </c>
      <c r="AM107" s="9">
        <f>IF('Upto Month COPPY'!$K$31="",0,'Upto Month COPPY'!$K$31)</f>
        <v>149</v>
      </c>
      <c r="AN107" s="9">
        <f>IF('Upto Month COPPY'!$K$32="",0,'Upto Month COPPY'!$K$32)</f>
        <v>0</v>
      </c>
      <c r="AO107" s="9">
        <f>IF('Upto Month COPPY'!$K$33="",0,'Upto Month COPPY'!$K$33)</f>
        <v>33105</v>
      </c>
      <c r="AP107" s="9">
        <f>IF('Upto Month COPPY'!$K$34="",0,'Upto Month COPPY'!$K$34)</f>
        <v>72372</v>
      </c>
      <c r="AQ107" s="10">
        <f>IF('Upto Month COPPY'!$K$36="",0,'Upto Month COPPY'!$K$36)</f>
        <v>0</v>
      </c>
      <c r="AR107" s="9">
        <f>IF('Upto Month COPPY'!$K$37="",0,'Upto Month COPPY'!$K$37)</f>
        <v>0</v>
      </c>
      <c r="AS107" s="9">
        <v>0</v>
      </c>
      <c r="AT107" s="9">
        <f>IF('Upto Month COPPY'!$K$38="",0,'Upto Month COPPY'!$K$38)</f>
        <v>0</v>
      </c>
      <c r="AU107" s="9">
        <f>IF('Upto Month COPPY'!$K$41="",0,'Upto Month COPPY'!$K$41)</f>
        <v>0</v>
      </c>
      <c r="AV107" s="9">
        <v>0</v>
      </c>
      <c r="AW107" s="9">
        <f>IF('Upto Month COPPY'!$K$45="",0,'Upto Month COPPY'!$K$45)</f>
        <v>598</v>
      </c>
      <c r="AX107" s="9">
        <f>IF('Upto Month COPPY'!$K$46="",0,'Upto Month COPPY'!$K$46)</f>
        <v>534</v>
      </c>
      <c r="AY107" s="9">
        <f>IF('Upto Month COPPY'!$K$47="",0,'Upto Month COPPY'!$K$47)</f>
        <v>65</v>
      </c>
      <c r="AZ107" s="9">
        <f>IF('Upto Month COPPY'!$K$49="",0,'Upto Month COPPY'!$K$49)</f>
        <v>0</v>
      </c>
      <c r="BA107" s="9">
        <f>IF('Upto Month COPPY'!$K$50="",0,'Upto Month COPPY'!$K$50)</f>
        <v>0</v>
      </c>
      <c r="BB107" s="10">
        <f>IF('Upto Month COPPY'!$K$52="",0,'Upto Month COPPY'!$K$52)</f>
        <v>0</v>
      </c>
      <c r="BC107" s="9">
        <f>IF('Upto Month COPPY'!$K$53="",0,'Upto Month COPPY'!$K$53)</f>
        <v>3039</v>
      </c>
      <c r="BD107" s="9">
        <f>IF('Upto Month COPPY'!$K$54="",0,'Upto Month COPPY'!$K$54)</f>
        <v>3039</v>
      </c>
      <c r="BE107" s="9">
        <f>IF('Upto Month COPPY'!$K$55="",0,'Upto Month COPPY'!$K$55)</f>
        <v>0</v>
      </c>
      <c r="BF107" s="9">
        <f>IF('Upto Month COPPY'!$K$56="",0,'Upto Month COPPY'!$K$56)</f>
        <v>698</v>
      </c>
      <c r="BG107" s="9">
        <f>IF('Upto Month COPPY'!$K$58="",0,'Upto Month COPPY'!$K$58)</f>
        <v>509246</v>
      </c>
      <c r="BH107" s="9">
        <f>SUM(AE107:BG107)</f>
        <v>652189</v>
      </c>
      <c r="BI107" s="226">
        <f>AD107+BH107</f>
        <v>1655289</v>
      </c>
      <c r="BJ107" s="9">
        <f>IF('Upto Month COPPY'!$K$60="",0,'Upto Month COPPY'!$K$60)</f>
        <v>0</v>
      </c>
      <c r="BK107" s="49">
        <f t="shared" ref="BK107:BK108" si="1478">BI107-BJ107</f>
        <v>1655289</v>
      </c>
      <c r="BL107">
        <f>'Upto Month COPPY'!$K$61</f>
        <v>1655289</v>
      </c>
      <c r="BM107" s="30">
        <f t="shared" ref="BM107:BM111" si="1479">BK107-AD107</f>
        <v>652189</v>
      </c>
    </row>
    <row r="108" spans="1:65" ht="15.75" x14ac:dyDescent="0.25">
      <c r="A108" s="128"/>
      <c r="B108" s="182" t="s">
        <v>326</v>
      </c>
      <c r="C108" s="9">
        <f>IF('Upto Month Current'!$K$4="",0,'Upto Month Current'!$K$4)</f>
        <v>702492</v>
      </c>
      <c r="D108" s="9">
        <f>IF('Upto Month Current'!$K$5="",0,'Upto Month Current'!$K$5)</f>
        <v>148111</v>
      </c>
      <c r="E108" s="9">
        <f>IF('Upto Month Current'!$K$6="",0,'Upto Month Current'!$K$6)</f>
        <v>183</v>
      </c>
      <c r="F108" s="9">
        <f>IF('Upto Month Current'!$K$7="",0,'Upto Month Current'!$K$7)</f>
        <v>66596</v>
      </c>
      <c r="G108" s="9">
        <f>IF('Upto Month Current'!$K$8="",0,'Upto Month Current'!$K$8)</f>
        <v>39553</v>
      </c>
      <c r="H108" s="9">
        <f>IF('Upto Month Current'!$K$9="",0,'Upto Month Current'!$K$9)</f>
        <v>0</v>
      </c>
      <c r="I108" s="9">
        <f>IF('Upto Month Current'!$K$10="",0,'Upto Month Current'!$K$10)</f>
        <v>0</v>
      </c>
      <c r="J108" s="9">
        <f>IF('Upto Month Current'!$K$11="",0,'Upto Month Current'!$K$11)</f>
        <v>0</v>
      </c>
      <c r="K108" s="9">
        <f>IF('Upto Month Current'!$K$12="",0,'Upto Month Current'!$K$12)</f>
        <v>0</v>
      </c>
      <c r="L108" s="9">
        <f>IF('Upto Month Current'!$K$13="",0,'Upto Month Current'!$K$13)</f>
        <v>242</v>
      </c>
      <c r="M108" s="9">
        <f>IF('Upto Month Current'!$K$14="",0,'Upto Month Current'!$K$14)</f>
        <v>82325</v>
      </c>
      <c r="N108" s="9">
        <f>IF('Upto Month Current'!$K$15="",0,'Upto Month Current'!$K$15)</f>
        <v>120</v>
      </c>
      <c r="O108" s="9">
        <f>IF('Upto Month Current'!$K$16="",0,'Upto Month Current'!$K$16)</f>
        <v>5023</v>
      </c>
      <c r="P108" s="9">
        <f>IF('Upto Month Current'!$K$17="",0,'Upto Month Current'!$K$17)</f>
        <v>97598</v>
      </c>
      <c r="Q108" s="9">
        <f>IF('Upto Month Current'!$K$18="",0,'Upto Month Current'!$K$18)</f>
        <v>0</v>
      </c>
      <c r="R108" s="9">
        <f>IF('Upto Month Current'!$K$21="",0,'Upto Month Current'!$K$21)</f>
        <v>1274</v>
      </c>
      <c r="S108" s="9">
        <f>IF('Upto Month Current'!$K$26="",0,'Upto Month Current'!$K$26)</f>
        <v>0</v>
      </c>
      <c r="T108" s="9">
        <f>IF('Upto Month Current'!$K$27="",0,'Upto Month Current'!$K$27)</f>
        <v>0</v>
      </c>
      <c r="U108" s="9">
        <f>IF('Upto Month Current'!$K$30="",0,'Upto Month Current'!$K$30)</f>
        <v>0</v>
      </c>
      <c r="V108" s="9">
        <f>IF('Upto Month Current'!$K$35="",0,'Upto Month Current'!$K$35)</f>
        <v>0</v>
      </c>
      <c r="W108" s="9">
        <f>IF('Upto Month Current'!$K$39="",0,'Upto Month Current'!$K$39)</f>
        <v>0</v>
      </c>
      <c r="X108" s="9">
        <f>IF('Upto Month Current'!$K$40="",0,'Upto Month Current'!$K$40)</f>
        <v>0</v>
      </c>
      <c r="Y108" s="9">
        <f>IF('Upto Month Current'!$K$42="",0,'Upto Month Current'!$K$42)</f>
        <v>1772</v>
      </c>
      <c r="Z108" s="9">
        <f>IF('Upto Month Current'!$K$43="",0,'Upto Month Current'!$K$43)</f>
        <v>275</v>
      </c>
      <c r="AA108" s="9">
        <f>IF('Upto Month Current'!$K$44="",0,'Upto Month Current'!$K$44)</f>
        <v>909</v>
      </c>
      <c r="AB108" s="9">
        <f>IF('Upto Month Current'!$K$48="",0,'Upto Month Current'!$K$48)</f>
        <v>0</v>
      </c>
      <c r="AC108" s="10">
        <f>IF('Upto Month Current'!$K$51="",0,'Upto Month Current'!$K$51)</f>
        <v>0</v>
      </c>
      <c r="AD108" s="233">
        <f t="shared" si="1477"/>
        <v>1146473</v>
      </c>
      <c r="AE108" s="9">
        <f>IF('Upto Month Current'!$K$19="",0,'Upto Month Current'!$K$19)</f>
        <v>1946</v>
      </c>
      <c r="AF108" s="9">
        <f>IF('Upto Month Current'!$K$20="",0,'Upto Month Current'!$K$20)</f>
        <v>290</v>
      </c>
      <c r="AG108" s="9">
        <f>IF('Upto Month Current'!$K$22="",0,'Upto Month Current'!$K$22)</f>
        <v>193</v>
      </c>
      <c r="AH108" s="9">
        <f>IF('Upto Month Current'!$K$23="",0,'Upto Month Current'!$K$23)</f>
        <v>0</v>
      </c>
      <c r="AI108" s="9">
        <f>IF('Upto Month Current'!$K$24="",0,'Upto Month Current'!$K$24)</f>
        <v>0</v>
      </c>
      <c r="AJ108" s="9">
        <f>IF('Upto Month Current'!$K$25="",0,'Upto Month Current'!$K$25)</f>
        <v>29</v>
      </c>
      <c r="AK108" s="9">
        <f>IF('Upto Month Current'!$K$28="",0,'Upto Month Current'!$K$28)</f>
        <v>3259</v>
      </c>
      <c r="AL108" s="9">
        <f>IF('Upto Month Current'!$K$29="",0,'Upto Month Current'!$K$29)</f>
        <v>7751</v>
      </c>
      <c r="AM108" s="9">
        <f>IF('Upto Month Current'!$K$31="",0,'Upto Month Current'!$K$31)</f>
        <v>42</v>
      </c>
      <c r="AN108" s="9">
        <f>IF('Upto Month Current'!$K$32="",0,'Upto Month Current'!$K$32)</f>
        <v>34</v>
      </c>
      <c r="AO108" s="9">
        <f>IF('Upto Month Current'!$K$33="",0,'Upto Month Current'!$K$33)</f>
        <v>48251</v>
      </c>
      <c r="AP108" s="9">
        <f>IF('Upto Month Current'!$K$34="",0,'Upto Month Current'!$K$34)</f>
        <v>88399</v>
      </c>
      <c r="AQ108" s="10">
        <f>IF('Upto Month Current'!$K$36="",0,'Upto Month Current'!$K$36)</f>
        <v>0</v>
      </c>
      <c r="AR108" s="9">
        <f>IF('Upto Month Current'!$K$37="",0,'Upto Month Current'!$K$37)</f>
        <v>0</v>
      </c>
      <c r="AS108" s="9">
        <v>0</v>
      </c>
      <c r="AT108" s="9">
        <f>IF('Upto Month Current'!$K$38="",0,'Upto Month Current'!$K$38)</f>
        <v>0</v>
      </c>
      <c r="AU108" s="9">
        <f>IF('Upto Month Current'!$K$41="",0,'Upto Month Current'!$K$41)</f>
        <v>0</v>
      </c>
      <c r="AV108" s="9">
        <v>0</v>
      </c>
      <c r="AW108" s="9">
        <f>IF('Upto Month Current'!$K$45="",0,'Upto Month Current'!$K$45)</f>
        <v>2017</v>
      </c>
      <c r="AX108" s="9">
        <f>IF('Upto Month Current'!$K$46="",0,'Upto Month Current'!$K$46)</f>
        <v>918</v>
      </c>
      <c r="AY108" s="9">
        <f>IF('Upto Month Current'!$K$47="",0,'Upto Month Current'!$K$47)</f>
        <v>0</v>
      </c>
      <c r="AZ108" s="9">
        <f>IF('Upto Month Current'!$K$49="",0,'Upto Month Current'!$K$49)</f>
        <v>0</v>
      </c>
      <c r="BA108" s="9">
        <f>IF('Upto Month Current'!$K$50="",0,'Upto Month Current'!$K$50)</f>
        <v>0</v>
      </c>
      <c r="BB108" s="10">
        <f>IF('Upto Month Current'!$K$52="",0,'Upto Month Current'!$K$52)</f>
        <v>0</v>
      </c>
      <c r="BC108" s="9">
        <f>IF('Upto Month Current'!$K$53="",0,'Upto Month Current'!$K$53)</f>
        <v>1349</v>
      </c>
      <c r="BD108" s="9">
        <f>IF('Upto Month Current'!$K$54="",0,'Upto Month Current'!$K$54)</f>
        <v>1349</v>
      </c>
      <c r="BE108" s="9">
        <f>IF('Upto Month Current'!$K$55="",0,'Upto Month Current'!$K$55)</f>
        <v>0</v>
      </c>
      <c r="BF108" s="9">
        <f>IF('Upto Month Current'!$K$56="",0,'Upto Month Current'!$K$56)</f>
        <v>2710</v>
      </c>
      <c r="BG108" s="9">
        <f>IF('Upto Month Current'!$K$58="",0,'Upto Month Current'!$K$58)</f>
        <v>240698</v>
      </c>
      <c r="BH108" s="9">
        <f>SUM(AE108:BG108)</f>
        <v>399235</v>
      </c>
      <c r="BI108" s="226">
        <f>AD108+BH108</f>
        <v>1545708</v>
      </c>
      <c r="BJ108" s="9">
        <f>IF('Upto Month Current'!$K$60="",0,'Upto Month Current'!$K$60)</f>
        <v>0</v>
      </c>
      <c r="BK108" s="49">
        <f t="shared" si="1478"/>
        <v>1545708</v>
      </c>
      <c r="BL108">
        <f>'Upto Month Current'!$K$61</f>
        <v>1545706</v>
      </c>
      <c r="BM108" s="30">
        <f t="shared" si="1479"/>
        <v>399235</v>
      </c>
    </row>
    <row r="109" spans="1:65" ht="15.75" x14ac:dyDescent="0.25">
      <c r="A109" s="128"/>
      <c r="B109" s="5" t="s">
        <v>132</v>
      </c>
      <c r="C109" s="11">
        <f>C108-C106</f>
        <v>68899</v>
      </c>
      <c r="D109" s="11">
        <f t="shared" ref="D109" si="1480">D108-D106</f>
        <v>2474</v>
      </c>
      <c r="E109" s="11">
        <f t="shared" ref="E109" si="1481">E108-E106</f>
        <v>183</v>
      </c>
      <c r="F109" s="11">
        <f t="shared" ref="F109" si="1482">F108-F106</f>
        <v>-3386</v>
      </c>
      <c r="G109" s="11">
        <f t="shared" ref="G109" si="1483">G108-G106</f>
        <v>-4239</v>
      </c>
      <c r="H109" s="11">
        <f t="shared" ref="H109" si="1484">H108-H106</f>
        <v>0</v>
      </c>
      <c r="I109" s="11">
        <f t="shared" ref="I109" si="1485">I108-I106</f>
        <v>0</v>
      </c>
      <c r="J109" s="11">
        <f t="shared" ref="J109" si="1486">J108-J106</f>
        <v>0</v>
      </c>
      <c r="K109" s="11">
        <f t="shared" ref="K109" si="1487">K108-K106</f>
        <v>-54</v>
      </c>
      <c r="L109" s="11">
        <f t="shared" ref="L109" si="1488">L108-L106</f>
        <v>-848</v>
      </c>
      <c r="M109" s="11">
        <f t="shared" ref="M109" si="1489">M108-M106</f>
        <v>-294</v>
      </c>
      <c r="N109" s="11">
        <f t="shared" ref="N109" si="1490">N108-N106</f>
        <v>-346</v>
      </c>
      <c r="O109" s="11">
        <f t="shared" ref="O109" si="1491">O108-O106</f>
        <v>-5800</v>
      </c>
      <c r="P109" s="11">
        <f t="shared" ref="P109" si="1492">P108-P106</f>
        <v>28188</v>
      </c>
      <c r="Q109" s="11">
        <f t="shared" ref="Q109" si="1493">Q108-Q106</f>
        <v>0</v>
      </c>
      <c r="R109" s="11">
        <f t="shared" ref="R109" si="1494">R108-R106</f>
        <v>-3302</v>
      </c>
      <c r="S109" s="11">
        <f t="shared" ref="S109" si="1495">S108-S106</f>
        <v>0</v>
      </c>
      <c r="T109" s="11">
        <f t="shared" ref="T109:U109" si="1496">T108-T106</f>
        <v>0</v>
      </c>
      <c r="U109" s="11">
        <f t="shared" si="1496"/>
        <v>0</v>
      </c>
      <c r="V109" s="9">
        <f t="shared" ref="V109" si="1497">V108-V106</f>
        <v>0</v>
      </c>
      <c r="W109" s="11">
        <f t="shared" ref="W109" si="1498">W108-W106</f>
        <v>0</v>
      </c>
      <c r="X109" s="11">
        <f t="shared" ref="X109" si="1499">X108-X106</f>
        <v>0</v>
      </c>
      <c r="Y109" s="11">
        <f t="shared" ref="Y109" si="1500">Y108-Y106</f>
        <v>851</v>
      </c>
      <c r="Z109" s="11">
        <f t="shared" ref="Z109" si="1501">Z108-Z106</f>
        <v>-63</v>
      </c>
      <c r="AA109" s="11">
        <f t="shared" ref="AA109:AD109" si="1502">AA108-AA106</f>
        <v>723</v>
      </c>
      <c r="AB109" s="11">
        <f t="shared" ref="AB109" si="1503">AB108-AB106</f>
        <v>-1154</v>
      </c>
      <c r="AC109" s="10">
        <f t="shared" si="1502"/>
        <v>0</v>
      </c>
      <c r="AD109" s="227">
        <f t="shared" si="1502"/>
        <v>81832</v>
      </c>
      <c r="AE109" s="11">
        <f t="shared" ref="AE109" si="1504">AE108-AE106</f>
        <v>-913</v>
      </c>
      <c r="AF109" s="11">
        <f t="shared" ref="AF109" si="1505">AF108-AF106</f>
        <v>199</v>
      </c>
      <c r="AG109" s="11">
        <f t="shared" ref="AG109" si="1506">AG108-AG106</f>
        <v>150</v>
      </c>
      <c r="AH109" s="11">
        <f t="shared" ref="AH109" si="1507">AH108-AH106</f>
        <v>0</v>
      </c>
      <c r="AI109" s="11">
        <f t="shared" ref="AI109" si="1508">AI108-AI106</f>
        <v>0</v>
      </c>
      <c r="AJ109" s="11">
        <f t="shared" ref="AJ109" si="1509">AJ108-AJ106</f>
        <v>29</v>
      </c>
      <c r="AK109" s="11">
        <f t="shared" ref="AK109" si="1510">AK108-AK106</f>
        <v>1044</v>
      </c>
      <c r="AL109" s="11">
        <f t="shared" ref="AL109" si="1511">AL108-AL106</f>
        <v>2873</v>
      </c>
      <c r="AM109" s="11">
        <f t="shared" ref="AM109" si="1512">AM108-AM106</f>
        <v>-132</v>
      </c>
      <c r="AN109" s="11">
        <f t="shared" ref="AN109" si="1513">AN108-AN106</f>
        <v>-93</v>
      </c>
      <c r="AO109" s="9">
        <f t="shared" ref="AO109" si="1514">AO108-AO106</f>
        <v>13536</v>
      </c>
      <c r="AP109" s="11">
        <f t="shared" ref="AP109" si="1515">AP108-AP106</f>
        <v>10446</v>
      </c>
      <c r="AQ109" s="10">
        <f t="shared" ref="AQ109" si="1516">AQ108-AQ106</f>
        <v>0</v>
      </c>
      <c r="AR109" s="11">
        <f t="shared" ref="AR109" si="1517">AR108-AR106</f>
        <v>0</v>
      </c>
      <c r="AS109" s="11">
        <f t="shared" ref="AS109" si="1518">AS108-AS106</f>
        <v>0</v>
      </c>
      <c r="AT109" s="11">
        <f t="shared" ref="AT109" si="1519">AT108-AT106</f>
        <v>0</v>
      </c>
      <c r="AU109" s="11">
        <f t="shared" ref="AU109" si="1520">AU108-AU106</f>
        <v>0</v>
      </c>
      <c r="AV109" s="11">
        <f t="shared" ref="AV109" si="1521">AV108-AV106</f>
        <v>0</v>
      </c>
      <c r="AW109" s="11">
        <f t="shared" ref="AW109" si="1522">AW108-AW106</f>
        <v>-156</v>
      </c>
      <c r="AX109" s="11">
        <f t="shared" ref="AX109" si="1523">AX108-AX106</f>
        <v>253</v>
      </c>
      <c r="AY109" s="11">
        <f t="shared" ref="AY109" si="1524">AY108-AY106</f>
        <v>-171</v>
      </c>
      <c r="AZ109" s="11">
        <f t="shared" ref="AZ109" si="1525">AZ108-AZ106</f>
        <v>0</v>
      </c>
      <c r="BA109" s="11">
        <f t="shared" ref="BA109" si="1526">BA108-BA106</f>
        <v>0</v>
      </c>
      <c r="BB109" s="10">
        <f t="shared" ref="BB109" si="1527">BB108-BB106</f>
        <v>0</v>
      </c>
      <c r="BC109" s="11">
        <f t="shared" ref="BC109" si="1528">BC108-BC106</f>
        <v>-1440</v>
      </c>
      <c r="BD109" s="11">
        <f t="shared" ref="BD109" si="1529">BD108-BD106</f>
        <v>-1440</v>
      </c>
      <c r="BE109" s="11">
        <f t="shared" ref="BE109" si="1530">BE108-BE106</f>
        <v>-29</v>
      </c>
      <c r="BF109" s="11">
        <f t="shared" ref="BF109" si="1531">BF108-BF106</f>
        <v>2315</v>
      </c>
      <c r="BG109" s="11">
        <f t="shared" ref="BG109:BH109" si="1532">BG108-BG106</f>
        <v>-152172</v>
      </c>
      <c r="BH109" s="9">
        <f t="shared" si="1532"/>
        <v>-125701</v>
      </c>
      <c r="BI109" s="227">
        <f t="shared" ref="BI109" si="1533">BI108-BI106</f>
        <v>-43869</v>
      </c>
      <c r="BJ109" s="11">
        <f t="shared" ref="BJ109:BK109" si="1534">BJ108-BJ106</f>
        <v>-73956</v>
      </c>
      <c r="BK109" s="49">
        <f t="shared" si="1534"/>
        <v>30087</v>
      </c>
      <c r="BM109" s="30">
        <f t="shared" si="1479"/>
        <v>-51745</v>
      </c>
    </row>
    <row r="110" spans="1:65" ht="15.75" x14ac:dyDescent="0.25">
      <c r="A110" s="128"/>
      <c r="B110" s="5" t="s">
        <v>133</v>
      </c>
      <c r="C110" s="13">
        <f>C109/C106</f>
        <v>0.1087433099797504</v>
      </c>
      <c r="D110" s="13">
        <f t="shared" ref="D110" si="1535">D109/D106</f>
        <v>1.6987441378221193E-2</v>
      </c>
      <c r="E110" s="13" t="e">
        <f t="shared" ref="E110" si="1536">E109/E106</f>
        <v>#DIV/0!</v>
      </c>
      <c r="F110" s="13">
        <f t="shared" ref="F110" si="1537">F109/F106</f>
        <v>-4.8383870138035495E-2</v>
      </c>
      <c r="G110" s="13">
        <f t="shared" ref="G110" si="1538">G109/G106</f>
        <v>-9.6798502009499451E-2</v>
      </c>
      <c r="H110" s="13" t="e">
        <f t="shared" ref="H110" si="1539">H109/H106</f>
        <v>#DIV/0!</v>
      </c>
      <c r="I110" s="13" t="e">
        <f t="shared" ref="I110" si="1540">I109/I106</f>
        <v>#DIV/0!</v>
      </c>
      <c r="J110" s="13" t="e">
        <f t="shared" ref="J110" si="1541">J109/J106</f>
        <v>#DIV/0!</v>
      </c>
      <c r="K110" s="13">
        <f t="shared" ref="K110" si="1542">K109/K106</f>
        <v>-1</v>
      </c>
      <c r="L110" s="13">
        <f t="shared" ref="L110" si="1543">L109/L106</f>
        <v>-0.77798165137614683</v>
      </c>
      <c r="M110" s="13">
        <f t="shared" ref="M110" si="1544">M109/M106</f>
        <v>-3.5585034919328484E-3</v>
      </c>
      <c r="N110" s="13">
        <f t="shared" ref="N110" si="1545">N109/N106</f>
        <v>-0.74248927038626611</v>
      </c>
      <c r="O110" s="13">
        <f t="shared" ref="O110" si="1546">O109/O106</f>
        <v>-0.53589577751085649</v>
      </c>
      <c r="P110" s="13">
        <f t="shared" ref="P110" si="1547">P109/P106</f>
        <v>0.40610862988042068</v>
      </c>
      <c r="Q110" s="13" t="e">
        <f t="shared" ref="Q110" si="1548">Q109/Q106</f>
        <v>#DIV/0!</v>
      </c>
      <c r="R110" s="13">
        <f t="shared" ref="R110" si="1549">R109/R106</f>
        <v>-0.72159090909090906</v>
      </c>
      <c r="S110" s="13" t="e">
        <f t="shared" ref="S110" si="1550">S109/S106</f>
        <v>#DIV/0!</v>
      </c>
      <c r="T110" s="13" t="e">
        <f t="shared" ref="T110:U110" si="1551">T109/T106</f>
        <v>#DIV/0!</v>
      </c>
      <c r="U110" s="13" t="e">
        <f t="shared" si="1551"/>
        <v>#DIV/0!</v>
      </c>
      <c r="V110" s="162" t="e">
        <f t="shared" ref="V110" si="1552">V109/V106</f>
        <v>#DIV/0!</v>
      </c>
      <c r="W110" s="13" t="e">
        <f t="shared" ref="W110" si="1553">W109/W106</f>
        <v>#DIV/0!</v>
      </c>
      <c r="X110" s="13" t="e">
        <f t="shared" ref="X110" si="1554">X109/X106</f>
        <v>#DIV/0!</v>
      </c>
      <c r="Y110" s="13">
        <f t="shared" ref="Y110" si="1555">Y109/Y106</f>
        <v>0.92399565689467966</v>
      </c>
      <c r="Z110" s="13">
        <f t="shared" ref="Z110" si="1556">Z109/Z106</f>
        <v>-0.18639053254437871</v>
      </c>
      <c r="AA110" s="13">
        <f t="shared" ref="AA110:AD110" si="1557">AA109/AA106</f>
        <v>3.8870967741935485</v>
      </c>
      <c r="AB110" s="13">
        <f t="shared" ref="AB110" si="1558">AB109/AB106</f>
        <v>-1</v>
      </c>
      <c r="AC110" s="14" t="e">
        <f t="shared" si="1557"/>
        <v>#DIV/0!</v>
      </c>
      <c r="AD110" s="228">
        <f t="shared" si="1557"/>
        <v>7.6863468530706594E-2</v>
      </c>
      <c r="AE110" s="13">
        <f t="shared" ref="AE110" si="1559">AE109/AE106</f>
        <v>-0.31934242742217561</v>
      </c>
      <c r="AF110" s="13">
        <f t="shared" ref="AF110" si="1560">AF109/AF106</f>
        <v>2.1868131868131866</v>
      </c>
      <c r="AG110" s="13">
        <f t="shared" ref="AG110" si="1561">AG109/AG106</f>
        <v>3.4883720930232558</v>
      </c>
      <c r="AH110" s="13" t="e">
        <f t="shared" ref="AH110" si="1562">AH109/AH106</f>
        <v>#DIV/0!</v>
      </c>
      <c r="AI110" s="13" t="e">
        <f t="shared" ref="AI110" si="1563">AI109/AI106</f>
        <v>#DIV/0!</v>
      </c>
      <c r="AJ110" s="13" t="e">
        <f t="shared" ref="AJ110" si="1564">AJ109/AJ106</f>
        <v>#DIV/0!</v>
      </c>
      <c r="AK110" s="13">
        <f t="shared" ref="AK110" si="1565">AK109/AK106</f>
        <v>0.47133182844243793</v>
      </c>
      <c r="AL110" s="13">
        <f t="shared" ref="AL110" si="1566">AL109/AL106</f>
        <v>0.58897088970889711</v>
      </c>
      <c r="AM110" s="13">
        <f t="shared" ref="AM110" si="1567">AM109/AM106</f>
        <v>-0.75862068965517238</v>
      </c>
      <c r="AN110" s="13">
        <f t="shared" ref="AN110" si="1568">AN109/AN106</f>
        <v>-0.73228346456692917</v>
      </c>
      <c r="AO110" s="162">
        <f t="shared" ref="AO110" si="1569">AO109/AO106</f>
        <v>0.38991790292380818</v>
      </c>
      <c r="AP110" s="13">
        <f t="shared" ref="AP110" si="1570">AP109/AP106</f>
        <v>0.1340038228163124</v>
      </c>
      <c r="AQ110" s="14" t="e">
        <f t="shared" ref="AQ110" si="1571">AQ109/AQ106</f>
        <v>#DIV/0!</v>
      </c>
      <c r="AR110" s="13" t="e">
        <f t="shared" ref="AR110" si="1572">AR109/AR106</f>
        <v>#DIV/0!</v>
      </c>
      <c r="AS110" s="13" t="e">
        <f t="shared" ref="AS110" si="1573">AS109/AS106</f>
        <v>#DIV/0!</v>
      </c>
      <c r="AT110" s="13" t="e">
        <f t="shared" ref="AT110" si="1574">AT109/AT106</f>
        <v>#DIV/0!</v>
      </c>
      <c r="AU110" s="13" t="e">
        <f t="shared" ref="AU110" si="1575">AU109/AU106</f>
        <v>#DIV/0!</v>
      </c>
      <c r="AV110" s="13" t="e">
        <f t="shared" ref="AV110" si="1576">AV109/AV106</f>
        <v>#DIV/0!</v>
      </c>
      <c r="AW110" s="13">
        <f t="shared" ref="AW110" si="1577">AW109/AW106</f>
        <v>-7.1790151863782792E-2</v>
      </c>
      <c r="AX110" s="13">
        <f t="shared" ref="AX110" si="1578">AX109/AX106</f>
        <v>0.38045112781954887</v>
      </c>
      <c r="AY110" s="13">
        <f t="shared" ref="AY110" si="1579">AY109/AY106</f>
        <v>-1</v>
      </c>
      <c r="AZ110" s="13" t="e">
        <f t="shared" ref="AZ110" si="1580">AZ109/AZ106</f>
        <v>#DIV/0!</v>
      </c>
      <c r="BA110" s="13" t="e">
        <f t="shared" ref="BA110" si="1581">BA109/BA106</f>
        <v>#DIV/0!</v>
      </c>
      <c r="BB110" s="14" t="e">
        <f t="shared" ref="BB110" si="1582">BB109/BB106</f>
        <v>#DIV/0!</v>
      </c>
      <c r="BC110" s="13">
        <f t="shared" ref="BC110" si="1583">BC109/BC106</f>
        <v>-0.51631409107206883</v>
      </c>
      <c r="BD110" s="13">
        <f t="shared" ref="BD110" si="1584">BD109/BD106</f>
        <v>-0.51631409107206883</v>
      </c>
      <c r="BE110" s="13">
        <f t="shared" ref="BE110" si="1585">BE109/BE106</f>
        <v>-1</v>
      </c>
      <c r="BF110" s="13">
        <f t="shared" ref="BF110" si="1586">BF109/BF106</f>
        <v>5.8607594936708862</v>
      </c>
      <c r="BG110" s="13">
        <f t="shared" ref="BG110:BH110" si="1587">BG109/BG106</f>
        <v>-0.38733423269783895</v>
      </c>
      <c r="BH110" s="162">
        <f t="shared" si="1587"/>
        <v>-0.2394596674642242</v>
      </c>
      <c r="BI110" s="228">
        <f t="shared" ref="BI110" si="1588">BI109/BI106</f>
        <v>-2.7597908122726989E-2</v>
      </c>
      <c r="BJ110" s="13">
        <f t="shared" ref="BJ110:BK110" si="1589">BJ109/BJ106</f>
        <v>-1</v>
      </c>
      <c r="BK110" s="50">
        <f t="shared" si="1589"/>
        <v>1.9851268885823038E-2</v>
      </c>
      <c r="BM110" s="162" t="e">
        <f t="shared" ref="BM110" si="1590">BM109/BM106</f>
        <v>#DIV/0!</v>
      </c>
    </row>
    <row r="111" spans="1:65" ht="15.75" x14ac:dyDescent="0.25">
      <c r="A111" s="128"/>
      <c r="B111" s="5" t="s">
        <v>134</v>
      </c>
      <c r="C111" s="11">
        <f>C108-C107</f>
        <v>55337</v>
      </c>
      <c r="D111" s="11">
        <f t="shared" ref="D111:BK111" si="1591">D108-D107</f>
        <v>39605</v>
      </c>
      <c r="E111" s="11">
        <f t="shared" si="1591"/>
        <v>132</v>
      </c>
      <c r="F111" s="11">
        <f t="shared" si="1591"/>
        <v>14383</v>
      </c>
      <c r="G111" s="11">
        <f t="shared" si="1591"/>
        <v>6654</v>
      </c>
      <c r="H111" s="11">
        <f t="shared" si="1591"/>
        <v>0</v>
      </c>
      <c r="I111" s="11">
        <f t="shared" si="1591"/>
        <v>0</v>
      </c>
      <c r="J111" s="11">
        <f t="shared" si="1591"/>
        <v>0</v>
      </c>
      <c r="K111" s="11">
        <f t="shared" si="1591"/>
        <v>0</v>
      </c>
      <c r="L111" s="11">
        <f t="shared" si="1591"/>
        <v>-389</v>
      </c>
      <c r="M111" s="11">
        <f t="shared" si="1591"/>
        <v>4568</v>
      </c>
      <c r="N111" s="11">
        <f t="shared" si="1591"/>
        <v>31</v>
      </c>
      <c r="O111" s="11">
        <f t="shared" si="1591"/>
        <v>3002</v>
      </c>
      <c r="P111" s="11">
        <f t="shared" si="1591"/>
        <v>18520</v>
      </c>
      <c r="Q111" s="11">
        <f t="shared" si="1591"/>
        <v>0</v>
      </c>
      <c r="R111" s="11">
        <f t="shared" si="1591"/>
        <v>377</v>
      </c>
      <c r="S111" s="11">
        <f t="shared" si="1591"/>
        <v>0</v>
      </c>
      <c r="T111" s="11">
        <f t="shared" si="1591"/>
        <v>0</v>
      </c>
      <c r="U111" s="11">
        <f t="shared" ref="U111" si="1592">U108-U107</f>
        <v>0</v>
      </c>
      <c r="V111" s="9">
        <f t="shared" si="1591"/>
        <v>0</v>
      </c>
      <c r="W111" s="11">
        <f t="shared" si="1591"/>
        <v>0</v>
      </c>
      <c r="X111" s="11">
        <f t="shared" si="1591"/>
        <v>0</v>
      </c>
      <c r="Y111" s="11">
        <f t="shared" si="1591"/>
        <v>452</v>
      </c>
      <c r="Z111" s="11">
        <f t="shared" si="1591"/>
        <v>-35</v>
      </c>
      <c r="AA111" s="11">
        <f t="shared" si="1591"/>
        <v>736</v>
      </c>
      <c r="AB111" s="11">
        <f t="shared" ref="AB111" si="1593">AB108-AB107</f>
        <v>0</v>
      </c>
      <c r="AC111" s="10">
        <f t="shared" ref="AC111:AD111" si="1594">AC108-AC107</f>
        <v>0</v>
      </c>
      <c r="AD111" s="227">
        <f t="shared" si="1594"/>
        <v>143373</v>
      </c>
      <c r="AE111" s="11">
        <f t="shared" si="1591"/>
        <v>-407</v>
      </c>
      <c r="AF111" s="11">
        <f t="shared" si="1591"/>
        <v>-3</v>
      </c>
      <c r="AG111" s="11">
        <f t="shared" si="1591"/>
        <v>-4768</v>
      </c>
      <c r="AH111" s="11">
        <f t="shared" si="1591"/>
        <v>0</v>
      </c>
      <c r="AI111" s="11">
        <f t="shared" si="1591"/>
        <v>0</v>
      </c>
      <c r="AJ111" s="11">
        <f t="shared" si="1591"/>
        <v>-15</v>
      </c>
      <c r="AK111" s="11">
        <f t="shared" si="1591"/>
        <v>1434</v>
      </c>
      <c r="AL111" s="11">
        <f t="shared" si="1591"/>
        <v>-12117</v>
      </c>
      <c r="AM111" s="11">
        <f t="shared" si="1591"/>
        <v>-107</v>
      </c>
      <c r="AN111" s="11">
        <f t="shared" si="1591"/>
        <v>34</v>
      </c>
      <c r="AO111" s="9">
        <f t="shared" si="1591"/>
        <v>15146</v>
      </c>
      <c r="AP111" s="11">
        <f t="shared" si="1591"/>
        <v>16027</v>
      </c>
      <c r="AQ111" s="10">
        <f t="shared" si="1591"/>
        <v>0</v>
      </c>
      <c r="AR111" s="11">
        <f t="shared" si="1591"/>
        <v>0</v>
      </c>
      <c r="AS111" s="11">
        <f t="shared" si="1591"/>
        <v>0</v>
      </c>
      <c r="AT111" s="11">
        <f t="shared" si="1591"/>
        <v>0</v>
      </c>
      <c r="AU111" s="11">
        <f t="shared" si="1591"/>
        <v>0</v>
      </c>
      <c r="AV111" s="11">
        <f t="shared" si="1591"/>
        <v>0</v>
      </c>
      <c r="AW111" s="11">
        <f t="shared" si="1591"/>
        <v>1419</v>
      </c>
      <c r="AX111" s="11">
        <f t="shared" si="1591"/>
        <v>384</v>
      </c>
      <c r="AY111" s="11">
        <f t="shared" si="1591"/>
        <v>-65</v>
      </c>
      <c r="AZ111" s="11">
        <f t="shared" si="1591"/>
        <v>0</v>
      </c>
      <c r="BA111" s="11">
        <f t="shared" si="1591"/>
        <v>0</v>
      </c>
      <c r="BB111" s="10">
        <f t="shared" si="1591"/>
        <v>0</v>
      </c>
      <c r="BC111" s="11">
        <f t="shared" si="1591"/>
        <v>-1690</v>
      </c>
      <c r="BD111" s="11">
        <f t="shared" si="1591"/>
        <v>-1690</v>
      </c>
      <c r="BE111" s="11">
        <f t="shared" si="1591"/>
        <v>0</v>
      </c>
      <c r="BF111" s="11">
        <f t="shared" si="1591"/>
        <v>2012</v>
      </c>
      <c r="BG111" s="11">
        <f t="shared" si="1591"/>
        <v>-268548</v>
      </c>
      <c r="BH111" s="9">
        <f t="shared" si="1591"/>
        <v>-252954</v>
      </c>
      <c r="BI111" s="227">
        <f t="shared" si="1591"/>
        <v>-109581</v>
      </c>
      <c r="BJ111" s="11">
        <f t="shared" si="1591"/>
        <v>0</v>
      </c>
      <c r="BK111" s="49">
        <f t="shared" si="1591"/>
        <v>-109581</v>
      </c>
      <c r="BM111" s="30">
        <f t="shared" si="1479"/>
        <v>-252954</v>
      </c>
    </row>
    <row r="112" spans="1:65" ht="15.75" x14ac:dyDescent="0.25">
      <c r="A112" s="128"/>
      <c r="B112" s="5" t="s">
        <v>135</v>
      </c>
      <c r="C112" s="13">
        <f>C111/C107</f>
        <v>8.5508108567499283E-2</v>
      </c>
      <c r="D112" s="13">
        <f t="shared" ref="D112" si="1595">D111/D107</f>
        <v>0.36500285698486717</v>
      </c>
      <c r="E112" s="13">
        <f t="shared" ref="E112" si="1596">E111/E107</f>
        <v>2.5882352941176472</v>
      </c>
      <c r="F112" s="13">
        <f t="shared" ref="F112" si="1597">F111/F107</f>
        <v>0.27546779537663035</v>
      </c>
      <c r="G112" s="13">
        <f t="shared" ref="G112" si="1598">G111/G107</f>
        <v>0.20225538770175386</v>
      </c>
      <c r="H112" s="13" t="e">
        <f t="shared" ref="H112" si="1599">H111/H107</f>
        <v>#DIV/0!</v>
      </c>
      <c r="I112" s="13" t="e">
        <f t="shared" ref="I112" si="1600">I111/I107</f>
        <v>#DIV/0!</v>
      </c>
      <c r="J112" s="13" t="e">
        <f t="shared" ref="J112" si="1601">J111/J107</f>
        <v>#DIV/0!</v>
      </c>
      <c r="K112" s="13" t="e">
        <f t="shared" ref="K112" si="1602">K111/K107</f>
        <v>#DIV/0!</v>
      </c>
      <c r="L112" s="13">
        <f t="shared" ref="L112" si="1603">L111/L107</f>
        <v>-0.61648177496038037</v>
      </c>
      <c r="M112" s="13">
        <f t="shared" ref="M112" si="1604">M111/M107</f>
        <v>5.8747122445567602E-2</v>
      </c>
      <c r="N112" s="13">
        <f t="shared" ref="N112" si="1605">N111/N107</f>
        <v>0.34831460674157305</v>
      </c>
      <c r="O112" s="13">
        <f t="shared" ref="O112" si="1606">O111/O107</f>
        <v>1.4854032657100444</v>
      </c>
      <c r="P112" s="13">
        <f t="shared" ref="P112" si="1607">P111/P107</f>
        <v>0.23419914514782872</v>
      </c>
      <c r="Q112" s="13" t="e">
        <f t="shared" ref="Q112" si="1608">Q111/Q107</f>
        <v>#DIV/0!</v>
      </c>
      <c r="R112" s="13">
        <f t="shared" ref="R112" si="1609">R111/R107</f>
        <v>0.42028985507246375</v>
      </c>
      <c r="S112" s="13" t="e">
        <f t="shared" ref="S112" si="1610">S111/S107</f>
        <v>#DIV/0!</v>
      </c>
      <c r="T112" s="13" t="e">
        <f t="shared" ref="T112:U112" si="1611">T111/T107</f>
        <v>#DIV/0!</v>
      </c>
      <c r="U112" s="13" t="e">
        <f t="shared" si="1611"/>
        <v>#DIV/0!</v>
      </c>
      <c r="V112" s="162" t="e">
        <f t="shared" ref="V112" si="1612">V111/V107</f>
        <v>#DIV/0!</v>
      </c>
      <c r="W112" s="13" t="e">
        <f t="shared" ref="W112" si="1613">W111/W107</f>
        <v>#DIV/0!</v>
      </c>
      <c r="X112" s="13" t="e">
        <f t="shared" ref="X112" si="1614">X111/X107</f>
        <v>#DIV/0!</v>
      </c>
      <c r="Y112" s="13">
        <f t="shared" ref="Y112" si="1615">Y111/Y107</f>
        <v>0.34242424242424241</v>
      </c>
      <c r="Z112" s="13">
        <f t="shared" ref="Z112" si="1616">Z111/Z107</f>
        <v>-0.11290322580645161</v>
      </c>
      <c r="AA112" s="13">
        <f t="shared" ref="AA112:AD112" si="1617">AA111/AA107</f>
        <v>4.2543352601156066</v>
      </c>
      <c r="AB112" s="13" t="e">
        <f t="shared" ref="AB112" si="1618">AB111/AB107</f>
        <v>#DIV/0!</v>
      </c>
      <c r="AC112" s="14" t="e">
        <f t="shared" si="1617"/>
        <v>#DIV/0!</v>
      </c>
      <c r="AD112" s="228">
        <f t="shared" si="1617"/>
        <v>0.14292991725650483</v>
      </c>
      <c r="AE112" s="13">
        <f t="shared" ref="AE112" si="1619">AE111/AE107</f>
        <v>-0.17297067573310668</v>
      </c>
      <c r="AF112" s="13">
        <f t="shared" ref="AF112" si="1620">AF111/AF107</f>
        <v>-1.0238907849829351E-2</v>
      </c>
      <c r="AG112" s="13">
        <f t="shared" ref="AG112" si="1621">AG111/AG107</f>
        <v>-0.96109655311429143</v>
      </c>
      <c r="AH112" s="13" t="e">
        <f t="shared" ref="AH112" si="1622">AH111/AH107</f>
        <v>#DIV/0!</v>
      </c>
      <c r="AI112" s="13" t="e">
        <f t="shared" ref="AI112" si="1623">AI111/AI107</f>
        <v>#DIV/0!</v>
      </c>
      <c r="AJ112" s="13">
        <f t="shared" ref="AJ112" si="1624">AJ111/AJ107</f>
        <v>-0.34090909090909088</v>
      </c>
      <c r="AK112" s="13">
        <f t="shared" ref="AK112" si="1625">AK111/AK107</f>
        <v>0.78575342465753428</v>
      </c>
      <c r="AL112" s="13">
        <f t="shared" ref="AL112" si="1626">AL111/AL107</f>
        <v>-0.60987517616267362</v>
      </c>
      <c r="AM112" s="13">
        <f t="shared" ref="AM112" si="1627">AM111/AM107</f>
        <v>-0.71812080536912748</v>
      </c>
      <c r="AN112" s="13" t="e">
        <f t="shared" ref="AN112" si="1628">AN111/AN107</f>
        <v>#DIV/0!</v>
      </c>
      <c r="AO112" s="162">
        <f t="shared" ref="AO112" si="1629">AO111/AO107</f>
        <v>0.45751397069929012</v>
      </c>
      <c r="AP112" s="13">
        <f t="shared" ref="AP112" si="1630">AP111/AP107</f>
        <v>0.2214530481401647</v>
      </c>
      <c r="AQ112" s="14" t="e">
        <f t="shared" ref="AQ112" si="1631">AQ111/AQ107</f>
        <v>#DIV/0!</v>
      </c>
      <c r="AR112" s="13" t="e">
        <f t="shared" ref="AR112" si="1632">AR111/AR107</f>
        <v>#DIV/0!</v>
      </c>
      <c r="AS112" s="13" t="e">
        <f t="shared" ref="AS112" si="1633">AS111/AS107</f>
        <v>#DIV/0!</v>
      </c>
      <c r="AT112" s="13" t="e">
        <f t="shared" ref="AT112" si="1634">AT111/AT107</f>
        <v>#DIV/0!</v>
      </c>
      <c r="AU112" s="13" t="e">
        <f t="shared" ref="AU112" si="1635">AU111/AU107</f>
        <v>#DIV/0!</v>
      </c>
      <c r="AV112" s="13" t="e">
        <f t="shared" ref="AV112" si="1636">AV111/AV107</f>
        <v>#DIV/0!</v>
      </c>
      <c r="AW112" s="13">
        <f t="shared" ref="AW112" si="1637">AW111/AW107</f>
        <v>2.3729096989966556</v>
      </c>
      <c r="AX112" s="13">
        <f t="shared" ref="AX112" si="1638">AX111/AX107</f>
        <v>0.7191011235955056</v>
      </c>
      <c r="AY112" s="13">
        <f t="shared" ref="AY112" si="1639">AY111/AY107</f>
        <v>-1</v>
      </c>
      <c r="AZ112" s="13" t="e">
        <f t="shared" ref="AZ112" si="1640">AZ111/AZ107</f>
        <v>#DIV/0!</v>
      </c>
      <c r="BA112" s="13" t="e">
        <f t="shared" ref="BA112" si="1641">BA111/BA107</f>
        <v>#DIV/0!</v>
      </c>
      <c r="BB112" s="14" t="e">
        <f t="shared" ref="BB112" si="1642">BB111/BB107</f>
        <v>#DIV/0!</v>
      </c>
      <c r="BC112" s="13">
        <f t="shared" ref="BC112" si="1643">BC111/BC107</f>
        <v>-0.55610398157288576</v>
      </c>
      <c r="BD112" s="13">
        <f t="shared" ref="BD112" si="1644">BD111/BD107</f>
        <v>-0.55610398157288576</v>
      </c>
      <c r="BE112" s="13" t="e">
        <f t="shared" ref="BE112" si="1645">BE111/BE107</f>
        <v>#DIV/0!</v>
      </c>
      <c r="BF112" s="13">
        <f t="shared" ref="BF112" si="1646">BF111/BF107</f>
        <v>2.8825214899713467</v>
      </c>
      <c r="BG112" s="13">
        <f t="shared" ref="BG112:BH112" si="1647">BG111/BG107</f>
        <v>-0.52734434831103238</v>
      </c>
      <c r="BH112" s="162">
        <f t="shared" si="1647"/>
        <v>-0.38785382764812043</v>
      </c>
      <c r="BI112" s="228">
        <f t="shared" ref="BI112" si="1648">BI111/BI107</f>
        <v>-6.6200524500555497E-2</v>
      </c>
      <c r="BJ112" s="13" t="e">
        <f t="shared" ref="BJ112:BK112" si="1649">BJ111/BJ107</f>
        <v>#DIV/0!</v>
      </c>
      <c r="BK112" s="50">
        <f t="shared" si="1649"/>
        <v>-6.6200524500555497E-2</v>
      </c>
      <c r="BM112" s="14">
        <f t="shared" ref="BM112" si="1650">BM111/BM107</f>
        <v>-0.38785382764812043</v>
      </c>
    </row>
    <row r="113" spans="1:69" ht="15.75" x14ac:dyDescent="0.25">
      <c r="A113" s="128"/>
      <c r="B113" s="5" t="s">
        <v>296</v>
      </c>
      <c r="C113" s="126">
        <f>C108/C105</f>
        <v>0.48784742597655667</v>
      </c>
      <c r="D113" s="126">
        <f t="shared" ref="D113:BK113" si="1651">D108/D105</f>
        <v>0.36159382430921422</v>
      </c>
      <c r="E113" s="126">
        <f t="shared" si="1651"/>
        <v>7.8981441519205865E-3</v>
      </c>
      <c r="F113" s="126">
        <f t="shared" si="1651"/>
        <v>0.41870319956241003</v>
      </c>
      <c r="G113" s="126">
        <f t="shared" si="1651"/>
        <v>0.39743770096463021</v>
      </c>
      <c r="H113" s="126" t="e">
        <f t="shared" si="1651"/>
        <v>#DIV/0!</v>
      </c>
      <c r="I113" s="126" t="e">
        <f t="shared" si="1651"/>
        <v>#DIV/0!</v>
      </c>
      <c r="J113" s="126" t="e">
        <f t="shared" si="1651"/>
        <v>#DIV/0!</v>
      </c>
      <c r="K113" s="126">
        <f t="shared" si="1651"/>
        <v>0</v>
      </c>
      <c r="L113" s="126">
        <f t="shared" si="1651"/>
        <v>9.7698829228905937E-2</v>
      </c>
      <c r="M113" s="126">
        <f t="shared" si="1651"/>
        <v>0.43842831503996849</v>
      </c>
      <c r="N113" s="126">
        <f t="shared" si="1651"/>
        <v>0.11342155009451796</v>
      </c>
      <c r="O113" s="126">
        <f t="shared" si="1651"/>
        <v>0.20421189575964549</v>
      </c>
      <c r="P113" s="126">
        <f t="shared" si="1651"/>
        <v>0.61868779714738509</v>
      </c>
      <c r="Q113" s="126" t="e">
        <f t="shared" si="1651"/>
        <v>#DIV/0!</v>
      </c>
      <c r="R113" s="126">
        <f t="shared" si="1651"/>
        <v>0.12252356222350452</v>
      </c>
      <c r="S113" s="126" t="e">
        <f t="shared" si="1651"/>
        <v>#DIV/0!</v>
      </c>
      <c r="T113" s="126" t="e">
        <f t="shared" si="1651"/>
        <v>#DIV/0!</v>
      </c>
      <c r="U113" s="126" t="e">
        <f t="shared" si="1651"/>
        <v>#DIV/0!</v>
      </c>
      <c r="V113" s="177" t="e">
        <f t="shared" si="1651"/>
        <v>#DIV/0!</v>
      </c>
      <c r="W113" s="126" t="e">
        <f t="shared" si="1651"/>
        <v>#DIV/0!</v>
      </c>
      <c r="X113" s="126" t="e">
        <f t="shared" si="1651"/>
        <v>#DIV/0!</v>
      </c>
      <c r="Y113" s="126">
        <f t="shared" si="1651"/>
        <v>0.84865900383141768</v>
      </c>
      <c r="Z113" s="126">
        <f t="shared" si="1651"/>
        <v>0.355297157622739</v>
      </c>
      <c r="AA113" s="126">
        <f t="shared" si="1651"/>
        <v>2.1642857142857141</v>
      </c>
      <c r="AB113" s="126">
        <f t="shared" ref="AB113" si="1652">AB108/AB105</f>
        <v>0</v>
      </c>
      <c r="AC113" s="215" t="e">
        <f t="shared" si="1651"/>
        <v>#DIV/0!</v>
      </c>
      <c r="AD113" s="229">
        <f t="shared" si="1651"/>
        <v>0.45469537072327415</v>
      </c>
      <c r="AE113" s="126">
        <f t="shared" si="1651"/>
        <v>0.2996150885296382</v>
      </c>
      <c r="AF113" s="126">
        <f t="shared" si="1651"/>
        <v>1.3942307692307692</v>
      </c>
      <c r="AG113" s="126">
        <f t="shared" si="1651"/>
        <v>2.0104166666666665</v>
      </c>
      <c r="AH113" s="126" t="e">
        <f t="shared" si="1651"/>
        <v>#DIV/0!</v>
      </c>
      <c r="AI113" s="126" t="e">
        <f t="shared" si="1651"/>
        <v>#DIV/0!</v>
      </c>
      <c r="AJ113" s="126" t="e">
        <f t="shared" si="1651"/>
        <v>#DIV/0!</v>
      </c>
      <c r="AK113" s="126">
        <f t="shared" si="1651"/>
        <v>0.64752632624677131</v>
      </c>
      <c r="AL113" s="126">
        <f t="shared" si="1651"/>
        <v>0.69923319801533601</v>
      </c>
      <c r="AM113" s="126">
        <f t="shared" si="1651"/>
        <v>0.1065989847715736</v>
      </c>
      <c r="AN113" s="126">
        <f t="shared" si="1651"/>
        <v>0.11764705882352941</v>
      </c>
      <c r="AO113" s="177">
        <f t="shared" si="1651"/>
        <v>0.6115927700458843</v>
      </c>
      <c r="AP113" s="126">
        <f t="shared" si="1651"/>
        <v>0.49895579337126345</v>
      </c>
      <c r="AQ113" s="215" t="e">
        <f t="shared" si="1651"/>
        <v>#DIV/0!</v>
      </c>
      <c r="AR113" s="126" t="e">
        <f t="shared" si="1651"/>
        <v>#DIV/0!</v>
      </c>
      <c r="AS113" s="126" t="e">
        <f t="shared" si="1651"/>
        <v>#DIV/0!</v>
      </c>
      <c r="AT113" s="126" t="e">
        <f t="shared" si="1651"/>
        <v>#DIV/0!</v>
      </c>
      <c r="AU113" s="126" t="e">
        <f t="shared" si="1651"/>
        <v>#DIV/0!</v>
      </c>
      <c r="AV113" s="126" t="e">
        <f t="shared" si="1651"/>
        <v>#DIV/0!</v>
      </c>
      <c r="AW113" s="126">
        <f t="shared" si="1651"/>
        <v>0.40838226361611663</v>
      </c>
      <c r="AX113" s="126">
        <f t="shared" si="1651"/>
        <v>0.6071428571428571</v>
      </c>
      <c r="AY113" s="126">
        <f t="shared" si="1651"/>
        <v>0</v>
      </c>
      <c r="AZ113" s="126" t="e">
        <f t="shared" si="1651"/>
        <v>#DIV/0!</v>
      </c>
      <c r="BA113" s="126" t="e">
        <f t="shared" si="1651"/>
        <v>#DIV/0!</v>
      </c>
      <c r="BB113" s="215" t="e">
        <f t="shared" si="1651"/>
        <v>#DIV/0!</v>
      </c>
      <c r="BC113" s="126">
        <f t="shared" si="1651"/>
        <v>0.21274246964201229</v>
      </c>
      <c r="BD113" s="126">
        <f t="shared" si="1651"/>
        <v>0.21274246964201229</v>
      </c>
      <c r="BE113" s="126">
        <f t="shared" si="1651"/>
        <v>0</v>
      </c>
      <c r="BF113" s="126">
        <f t="shared" si="1651"/>
        <v>3.0111111111111111</v>
      </c>
      <c r="BG113" s="126">
        <f t="shared" si="1651"/>
        <v>0.25766856717101755</v>
      </c>
      <c r="BH113" s="177">
        <f t="shared" si="1651"/>
        <v>0.32345420753374826</v>
      </c>
      <c r="BI113" s="229">
        <f t="shared" si="1651"/>
        <v>0.4115637718185316</v>
      </c>
      <c r="BJ113" s="126">
        <f t="shared" si="1651"/>
        <v>0</v>
      </c>
      <c r="BK113" s="126">
        <f t="shared" si="1651"/>
        <v>0.4284490706220781</v>
      </c>
      <c r="BM113" s="126" t="e">
        <f t="shared" ref="BM113" si="1653">BM108/BM105</f>
        <v>#DIV/0!</v>
      </c>
    </row>
    <row r="114" spans="1:69" s="180" customFormat="1" ht="15.75" x14ac:dyDescent="0.25">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230"/>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230"/>
      <c r="BJ114" s="5"/>
      <c r="BK114" s="48"/>
    </row>
    <row r="115" spans="1:69" ht="15.75" x14ac:dyDescent="0.25">
      <c r="A115" s="15" t="s">
        <v>143</v>
      </c>
      <c r="B115" s="11" t="s">
        <v>301</v>
      </c>
      <c r="C115" s="120">
        <v>0</v>
      </c>
      <c r="D115" s="120">
        <v>0</v>
      </c>
      <c r="E115" s="120">
        <v>0</v>
      </c>
      <c r="F115" s="120">
        <v>0</v>
      </c>
      <c r="G115" s="120">
        <v>0</v>
      </c>
      <c r="H115" s="120">
        <v>2899829</v>
      </c>
      <c r="I115" s="120">
        <v>0</v>
      </c>
      <c r="J115" s="120">
        <v>0</v>
      </c>
      <c r="K115" s="120">
        <v>0</v>
      </c>
      <c r="L115" s="120">
        <v>0</v>
      </c>
      <c r="M115" s="120">
        <v>0</v>
      </c>
      <c r="N115" s="120">
        <v>0</v>
      </c>
      <c r="O115" s="120">
        <v>0</v>
      </c>
      <c r="P115" s="120">
        <v>0</v>
      </c>
      <c r="Q115" s="120">
        <v>0</v>
      </c>
      <c r="R115" s="120">
        <v>0</v>
      </c>
      <c r="S115" s="120">
        <v>0</v>
      </c>
      <c r="T115" s="120">
        <v>0</v>
      </c>
      <c r="U115" s="120"/>
      <c r="V115" s="189">
        <v>0</v>
      </c>
      <c r="W115" s="120">
        <v>0</v>
      </c>
      <c r="X115" s="120">
        <v>0</v>
      </c>
      <c r="Y115" s="120">
        <v>0</v>
      </c>
      <c r="Z115" s="120">
        <v>0</v>
      </c>
      <c r="AA115" s="120">
        <v>0</v>
      </c>
      <c r="AB115" s="120"/>
      <c r="AC115" s="151">
        <v>0</v>
      </c>
      <c r="AD115" s="233">
        <f t="shared" ref="AD115:AD116" si="1654">SUM(C115:AC115)</f>
        <v>2899829</v>
      </c>
      <c r="AE115" s="120">
        <v>0</v>
      </c>
      <c r="AF115" s="120">
        <v>0</v>
      </c>
      <c r="AG115" s="120">
        <v>0</v>
      </c>
      <c r="AH115" s="120">
        <v>0</v>
      </c>
      <c r="AI115" s="120">
        <v>0</v>
      </c>
      <c r="AJ115" s="120">
        <v>0</v>
      </c>
      <c r="AK115" s="120">
        <v>0</v>
      </c>
      <c r="AL115" s="120">
        <v>0</v>
      </c>
      <c r="AM115" s="120">
        <v>0</v>
      </c>
      <c r="AN115" s="120">
        <v>0</v>
      </c>
      <c r="AO115" s="189">
        <v>0</v>
      </c>
      <c r="AP115" s="120">
        <v>0</v>
      </c>
      <c r="AQ115" s="151">
        <v>0</v>
      </c>
      <c r="AR115" s="120">
        <v>0</v>
      </c>
      <c r="AS115" s="120"/>
      <c r="AT115" s="120"/>
      <c r="AU115" s="120">
        <v>0</v>
      </c>
      <c r="AV115" s="120"/>
      <c r="AW115" s="120">
        <v>0</v>
      </c>
      <c r="AX115" s="120">
        <v>0</v>
      </c>
      <c r="AY115" s="120">
        <v>0</v>
      </c>
      <c r="AZ115" s="120">
        <v>0</v>
      </c>
      <c r="BA115" s="120">
        <v>0</v>
      </c>
      <c r="BB115" s="151">
        <v>0</v>
      </c>
      <c r="BC115" s="120">
        <v>0</v>
      </c>
      <c r="BD115" s="120">
        <v>0</v>
      </c>
      <c r="BE115" s="120">
        <v>0</v>
      </c>
      <c r="BF115" s="120">
        <v>0</v>
      </c>
      <c r="BG115" s="120">
        <v>72291171</v>
      </c>
      <c r="BH115" s="9">
        <f>SUM(AE115:BG115)</f>
        <v>72291171</v>
      </c>
      <c r="BI115" s="226">
        <f>AD115+BH115</f>
        <v>75191000</v>
      </c>
      <c r="BJ115" s="96">
        <v>72243000</v>
      </c>
      <c r="BK115" s="49">
        <f t="shared" ref="BK115:BK116" si="1655">BI115-BJ115</f>
        <v>2948000</v>
      </c>
      <c r="BL115">
        <v>11</v>
      </c>
      <c r="BM115" s="30"/>
      <c r="BP115">
        <f>3496425-53457</f>
        <v>3442968</v>
      </c>
      <c r="BQ115" s="30">
        <f>+BP115-BK105</f>
        <v>-164714</v>
      </c>
    </row>
    <row r="116" spans="1:69" s="41" customFormat="1" ht="15.75" x14ac:dyDescent="0.25">
      <c r="A116" s="134" t="s">
        <v>143</v>
      </c>
      <c r="B116" s="216" t="s">
        <v>324</v>
      </c>
      <c r="C116" s="10">
        <v>0</v>
      </c>
      <c r="D116" s="10">
        <v>0</v>
      </c>
      <c r="E116" s="10">
        <v>0</v>
      </c>
      <c r="F116" s="10">
        <v>0</v>
      </c>
      <c r="G116" s="10">
        <v>0</v>
      </c>
      <c r="H116" s="10">
        <v>1275924</v>
      </c>
      <c r="I116" s="10">
        <v>0</v>
      </c>
      <c r="J116" s="10">
        <v>0</v>
      </c>
      <c r="K116" s="10">
        <v>0</v>
      </c>
      <c r="L116" s="10">
        <v>0</v>
      </c>
      <c r="M116" s="10">
        <v>0</v>
      </c>
      <c r="N116" s="10">
        <v>0</v>
      </c>
      <c r="O116" s="10">
        <v>0</v>
      </c>
      <c r="P116" s="10">
        <v>0</v>
      </c>
      <c r="Q116" s="10">
        <v>0</v>
      </c>
      <c r="R116" s="10">
        <v>0</v>
      </c>
      <c r="S116" s="10">
        <v>0</v>
      </c>
      <c r="T116" s="10">
        <v>0</v>
      </c>
      <c r="U116" s="10"/>
      <c r="V116" s="10">
        <v>0</v>
      </c>
      <c r="W116" s="10">
        <v>0</v>
      </c>
      <c r="X116" s="10">
        <v>0</v>
      </c>
      <c r="Y116" s="10">
        <v>0</v>
      </c>
      <c r="Z116" s="10">
        <v>0</v>
      </c>
      <c r="AA116" s="10">
        <v>0</v>
      </c>
      <c r="AB116" s="10">
        <v>0</v>
      </c>
      <c r="AC116" s="10">
        <v>0</v>
      </c>
      <c r="AD116" s="233">
        <f t="shared" si="1654"/>
        <v>1275924</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20072</v>
      </c>
      <c r="BH116" s="10">
        <f>SUM(AE116:BG116)</f>
        <v>20072</v>
      </c>
      <c r="BI116" s="226">
        <f>AD116+BH116</f>
        <v>1295996</v>
      </c>
      <c r="BJ116" s="10">
        <v>0</v>
      </c>
      <c r="BK116" s="10">
        <f t="shared" si="1655"/>
        <v>1295996</v>
      </c>
      <c r="BM116" s="217"/>
    </row>
    <row r="117" spans="1:69" ht="15.75" x14ac:dyDescent="0.25">
      <c r="A117" s="128"/>
      <c r="B117" s="12" t="s">
        <v>325</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1213165</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233">
        <f t="shared" ref="AD117:AD118" si="1656">SUM(C117:AC117)</f>
        <v>1213165</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30722463</v>
      </c>
      <c r="BH117" s="9">
        <f>SUM(AE117:BG117)</f>
        <v>30722463</v>
      </c>
      <c r="BI117" s="226">
        <f>AD117+BH117</f>
        <v>31935628</v>
      </c>
      <c r="BJ117" s="9">
        <f>IF('Upto Month COPPY'!$L$60="",0,'Upto Month COPPY'!$L$60)</f>
        <v>30718920</v>
      </c>
      <c r="BK117" s="49">
        <f t="shared" ref="BK117:BK118" si="1657">BI117-BJ117</f>
        <v>1216708</v>
      </c>
      <c r="BL117">
        <f>'Upto Month COPPY'!$L$61</f>
        <v>1216708</v>
      </c>
      <c r="BM117" s="30">
        <f t="shared" ref="BM117:BM121" si="1658">BK117-AD117</f>
        <v>3543</v>
      </c>
    </row>
    <row r="118" spans="1:69" ht="15.75" x14ac:dyDescent="0.25">
      <c r="A118" s="128"/>
      <c r="B118" s="182" t="s">
        <v>326</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1336482</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233">
        <f t="shared" si="1656"/>
        <v>1336482</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31824683</v>
      </c>
      <c r="BH118" s="9">
        <f>SUM(AE118:BG118)</f>
        <v>31824683</v>
      </c>
      <c r="BI118" s="226">
        <f>AD118+BH118</f>
        <v>33161165</v>
      </c>
      <c r="BJ118" s="9">
        <f>IF('Upto Month Current'!$L$60="",0,'Upto Month Current'!$L$60)</f>
        <v>31811229</v>
      </c>
      <c r="BK118" s="49">
        <f t="shared" si="1657"/>
        <v>1349936</v>
      </c>
      <c r="BL118">
        <f>'Upto Month Current'!$L$61</f>
        <v>1349936</v>
      </c>
      <c r="BM118" s="30">
        <f t="shared" si="1658"/>
        <v>13454</v>
      </c>
    </row>
    <row r="119" spans="1:69" ht="15.75" x14ac:dyDescent="0.25">
      <c r="A119" s="128"/>
      <c r="B119" s="5" t="s">
        <v>132</v>
      </c>
      <c r="C119" s="11">
        <f>C118-C116</f>
        <v>0</v>
      </c>
      <c r="D119" s="11">
        <f t="shared" ref="D119" si="1659">D118-D116</f>
        <v>0</v>
      </c>
      <c r="E119" s="11">
        <f t="shared" ref="E119" si="1660">E118-E116</f>
        <v>0</v>
      </c>
      <c r="F119" s="11">
        <f t="shared" ref="F119" si="1661">F118-F116</f>
        <v>0</v>
      </c>
      <c r="G119" s="11">
        <f t="shared" ref="G119" si="1662">G118-G116</f>
        <v>0</v>
      </c>
      <c r="H119" s="11">
        <f t="shared" ref="H119" si="1663">H118-H116</f>
        <v>60558</v>
      </c>
      <c r="I119" s="11">
        <f t="shared" ref="I119" si="1664">I118-I116</f>
        <v>0</v>
      </c>
      <c r="J119" s="11">
        <f t="shared" ref="J119" si="1665">J118-J116</f>
        <v>0</v>
      </c>
      <c r="K119" s="11">
        <f t="shared" ref="K119" si="1666">K118-K116</f>
        <v>0</v>
      </c>
      <c r="L119" s="11">
        <f t="shared" ref="L119" si="1667">L118-L116</f>
        <v>0</v>
      </c>
      <c r="M119" s="11">
        <f t="shared" ref="M119" si="1668">M118-M116</f>
        <v>0</v>
      </c>
      <c r="N119" s="11">
        <f t="shared" ref="N119" si="1669">N118-N116</f>
        <v>0</v>
      </c>
      <c r="O119" s="11">
        <f t="shared" ref="O119" si="1670">O118-O116</f>
        <v>0</v>
      </c>
      <c r="P119" s="11">
        <f t="shared" ref="P119" si="1671">P118-P116</f>
        <v>0</v>
      </c>
      <c r="Q119" s="11">
        <f t="shared" ref="Q119" si="1672">Q118-Q116</f>
        <v>0</v>
      </c>
      <c r="R119" s="11">
        <f t="shared" ref="R119" si="1673">R118-R116</f>
        <v>0</v>
      </c>
      <c r="S119" s="11">
        <f t="shared" ref="S119" si="1674">S118-S116</f>
        <v>0</v>
      </c>
      <c r="T119" s="11">
        <f t="shared" ref="T119:U119" si="1675">T118-T116</f>
        <v>0</v>
      </c>
      <c r="U119" s="11">
        <f t="shared" si="1675"/>
        <v>0</v>
      </c>
      <c r="V119" s="9">
        <f t="shared" ref="V119" si="1676">V118-V116</f>
        <v>0</v>
      </c>
      <c r="W119" s="11">
        <f t="shared" ref="W119" si="1677">W118-W116</f>
        <v>0</v>
      </c>
      <c r="X119" s="11">
        <f t="shared" ref="X119" si="1678">X118-X116</f>
        <v>0</v>
      </c>
      <c r="Y119" s="11">
        <f t="shared" ref="Y119" si="1679">Y118-Y116</f>
        <v>0</v>
      </c>
      <c r="Z119" s="11">
        <f t="shared" ref="Z119" si="1680">Z118-Z116</f>
        <v>0</v>
      </c>
      <c r="AA119" s="11">
        <f t="shared" ref="AA119:AD119" si="1681">AA118-AA116</f>
        <v>0</v>
      </c>
      <c r="AB119" s="11">
        <f t="shared" ref="AB119" si="1682">AB118-AB116</f>
        <v>0</v>
      </c>
      <c r="AC119" s="10">
        <f t="shared" si="1681"/>
        <v>0</v>
      </c>
      <c r="AD119" s="227">
        <f t="shared" si="1681"/>
        <v>60558</v>
      </c>
      <c r="AE119" s="11">
        <f t="shared" ref="AE119" si="1683">AE118-AE116</f>
        <v>0</v>
      </c>
      <c r="AF119" s="11">
        <f t="shared" ref="AF119" si="1684">AF118-AF116</f>
        <v>0</v>
      </c>
      <c r="AG119" s="11">
        <f t="shared" ref="AG119" si="1685">AG118-AG116</f>
        <v>0</v>
      </c>
      <c r="AH119" s="11">
        <f t="shared" ref="AH119" si="1686">AH118-AH116</f>
        <v>0</v>
      </c>
      <c r="AI119" s="11">
        <f t="shared" ref="AI119" si="1687">AI118-AI116</f>
        <v>0</v>
      </c>
      <c r="AJ119" s="11">
        <f t="shared" ref="AJ119" si="1688">AJ118-AJ116</f>
        <v>0</v>
      </c>
      <c r="AK119" s="11">
        <f t="shared" ref="AK119" si="1689">AK118-AK116</f>
        <v>0</v>
      </c>
      <c r="AL119" s="11">
        <f t="shared" ref="AL119" si="1690">AL118-AL116</f>
        <v>0</v>
      </c>
      <c r="AM119" s="11">
        <f t="shared" ref="AM119" si="1691">AM118-AM116</f>
        <v>0</v>
      </c>
      <c r="AN119" s="11">
        <f t="shared" ref="AN119" si="1692">AN118-AN116</f>
        <v>0</v>
      </c>
      <c r="AO119" s="9">
        <f t="shared" ref="AO119" si="1693">AO118-AO116</f>
        <v>0</v>
      </c>
      <c r="AP119" s="11">
        <f t="shared" ref="AP119" si="1694">AP118-AP116</f>
        <v>0</v>
      </c>
      <c r="AQ119" s="10">
        <f t="shared" ref="AQ119" si="1695">AQ118-AQ116</f>
        <v>0</v>
      </c>
      <c r="AR119" s="11">
        <f t="shared" ref="AR119" si="1696">AR118-AR116</f>
        <v>0</v>
      </c>
      <c r="AS119" s="11">
        <f t="shared" ref="AS119" si="1697">AS118-AS116</f>
        <v>0</v>
      </c>
      <c r="AT119" s="11">
        <f t="shared" ref="AT119" si="1698">AT118-AT116</f>
        <v>0</v>
      </c>
      <c r="AU119" s="11">
        <f t="shared" ref="AU119" si="1699">AU118-AU116</f>
        <v>0</v>
      </c>
      <c r="AV119" s="11">
        <f t="shared" ref="AV119" si="1700">AV118-AV116</f>
        <v>0</v>
      </c>
      <c r="AW119" s="11">
        <f t="shared" ref="AW119" si="1701">AW118-AW116</f>
        <v>0</v>
      </c>
      <c r="AX119" s="11">
        <f t="shared" ref="AX119" si="1702">AX118-AX116</f>
        <v>0</v>
      </c>
      <c r="AY119" s="11">
        <f t="shared" ref="AY119" si="1703">AY118-AY116</f>
        <v>0</v>
      </c>
      <c r="AZ119" s="11">
        <f t="shared" ref="AZ119" si="1704">AZ118-AZ116</f>
        <v>0</v>
      </c>
      <c r="BA119" s="11">
        <f t="shared" ref="BA119" si="1705">BA118-BA116</f>
        <v>0</v>
      </c>
      <c r="BB119" s="10">
        <f t="shared" ref="BB119" si="1706">BB118-BB116</f>
        <v>0</v>
      </c>
      <c r="BC119" s="11">
        <f t="shared" ref="BC119" si="1707">BC118-BC116</f>
        <v>0</v>
      </c>
      <c r="BD119" s="11">
        <f t="shared" ref="BD119" si="1708">BD118-BD116</f>
        <v>0</v>
      </c>
      <c r="BE119" s="11">
        <f t="shared" ref="BE119" si="1709">BE118-BE116</f>
        <v>0</v>
      </c>
      <c r="BF119" s="11">
        <f t="shared" ref="BF119" si="1710">BF118-BF116</f>
        <v>0</v>
      </c>
      <c r="BG119" s="11">
        <f t="shared" ref="BG119:BH119" si="1711">BG118-BG116</f>
        <v>31804611</v>
      </c>
      <c r="BH119" s="9">
        <f t="shared" si="1711"/>
        <v>31804611</v>
      </c>
      <c r="BI119" s="227">
        <f t="shared" ref="BI119" si="1712">BI118-BI116</f>
        <v>31865169</v>
      </c>
      <c r="BJ119" s="11">
        <f t="shared" ref="BJ119:BK119" si="1713">BJ118-BJ116</f>
        <v>31811229</v>
      </c>
      <c r="BK119" s="49">
        <f t="shared" si="1713"/>
        <v>53940</v>
      </c>
      <c r="BM119" s="30">
        <f t="shared" si="1658"/>
        <v>-6618</v>
      </c>
    </row>
    <row r="120" spans="1:69" ht="15.75" x14ac:dyDescent="0.25">
      <c r="A120" s="128"/>
      <c r="B120" s="5" t="s">
        <v>133</v>
      </c>
      <c r="C120" s="13" t="e">
        <f>C119/C116</f>
        <v>#DIV/0!</v>
      </c>
      <c r="D120" s="13" t="e">
        <f t="shared" ref="D120" si="1714">D119/D116</f>
        <v>#DIV/0!</v>
      </c>
      <c r="E120" s="13" t="e">
        <f t="shared" ref="E120" si="1715">E119/E116</f>
        <v>#DIV/0!</v>
      </c>
      <c r="F120" s="13" t="e">
        <f t="shared" ref="F120" si="1716">F119/F116</f>
        <v>#DIV/0!</v>
      </c>
      <c r="G120" s="13" t="e">
        <f t="shared" ref="G120" si="1717">G119/G116</f>
        <v>#DIV/0!</v>
      </c>
      <c r="H120" s="13">
        <f t="shared" ref="H120" si="1718">H119/H116</f>
        <v>4.7462074543624853E-2</v>
      </c>
      <c r="I120" s="13" t="e">
        <f t="shared" ref="I120" si="1719">I119/I116</f>
        <v>#DIV/0!</v>
      </c>
      <c r="J120" s="13" t="e">
        <f t="shared" ref="J120" si="1720">J119/J116</f>
        <v>#DIV/0!</v>
      </c>
      <c r="K120" s="13" t="e">
        <f t="shared" ref="K120" si="1721">K119/K116</f>
        <v>#DIV/0!</v>
      </c>
      <c r="L120" s="13" t="e">
        <f t="shared" ref="L120" si="1722">L119/L116</f>
        <v>#DIV/0!</v>
      </c>
      <c r="M120" s="13" t="e">
        <f t="shared" ref="M120" si="1723">M119/M116</f>
        <v>#DIV/0!</v>
      </c>
      <c r="N120" s="13" t="e">
        <f t="shared" ref="N120" si="1724">N119/N116</f>
        <v>#DIV/0!</v>
      </c>
      <c r="O120" s="13" t="e">
        <f t="shared" ref="O120" si="1725">O119/O116</f>
        <v>#DIV/0!</v>
      </c>
      <c r="P120" s="13" t="e">
        <f t="shared" ref="P120" si="1726">P119/P116</f>
        <v>#DIV/0!</v>
      </c>
      <c r="Q120" s="13" t="e">
        <f t="shared" ref="Q120" si="1727">Q119/Q116</f>
        <v>#DIV/0!</v>
      </c>
      <c r="R120" s="13" t="e">
        <f t="shared" ref="R120" si="1728">R119/R116</f>
        <v>#DIV/0!</v>
      </c>
      <c r="S120" s="13" t="e">
        <f t="shared" ref="S120" si="1729">S119/S116</f>
        <v>#DIV/0!</v>
      </c>
      <c r="T120" s="13" t="e">
        <f t="shared" ref="T120:U120" si="1730">T119/T116</f>
        <v>#DIV/0!</v>
      </c>
      <c r="U120" s="13" t="e">
        <f t="shared" si="1730"/>
        <v>#DIV/0!</v>
      </c>
      <c r="V120" s="162" t="e">
        <f t="shared" ref="V120" si="1731">V119/V116</f>
        <v>#DIV/0!</v>
      </c>
      <c r="W120" s="13" t="e">
        <f t="shared" ref="W120" si="1732">W119/W116</f>
        <v>#DIV/0!</v>
      </c>
      <c r="X120" s="13" t="e">
        <f t="shared" ref="X120" si="1733">X119/X116</f>
        <v>#DIV/0!</v>
      </c>
      <c r="Y120" s="13" t="e">
        <f t="shared" ref="Y120" si="1734">Y119/Y116</f>
        <v>#DIV/0!</v>
      </c>
      <c r="Z120" s="13" t="e">
        <f t="shared" ref="Z120" si="1735">Z119/Z116</f>
        <v>#DIV/0!</v>
      </c>
      <c r="AA120" s="13" t="e">
        <f t="shared" ref="AA120:AD120" si="1736">AA119/AA116</f>
        <v>#DIV/0!</v>
      </c>
      <c r="AB120" s="13" t="e">
        <f t="shared" ref="AB120" si="1737">AB119/AB116</f>
        <v>#DIV/0!</v>
      </c>
      <c r="AC120" s="14" t="e">
        <f t="shared" si="1736"/>
        <v>#DIV/0!</v>
      </c>
      <c r="AD120" s="228">
        <f t="shared" si="1736"/>
        <v>4.7462074543624853E-2</v>
      </c>
      <c r="AE120" s="13" t="e">
        <f t="shared" ref="AE120" si="1738">AE119/AE116</f>
        <v>#DIV/0!</v>
      </c>
      <c r="AF120" s="13" t="e">
        <f t="shared" ref="AF120" si="1739">AF119/AF116</f>
        <v>#DIV/0!</v>
      </c>
      <c r="AG120" s="13" t="e">
        <f t="shared" ref="AG120" si="1740">AG119/AG116</f>
        <v>#DIV/0!</v>
      </c>
      <c r="AH120" s="13" t="e">
        <f t="shared" ref="AH120" si="1741">AH119/AH116</f>
        <v>#DIV/0!</v>
      </c>
      <c r="AI120" s="13" t="e">
        <f t="shared" ref="AI120" si="1742">AI119/AI116</f>
        <v>#DIV/0!</v>
      </c>
      <c r="AJ120" s="13" t="e">
        <f t="shared" ref="AJ120" si="1743">AJ119/AJ116</f>
        <v>#DIV/0!</v>
      </c>
      <c r="AK120" s="13" t="e">
        <f t="shared" ref="AK120" si="1744">AK119/AK116</f>
        <v>#DIV/0!</v>
      </c>
      <c r="AL120" s="13" t="e">
        <f t="shared" ref="AL120" si="1745">AL119/AL116</f>
        <v>#DIV/0!</v>
      </c>
      <c r="AM120" s="13" t="e">
        <f t="shared" ref="AM120" si="1746">AM119/AM116</f>
        <v>#DIV/0!</v>
      </c>
      <c r="AN120" s="13" t="e">
        <f t="shared" ref="AN120" si="1747">AN119/AN116</f>
        <v>#DIV/0!</v>
      </c>
      <c r="AO120" s="162" t="e">
        <f t="shared" ref="AO120" si="1748">AO119/AO116</f>
        <v>#DIV/0!</v>
      </c>
      <c r="AP120" s="13" t="e">
        <f t="shared" ref="AP120" si="1749">AP119/AP116</f>
        <v>#DIV/0!</v>
      </c>
      <c r="AQ120" s="14" t="e">
        <f t="shared" ref="AQ120" si="1750">AQ119/AQ116</f>
        <v>#DIV/0!</v>
      </c>
      <c r="AR120" s="13" t="e">
        <f t="shared" ref="AR120" si="1751">AR119/AR116</f>
        <v>#DIV/0!</v>
      </c>
      <c r="AS120" s="13" t="e">
        <f t="shared" ref="AS120" si="1752">AS119/AS116</f>
        <v>#DIV/0!</v>
      </c>
      <c r="AT120" s="13" t="e">
        <f t="shared" ref="AT120" si="1753">AT119/AT116</f>
        <v>#DIV/0!</v>
      </c>
      <c r="AU120" s="13" t="e">
        <f t="shared" ref="AU120" si="1754">AU119/AU116</f>
        <v>#DIV/0!</v>
      </c>
      <c r="AV120" s="13" t="e">
        <f t="shared" ref="AV120" si="1755">AV119/AV116</f>
        <v>#DIV/0!</v>
      </c>
      <c r="AW120" s="13" t="e">
        <f t="shared" ref="AW120" si="1756">AW119/AW116</f>
        <v>#DIV/0!</v>
      </c>
      <c r="AX120" s="13" t="e">
        <f t="shared" ref="AX120" si="1757">AX119/AX116</f>
        <v>#DIV/0!</v>
      </c>
      <c r="AY120" s="13" t="e">
        <f t="shared" ref="AY120" si="1758">AY119/AY116</f>
        <v>#DIV/0!</v>
      </c>
      <c r="AZ120" s="13" t="e">
        <f t="shared" ref="AZ120" si="1759">AZ119/AZ116</f>
        <v>#DIV/0!</v>
      </c>
      <c r="BA120" s="13" t="e">
        <f t="shared" ref="BA120" si="1760">BA119/BA116</f>
        <v>#DIV/0!</v>
      </c>
      <c r="BB120" s="14" t="e">
        <f t="shared" ref="BB120" si="1761">BB119/BB116</f>
        <v>#DIV/0!</v>
      </c>
      <c r="BC120" s="13" t="e">
        <f t="shared" ref="BC120" si="1762">BC119/BC116</f>
        <v>#DIV/0!</v>
      </c>
      <c r="BD120" s="13" t="e">
        <f t="shared" ref="BD120" si="1763">BD119/BD116</f>
        <v>#DIV/0!</v>
      </c>
      <c r="BE120" s="13" t="e">
        <f t="shared" ref="BE120" si="1764">BE119/BE116</f>
        <v>#DIV/0!</v>
      </c>
      <c r="BF120" s="13" t="e">
        <f t="shared" ref="BF120" si="1765">BF119/BF116</f>
        <v>#DIV/0!</v>
      </c>
      <c r="BG120" s="13">
        <f t="shared" ref="BG120:BH120" si="1766">BG119/BG116</f>
        <v>1584.5262554802709</v>
      </c>
      <c r="BH120" s="162">
        <f t="shared" si="1766"/>
        <v>1584.5262554802709</v>
      </c>
      <c r="BI120" s="228">
        <f t="shared" ref="BI120" si="1767">BI119/BI116</f>
        <v>24.58739764628903</v>
      </c>
      <c r="BJ120" s="13" t="e">
        <f t="shared" ref="BJ120:BK120" si="1768">BJ119/BJ116</f>
        <v>#DIV/0!</v>
      </c>
      <c r="BK120" s="50">
        <f t="shared" si="1768"/>
        <v>4.1620498828700087E-2</v>
      </c>
      <c r="BM120" s="162" t="e">
        <f t="shared" ref="BM120" si="1769">BM119/BM116</f>
        <v>#DIV/0!</v>
      </c>
    </row>
    <row r="121" spans="1:69" ht="15.75" x14ac:dyDescent="0.25">
      <c r="A121" s="128"/>
      <c r="B121" s="5" t="s">
        <v>134</v>
      </c>
      <c r="C121" s="11">
        <f>C118-C117</f>
        <v>0</v>
      </c>
      <c r="D121" s="11">
        <f t="shared" ref="D121:BK121" si="1770">D118-D117</f>
        <v>0</v>
      </c>
      <c r="E121" s="11">
        <f t="shared" si="1770"/>
        <v>0</v>
      </c>
      <c r="F121" s="11">
        <f t="shared" si="1770"/>
        <v>0</v>
      </c>
      <c r="G121" s="11">
        <f t="shared" si="1770"/>
        <v>0</v>
      </c>
      <c r="H121" s="11">
        <f t="shared" si="1770"/>
        <v>123317</v>
      </c>
      <c r="I121" s="11">
        <f t="shared" si="1770"/>
        <v>0</v>
      </c>
      <c r="J121" s="11">
        <f t="shared" si="1770"/>
        <v>0</v>
      </c>
      <c r="K121" s="11">
        <f t="shared" si="1770"/>
        <v>0</v>
      </c>
      <c r="L121" s="11">
        <f t="shared" si="1770"/>
        <v>0</v>
      </c>
      <c r="M121" s="11">
        <f t="shared" si="1770"/>
        <v>0</v>
      </c>
      <c r="N121" s="11">
        <f t="shared" si="1770"/>
        <v>0</v>
      </c>
      <c r="O121" s="11">
        <f t="shared" si="1770"/>
        <v>0</v>
      </c>
      <c r="P121" s="11">
        <f t="shared" si="1770"/>
        <v>0</v>
      </c>
      <c r="Q121" s="11">
        <f t="shared" si="1770"/>
        <v>0</v>
      </c>
      <c r="R121" s="11">
        <f t="shared" si="1770"/>
        <v>0</v>
      </c>
      <c r="S121" s="11">
        <f t="shared" si="1770"/>
        <v>0</v>
      </c>
      <c r="T121" s="11">
        <f t="shared" si="1770"/>
        <v>0</v>
      </c>
      <c r="U121" s="11">
        <f t="shared" ref="U121" si="1771">U118-U117</f>
        <v>0</v>
      </c>
      <c r="V121" s="9">
        <f t="shared" si="1770"/>
        <v>0</v>
      </c>
      <c r="W121" s="11">
        <f t="shared" si="1770"/>
        <v>0</v>
      </c>
      <c r="X121" s="11">
        <f t="shared" si="1770"/>
        <v>0</v>
      </c>
      <c r="Y121" s="11">
        <f t="shared" si="1770"/>
        <v>0</v>
      </c>
      <c r="Z121" s="11">
        <f t="shared" si="1770"/>
        <v>0</v>
      </c>
      <c r="AA121" s="11">
        <f t="shared" si="1770"/>
        <v>0</v>
      </c>
      <c r="AB121" s="11">
        <f t="shared" ref="AB121" si="1772">AB118-AB117</f>
        <v>0</v>
      </c>
      <c r="AC121" s="10">
        <f t="shared" ref="AC121:AD121" si="1773">AC118-AC117</f>
        <v>0</v>
      </c>
      <c r="AD121" s="227">
        <f t="shared" si="1773"/>
        <v>123317</v>
      </c>
      <c r="AE121" s="11">
        <f t="shared" si="1770"/>
        <v>0</v>
      </c>
      <c r="AF121" s="11">
        <f t="shared" si="1770"/>
        <v>0</v>
      </c>
      <c r="AG121" s="11">
        <f t="shared" si="1770"/>
        <v>0</v>
      </c>
      <c r="AH121" s="11">
        <f t="shared" si="1770"/>
        <v>0</v>
      </c>
      <c r="AI121" s="11">
        <f t="shared" si="1770"/>
        <v>0</v>
      </c>
      <c r="AJ121" s="11">
        <f t="shared" si="1770"/>
        <v>0</v>
      </c>
      <c r="AK121" s="11">
        <f t="shared" si="1770"/>
        <v>0</v>
      </c>
      <c r="AL121" s="11">
        <f t="shared" si="1770"/>
        <v>0</v>
      </c>
      <c r="AM121" s="11">
        <f t="shared" si="1770"/>
        <v>0</v>
      </c>
      <c r="AN121" s="11">
        <f t="shared" si="1770"/>
        <v>0</v>
      </c>
      <c r="AO121" s="9">
        <f t="shared" si="1770"/>
        <v>0</v>
      </c>
      <c r="AP121" s="11">
        <f t="shared" si="1770"/>
        <v>0</v>
      </c>
      <c r="AQ121" s="10">
        <f t="shared" si="1770"/>
        <v>0</v>
      </c>
      <c r="AR121" s="11">
        <f t="shared" si="1770"/>
        <v>0</v>
      </c>
      <c r="AS121" s="11">
        <f t="shared" si="1770"/>
        <v>0</v>
      </c>
      <c r="AT121" s="11">
        <f t="shared" si="1770"/>
        <v>0</v>
      </c>
      <c r="AU121" s="11">
        <f t="shared" si="1770"/>
        <v>0</v>
      </c>
      <c r="AV121" s="11">
        <f t="shared" si="1770"/>
        <v>0</v>
      </c>
      <c r="AW121" s="11">
        <f t="shared" si="1770"/>
        <v>0</v>
      </c>
      <c r="AX121" s="11">
        <f t="shared" si="1770"/>
        <v>0</v>
      </c>
      <c r="AY121" s="11">
        <f t="shared" si="1770"/>
        <v>0</v>
      </c>
      <c r="AZ121" s="11">
        <f t="shared" si="1770"/>
        <v>0</v>
      </c>
      <c r="BA121" s="11">
        <f t="shared" si="1770"/>
        <v>0</v>
      </c>
      <c r="BB121" s="10">
        <f t="shared" si="1770"/>
        <v>0</v>
      </c>
      <c r="BC121" s="11">
        <f t="shared" si="1770"/>
        <v>0</v>
      </c>
      <c r="BD121" s="11">
        <f t="shared" si="1770"/>
        <v>0</v>
      </c>
      <c r="BE121" s="11">
        <f t="shared" si="1770"/>
        <v>0</v>
      </c>
      <c r="BF121" s="11">
        <f t="shared" si="1770"/>
        <v>0</v>
      </c>
      <c r="BG121" s="11">
        <f t="shared" si="1770"/>
        <v>1102220</v>
      </c>
      <c r="BH121" s="9">
        <f t="shared" si="1770"/>
        <v>1102220</v>
      </c>
      <c r="BI121" s="227">
        <f t="shared" si="1770"/>
        <v>1225537</v>
      </c>
      <c r="BJ121" s="11">
        <f t="shared" si="1770"/>
        <v>1092309</v>
      </c>
      <c r="BK121" s="49">
        <f t="shared" si="1770"/>
        <v>133228</v>
      </c>
      <c r="BM121" s="30">
        <f t="shared" si="1658"/>
        <v>9911</v>
      </c>
    </row>
    <row r="122" spans="1:69" ht="15.75" x14ac:dyDescent="0.25">
      <c r="A122" s="128"/>
      <c r="B122" s="5" t="s">
        <v>135</v>
      </c>
      <c r="C122" s="13" t="e">
        <f>C121/C117</f>
        <v>#DIV/0!</v>
      </c>
      <c r="D122" s="13" t="e">
        <f t="shared" ref="D122" si="1774">D121/D117</f>
        <v>#DIV/0!</v>
      </c>
      <c r="E122" s="13" t="e">
        <f t="shared" ref="E122" si="1775">E121/E117</f>
        <v>#DIV/0!</v>
      </c>
      <c r="F122" s="13" t="e">
        <f t="shared" ref="F122" si="1776">F121/F117</f>
        <v>#DIV/0!</v>
      </c>
      <c r="G122" s="13" t="e">
        <f t="shared" ref="G122" si="1777">G121/G117</f>
        <v>#DIV/0!</v>
      </c>
      <c r="H122" s="13">
        <f t="shared" ref="H122" si="1778">H121/H117</f>
        <v>0.10164899251132369</v>
      </c>
      <c r="I122" s="13" t="e">
        <f t="shared" ref="I122" si="1779">I121/I117</f>
        <v>#DIV/0!</v>
      </c>
      <c r="J122" s="13" t="e">
        <f t="shared" ref="J122" si="1780">J121/J117</f>
        <v>#DIV/0!</v>
      </c>
      <c r="K122" s="13" t="e">
        <f t="shared" ref="K122" si="1781">K121/K117</f>
        <v>#DIV/0!</v>
      </c>
      <c r="L122" s="13" t="e">
        <f t="shared" ref="L122" si="1782">L121/L117</f>
        <v>#DIV/0!</v>
      </c>
      <c r="M122" s="13" t="e">
        <f t="shared" ref="M122" si="1783">M121/M117</f>
        <v>#DIV/0!</v>
      </c>
      <c r="N122" s="13" t="e">
        <f t="shared" ref="N122" si="1784">N121/N117</f>
        <v>#DIV/0!</v>
      </c>
      <c r="O122" s="13" t="e">
        <f t="shared" ref="O122" si="1785">O121/O117</f>
        <v>#DIV/0!</v>
      </c>
      <c r="P122" s="13" t="e">
        <f t="shared" ref="P122" si="1786">P121/P117</f>
        <v>#DIV/0!</v>
      </c>
      <c r="Q122" s="13" t="e">
        <f t="shared" ref="Q122" si="1787">Q121/Q117</f>
        <v>#DIV/0!</v>
      </c>
      <c r="R122" s="13" t="e">
        <f t="shared" ref="R122" si="1788">R121/R117</f>
        <v>#DIV/0!</v>
      </c>
      <c r="S122" s="13" t="e">
        <f t="shared" ref="S122" si="1789">S121/S117</f>
        <v>#DIV/0!</v>
      </c>
      <c r="T122" s="13" t="e">
        <f t="shared" ref="T122:U122" si="1790">T121/T117</f>
        <v>#DIV/0!</v>
      </c>
      <c r="U122" s="13" t="e">
        <f t="shared" si="1790"/>
        <v>#DIV/0!</v>
      </c>
      <c r="V122" s="162" t="e">
        <f t="shared" ref="V122" si="1791">V121/V117</f>
        <v>#DIV/0!</v>
      </c>
      <c r="W122" s="13" t="e">
        <f t="shared" ref="W122" si="1792">W121/W117</f>
        <v>#DIV/0!</v>
      </c>
      <c r="X122" s="13" t="e">
        <f t="shared" ref="X122" si="1793">X121/X117</f>
        <v>#DIV/0!</v>
      </c>
      <c r="Y122" s="13" t="e">
        <f t="shared" ref="Y122" si="1794">Y121/Y117</f>
        <v>#DIV/0!</v>
      </c>
      <c r="Z122" s="13" t="e">
        <f t="shared" ref="Z122" si="1795">Z121/Z117</f>
        <v>#DIV/0!</v>
      </c>
      <c r="AA122" s="13" t="e">
        <f t="shared" ref="AA122:AD122" si="1796">AA121/AA117</f>
        <v>#DIV/0!</v>
      </c>
      <c r="AB122" s="13" t="e">
        <f t="shared" ref="AB122" si="1797">AB121/AB117</f>
        <v>#DIV/0!</v>
      </c>
      <c r="AC122" s="14" t="e">
        <f t="shared" si="1796"/>
        <v>#DIV/0!</v>
      </c>
      <c r="AD122" s="228">
        <f t="shared" si="1796"/>
        <v>0.10164899251132369</v>
      </c>
      <c r="AE122" s="13" t="e">
        <f t="shared" ref="AE122" si="1798">AE121/AE117</f>
        <v>#DIV/0!</v>
      </c>
      <c r="AF122" s="13" t="e">
        <f t="shared" ref="AF122" si="1799">AF121/AF117</f>
        <v>#DIV/0!</v>
      </c>
      <c r="AG122" s="13" t="e">
        <f t="shared" ref="AG122" si="1800">AG121/AG117</f>
        <v>#DIV/0!</v>
      </c>
      <c r="AH122" s="13" t="e">
        <f t="shared" ref="AH122" si="1801">AH121/AH117</f>
        <v>#DIV/0!</v>
      </c>
      <c r="AI122" s="13" t="e">
        <f t="shared" ref="AI122" si="1802">AI121/AI117</f>
        <v>#DIV/0!</v>
      </c>
      <c r="AJ122" s="13" t="e">
        <f t="shared" ref="AJ122" si="1803">AJ121/AJ117</f>
        <v>#DIV/0!</v>
      </c>
      <c r="AK122" s="13" t="e">
        <f t="shared" ref="AK122" si="1804">AK121/AK117</f>
        <v>#DIV/0!</v>
      </c>
      <c r="AL122" s="13" t="e">
        <f t="shared" ref="AL122" si="1805">AL121/AL117</f>
        <v>#DIV/0!</v>
      </c>
      <c r="AM122" s="13" t="e">
        <f t="shared" ref="AM122" si="1806">AM121/AM117</f>
        <v>#DIV/0!</v>
      </c>
      <c r="AN122" s="13" t="e">
        <f t="shared" ref="AN122" si="1807">AN121/AN117</f>
        <v>#DIV/0!</v>
      </c>
      <c r="AO122" s="162" t="e">
        <f t="shared" ref="AO122" si="1808">AO121/AO117</f>
        <v>#DIV/0!</v>
      </c>
      <c r="AP122" s="13" t="e">
        <f t="shared" ref="AP122" si="1809">AP121/AP117</f>
        <v>#DIV/0!</v>
      </c>
      <c r="AQ122" s="14" t="e">
        <f t="shared" ref="AQ122" si="1810">AQ121/AQ117</f>
        <v>#DIV/0!</v>
      </c>
      <c r="AR122" s="13" t="e">
        <f t="shared" ref="AR122" si="1811">AR121/AR117</f>
        <v>#DIV/0!</v>
      </c>
      <c r="AS122" s="13" t="e">
        <f t="shared" ref="AS122" si="1812">AS121/AS117</f>
        <v>#DIV/0!</v>
      </c>
      <c r="AT122" s="13" t="e">
        <f t="shared" ref="AT122" si="1813">AT121/AT117</f>
        <v>#DIV/0!</v>
      </c>
      <c r="AU122" s="13" t="e">
        <f t="shared" ref="AU122" si="1814">AU121/AU117</f>
        <v>#DIV/0!</v>
      </c>
      <c r="AV122" s="13" t="e">
        <f t="shared" ref="AV122" si="1815">AV121/AV117</f>
        <v>#DIV/0!</v>
      </c>
      <c r="AW122" s="13" t="e">
        <f t="shared" ref="AW122" si="1816">AW121/AW117</f>
        <v>#DIV/0!</v>
      </c>
      <c r="AX122" s="13" t="e">
        <f t="shared" ref="AX122" si="1817">AX121/AX117</f>
        <v>#DIV/0!</v>
      </c>
      <c r="AY122" s="13" t="e">
        <f t="shared" ref="AY122" si="1818">AY121/AY117</f>
        <v>#DIV/0!</v>
      </c>
      <c r="AZ122" s="13" t="e">
        <f t="shared" ref="AZ122" si="1819">AZ121/AZ117</f>
        <v>#DIV/0!</v>
      </c>
      <c r="BA122" s="13" t="e">
        <f t="shared" ref="BA122" si="1820">BA121/BA117</f>
        <v>#DIV/0!</v>
      </c>
      <c r="BB122" s="14" t="e">
        <f t="shared" ref="BB122" si="1821">BB121/BB117</f>
        <v>#DIV/0!</v>
      </c>
      <c r="BC122" s="13" t="e">
        <f t="shared" ref="BC122" si="1822">BC121/BC117</f>
        <v>#DIV/0!</v>
      </c>
      <c r="BD122" s="13" t="e">
        <f t="shared" ref="BD122" si="1823">BD121/BD117</f>
        <v>#DIV/0!</v>
      </c>
      <c r="BE122" s="13" t="e">
        <f t="shared" ref="BE122" si="1824">BE121/BE117</f>
        <v>#DIV/0!</v>
      </c>
      <c r="BF122" s="13" t="e">
        <f t="shared" ref="BF122" si="1825">BF121/BF117</f>
        <v>#DIV/0!</v>
      </c>
      <c r="BG122" s="13">
        <f t="shared" ref="BG122:BH122" si="1826">BG121/BG117</f>
        <v>3.5876680850750804E-2</v>
      </c>
      <c r="BH122" s="162">
        <f t="shared" si="1826"/>
        <v>3.5876680850750804E-2</v>
      </c>
      <c r="BI122" s="228">
        <f t="shared" ref="BI122" si="1827">BI121/BI117</f>
        <v>3.8375227817658696E-2</v>
      </c>
      <c r="BJ122" s="13">
        <f t="shared" ref="BJ122:BK122" si="1828">BJ121/BJ117</f>
        <v>3.5558183686145217E-2</v>
      </c>
      <c r="BK122" s="50">
        <f t="shared" si="1828"/>
        <v>0.10949874579603323</v>
      </c>
      <c r="BM122" s="14">
        <f t="shared" ref="BM122" si="1829">BM121/BM117</f>
        <v>2.7973468811741462</v>
      </c>
    </row>
    <row r="123" spans="1:69" ht="15.75" x14ac:dyDescent="0.25">
      <c r="A123" s="128"/>
      <c r="B123" s="5" t="s">
        <v>296</v>
      </c>
      <c r="C123" s="126" t="e">
        <f>C118/C115</f>
        <v>#DIV/0!</v>
      </c>
      <c r="D123" s="126" t="e">
        <f t="shared" ref="D123:BK123" si="1830">D118/D115</f>
        <v>#DIV/0!</v>
      </c>
      <c r="E123" s="126" t="e">
        <f t="shared" si="1830"/>
        <v>#DIV/0!</v>
      </c>
      <c r="F123" s="126" t="e">
        <f t="shared" si="1830"/>
        <v>#DIV/0!</v>
      </c>
      <c r="G123" s="126" t="e">
        <f t="shared" si="1830"/>
        <v>#DIV/0!</v>
      </c>
      <c r="H123" s="126">
        <f t="shared" si="1830"/>
        <v>0.4608830382757052</v>
      </c>
      <c r="I123" s="126" t="e">
        <f t="shared" si="1830"/>
        <v>#DIV/0!</v>
      </c>
      <c r="J123" s="126" t="e">
        <f t="shared" si="1830"/>
        <v>#DIV/0!</v>
      </c>
      <c r="K123" s="126" t="e">
        <f t="shared" si="1830"/>
        <v>#DIV/0!</v>
      </c>
      <c r="L123" s="126" t="e">
        <f t="shared" si="1830"/>
        <v>#DIV/0!</v>
      </c>
      <c r="M123" s="126" t="e">
        <f t="shared" si="1830"/>
        <v>#DIV/0!</v>
      </c>
      <c r="N123" s="126" t="e">
        <f t="shared" si="1830"/>
        <v>#DIV/0!</v>
      </c>
      <c r="O123" s="126" t="e">
        <f t="shared" si="1830"/>
        <v>#DIV/0!</v>
      </c>
      <c r="P123" s="126" t="e">
        <f t="shared" si="1830"/>
        <v>#DIV/0!</v>
      </c>
      <c r="Q123" s="126" t="e">
        <f t="shared" si="1830"/>
        <v>#DIV/0!</v>
      </c>
      <c r="R123" s="126" t="e">
        <f t="shared" si="1830"/>
        <v>#DIV/0!</v>
      </c>
      <c r="S123" s="126" t="e">
        <f t="shared" si="1830"/>
        <v>#DIV/0!</v>
      </c>
      <c r="T123" s="126" t="e">
        <f t="shared" si="1830"/>
        <v>#DIV/0!</v>
      </c>
      <c r="U123" s="126" t="e">
        <f t="shared" si="1830"/>
        <v>#DIV/0!</v>
      </c>
      <c r="V123" s="177" t="e">
        <f t="shared" si="1830"/>
        <v>#DIV/0!</v>
      </c>
      <c r="W123" s="126" t="e">
        <f t="shared" si="1830"/>
        <v>#DIV/0!</v>
      </c>
      <c r="X123" s="126" t="e">
        <f t="shared" si="1830"/>
        <v>#DIV/0!</v>
      </c>
      <c r="Y123" s="126" t="e">
        <f t="shared" si="1830"/>
        <v>#DIV/0!</v>
      </c>
      <c r="Z123" s="126" t="e">
        <f t="shared" si="1830"/>
        <v>#DIV/0!</v>
      </c>
      <c r="AA123" s="126" t="e">
        <f t="shared" si="1830"/>
        <v>#DIV/0!</v>
      </c>
      <c r="AB123" s="126" t="e">
        <f t="shared" ref="AB123" si="1831">AB118/AB115</f>
        <v>#DIV/0!</v>
      </c>
      <c r="AC123" s="215" t="e">
        <f t="shared" si="1830"/>
        <v>#DIV/0!</v>
      </c>
      <c r="AD123" s="229">
        <f t="shared" si="1830"/>
        <v>0.4608830382757052</v>
      </c>
      <c r="AE123" s="126" t="e">
        <f t="shared" si="1830"/>
        <v>#DIV/0!</v>
      </c>
      <c r="AF123" s="126" t="e">
        <f t="shared" si="1830"/>
        <v>#DIV/0!</v>
      </c>
      <c r="AG123" s="126" t="e">
        <f t="shared" si="1830"/>
        <v>#DIV/0!</v>
      </c>
      <c r="AH123" s="126" t="e">
        <f t="shared" si="1830"/>
        <v>#DIV/0!</v>
      </c>
      <c r="AI123" s="126" t="e">
        <f t="shared" si="1830"/>
        <v>#DIV/0!</v>
      </c>
      <c r="AJ123" s="126" t="e">
        <f t="shared" si="1830"/>
        <v>#DIV/0!</v>
      </c>
      <c r="AK123" s="126" t="e">
        <f t="shared" si="1830"/>
        <v>#DIV/0!</v>
      </c>
      <c r="AL123" s="126" t="e">
        <f t="shared" si="1830"/>
        <v>#DIV/0!</v>
      </c>
      <c r="AM123" s="126" t="e">
        <f t="shared" si="1830"/>
        <v>#DIV/0!</v>
      </c>
      <c r="AN123" s="126" t="e">
        <f t="shared" si="1830"/>
        <v>#DIV/0!</v>
      </c>
      <c r="AO123" s="177" t="e">
        <f t="shared" si="1830"/>
        <v>#DIV/0!</v>
      </c>
      <c r="AP123" s="126" t="e">
        <f t="shared" si="1830"/>
        <v>#DIV/0!</v>
      </c>
      <c r="AQ123" s="215" t="e">
        <f t="shared" si="1830"/>
        <v>#DIV/0!</v>
      </c>
      <c r="AR123" s="126" t="e">
        <f t="shared" si="1830"/>
        <v>#DIV/0!</v>
      </c>
      <c r="AS123" s="126" t="e">
        <f t="shared" si="1830"/>
        <v>#DIV/0!</v>
      </c>
      <c r="AT123" s="126" t="e">
        <f t="shared" si="1830"/>
        <v>#DIV/0!</v>
      </c>
      <c r="AU123" s="126" t="e">
        <f t="shared" si="1830"/>
        <v>#DIV/0!</v>
      </c>
      <c r="AV123" s="126" t="e">
        <f t="shared" si="1830"/>
        <v>#DIV/0!</v>
      </c>
      <c r="AW123" s="126" t="e">
        <f t="shared" si="1830"/>
        <v>#DIV/0!</v>
      </c>
      <c r="AX123" s="126" t="e">
        <f t="shared" si="1830"/>
        <v>#DIV/0!</v>
      </c>
      <c r="AY123" s="126" t="e">
        <f t="shared" si="1830"/>
        <v>#DIV/0!</v>
      </c>
      <c r="AZ123" s="126" t="e">
        <f t="shared" si="1830"/>
        <v>#DIV/0!</v>
      </c>
      <c r="BA123" s="126" t="e">
        <f t="shared" si="1830"/>
        <v>#DIV/0!</v>
      </c>
      <c r="BB123" s="215" t="e">
        <f t="shared" si="1830"/>
        <v>#DIV/0!</v>
      </c>
      <c r="BC123" s="126" t="e">
        <f t="shared" si="1830"/>
        <v>#DIV/0!</v>
      </c>
      <c r="BD123" s="126" t="e">
        <f t="shared" si="1830"/>
        <v>#DIV/0!</v>
      </c>
      <c r="BE123" s="126" t="e">
        <f t="shared" si="1830"/>
        <v>#DIV/0!</v>
      </c>
      <c r="BF123" s="126" t="e">
        <f t="shared" si="1830"/>
        <v>#DIV/0!</v>
      </c>
      <c r="BG123" s="126">
        <f t="shared" si="1830"/>
        <v>0.44022918096042463</v>
      </c>
      <c r="BH123" s="177">
        <f t="shared" si="1830"/>
        <v>0.44022918096042463</v>
      </c>
      <c r="BI123" s="229">
        <f t="shared" si="1830"/>
        <v>0.44102572116343713</v>
      </c>
      <c r="BJ123" s="126">
        <f t="shared" si="1830"/>
        <v>0.44033648934844899</v>
      </c>
      <c r="BK123" s="126">
        <f t="shared" si="1830"/>
        <v>0.45791587516960652</v>
      </c>
      <c r="BM123" s="126" t="e">
        <f t="shared" ref="BM123" si="1832">BM118/BM115</f>
        <v>#DIV/0!</v>
      </c>
    </row>
    <row r="124" spans="1:69" s="180" customFormat="1" ht="15.75" x14ac:dyDescent="0.25">
      <c r="A124" s="128"/>
      <c r="B124" s="5" t="s">
        <v>297</v>
      </c>
      <c r="C124" s="11">
        <f>C118-C115</f>
        <v>0</v>
      </c>
      <c r="D124" s="11">
        <f t="shared" ref="D124:BM124" si="1833">D118-D115</f>
        <v>0</v>
      </c>
      <c r="E124" s="11">
        <f t="shared" si="1833"/>
        <v>0</v>
      </c>
      <c r="F124" s="11">
        <f t="shared" si="1833"/>
        <v>0</v>
      </c>
      <c r="G124" s="11">
        <f t="shared" si="1833"/>
        <v>0</v>
      </c>
      <c r="H124" s="11">
        <f t="shared" si="1833"/>
        <v>-1563347</v>
      </c>
      <c r="I124" s="11">
        <f t="shared" si="1833"/>
        <v>0</v>
      </c>
      <c r="J124" s="11">
        <f t="shared" si="1833"/>
        <v>0</v>
      </c>
      <c r="K124" s="11">
        <f t="shared" si="1833"/>
        <v>0</v>
      </c>
      <c r="L124" s="11">
        <f t="shared" si="1833"/>
        <v>0</v>
      </c>
      <c r="M124" s="11">
        <f t="shared" si="1833"/>
        <v>0</v>
      </c>
      <c r="N124" s="11">
        <f t="shared" si="1833"/>
        <v>0</v>
      </c>
      <c r="O124" s="11">
        <f t="shared" si="1833"/>
        <v>0</v>
      </c>
      <c r="P124" s="11">
        <f t="shared" si="1833"/>
        <v>0</v>
      </c>
      <c r="Q124" s="11">
        <f t="shared" si="1833"/>
        <v>0</v>
      </c>
      <c r="R124" s="11">
        <f t="shared" si="1833"/>
        <v>0</v>
      </c>
      <c r="S124" s="11">
        <f t="shared" si="1833"/>
        <v>0</v>
      </c>
      <c r="T124" s="11">
        <f t="shared" si="1833"/>
        <v>0</v>
      </c>
      <c r="U124" s="11">
        <f t="shared" si="1833"/>
        <v>0</v>
      </c>
      <c r="V124" s="9">
        <f t="shared" si="1833"/>
        <v>0</v>
      </c>
      <c r="W124" s="11">
        <f t="shared" si="1833"/>
        <v>0</v>
      </c>
      <c r="X124" s="11">
        <f t="shared" si="1833"/>
        <v>0</v>
      </c>
      <c r="Y124" s="11">
        <f t="shared" si="1833"/>
        <v>0</v>
      </c>
      <c r="Z124" s="11">
        <f t="shared" si="1833"/>
        <v>0</v>
      </c>
      <c r="AA124" s="11">
        <f t="shared" si="1833"/>
        <v>0</v>
      </c>
      <c r="AB124" s="11">
        <f t="shared" ref="AB124" si="1834">AB118-AB115</f>
        <v>0</v>
      </c>
      <c r="AC124" s="10">
        <f t="shared" si="1833"/>
        <v>0</v>
      </c>
      <c r="AD124" s="227">
        <f t="shared" si="1833"/>
        <v>-1563347</v>
      </c>
      <c r="AE124" s="11">
        <f t="shared" si="1833"/>
        <v>0</v>
      </c>
      <c r="AF124" s="11">
        <f t="shared" si="1833"/>
        <v>0</v>
      </c>
      <c r="AG124" s="11">
        <f t="shared" si="1833"/>
        <v>0</v>
      </c>
      <c r="AH124" s="11">
        <f t="shared" si="1833"/>
        <v>0</v>
      </c>
      <c r="AI124" s="11">
        <f t="shared" si="1833"/>
        <v>0</v>
      </c>
      <c r="AJ124" s="11">
        <f t="shared" si="1833"/>
        <v>0</v>
      </c>
      <c r="AK124" s="11">
        <f t="shared" si="1833"/>
        <v>0</v>
      </c>
      <c r="AL124" s="11">
        <f t="shared" si="1833"/>
        <v>0</v>
      </c>
      <c r="AM124" s="11">
        <f t="shared" si="1833"/>
        <v>0</v>
      </c>
      <c r="AN124" s="11">
        <f t="shared" si="1833"/>
        <v>0</v>
      </c>
      <c r="AO124" s="9">
        <f t="shared" si="1833"/>
        <v>0</v>
      </c>
      <c r="AP124" s="11">
        <f t="shared" si="1833"/>
        <v>0</v>
      </c>
      <c r="AQ124" s="10">
        <f t="shared" si="1833"/>
        <v>0</v>
      </c>
      <c r="AR124" s="11">
        <f t="shared" si="1833"/>
        <v>0</v>
      </c>
      <c r="AS124" s="11">
        <f t="shared" si="1833"/>
        <v>0</v>
      </c>
      <c r="AT124" s="11">
        <f t="shared" si="1833"/>
        <v>0</v>
      </c>
      <c r="AU124" s="11">
        <f t="shared" si="1833"/>
        <v>0</v>
      </c>
      <c r="AV124" s="11">
        <f t="shared" si="1833"/>
        <v>0</v>
      </c>
      <c r="AW124" s="11">
        <f t="shared" si="1833"/>
        <v>0</v>
      </c>
      <c r="AX124" s="11">
        <f t="shared" si="1833"/>
        <v>0</v>
      </c>
      <c r="AY124" s="11">
        <f t="shared" si="1833"/>
        <v>0</v>
      </c>
      <c r="AZ124" s="11">
        <f t="shared" si="1833"/>
        <v>0</v>
      </c>
      <c r="BA124" s="11">
        <f t="shared" si="1833"/>
        <v>0</v>
      </c>
      <c r="BB124" s="10">
        <f t="shared" si="1833"/>
        <v>0</v>
      </c>
      <c r="BC124" s="11">
        <f t="shared" si="1833"/>
        <v>0</v>
      </c>
      <c r="BD124" s="11">
        <f t="shared" si="1833"/>
        <v>0</v>
      </c>
      <c r="BE124" s="11">
        <f t="shared" si="1833"/>
        <v>0</v>
      </c>
      <c r="BF124" s="11">
        <f t="shared" si="1833"/>
        <v>0</v>
      </c>
      <c r="BG124" s="11">
        <f t="shared" si="1833"/>
        <v>-40466488</v>
      </c>
      <c r="BH124" s="11">
        <f t="shared" si="1833"/>
        <v>-40466488</v>
      </c>
      <c r="BI124" s="227">
        <f t="shared" si="1833"/>
        <v>-42029835</v>
      </c>
      <c r="BJ124" s="11">
        <f t="shared" si="1833"/>
        <v>-40431771</v>
      </c>
      <c r="BK124" s="11">
        <f t="shared" si="1833"/>
        <v>-1598064</v>
      </c>
      <c r="BL124" s="11">
        <f t="shared" si="1833"/>
        <v>1349925</v>
      </c>
      <c r="BM124" s="11">
        <f t="shared" si="1833"/>
        <v>13454</v>
      </c>
    </row>
    <row r="125" spans="1:69" ht="15.75" x14ac:dyDescent="0.25">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230"/>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230"/>
      <c r="BJ125" s="5"/>
      <c r="BK125" s="48"/>
    </row>
    <row r="126" spans="1:69" ht="15.75" x14ac:dyDescent="0.25">
      <c r="A126" s="128" t="s">
        <v>130</v>
      </c>
      <c r="B126" s="11" t="s">
        <v>301</v>
      </c>
      <c r="C126" s="5">
        <f>C5+C16+C28+C39+C50+C61+C72+C83+C94+C105+C115</f>
        <v>25094501</v>
      </c>
      <c r="D126" s="5">
        <f>D5+D16+D28+D39+D50+D61+D72+D83+D94+D105+D115</f>
        <v>7559818</v>
      </c>
      <c r="E126" s="5">
        <f>E5+E16+E28+E39+E50+E61+E72+E83+E94+E105+E115</f>
        <v>991281</v>
      </c>
      <c r="F126" s="5">
        <f>F5+F16+F28+F39+F50+F61+F72+F83+F94+F105+F115</f>
        <v>2860481</v>
      </c>
      <c r="G126" s="5">
        <f>G5+G16+G28+G39+G50+G61+G72+G83+G94+G105+G115</f>
        <v>1482068</v>
      </c>
      <c r="H126" s="5">
        <f>H5+H16+H28+H39+H50+H61+H72+H83+H94+H105+H115</f>
        <v>2899829</v>
      </c>
      <c r="I126" s="5">
        <f>I5+I16+I28+I39+I50+I61+I72+I83+I94+I105+I115</f>
        <v>0</v>
      </c>
      <c r="J126" s="5">
        <f>J5+J16+J28+J39+J50+J61+J72+J83+J94+J105+J115</f>
        <v>1982650</v>
      </c>
      <c r="K126" s="5">
        <f>K5+K16+K28+K39+K50+K61+K72+K83+K94+K105+K115</f>
        <v>117456</v>
      </c>
      <c r="L126" s="5">
        <f>L5+L16+L28+L39+L50+L61+L72+L83+L94+L105+L115</f>
        <v>529809</v>
      </c>
      <c r="M126" s="5">
        <f>M5+M16+M28+M39+M50+M61+M72+M83+M94+M105+M115</f>
        <v>1499479</v>
      </c>
      <c r="N126" s="5">
        <f>N5+N16+N28+N39+N50+N61+N72+N83+N94+N105+N115</f>
        <v>26092</v>
      </c>
      <c r="O126" s="5">
        <f>O5+O16+O28+O39+O50+O61+O72+O83+O94+O105+O115</f>
        <v>93065</v>
      </c>
      <c r="P126" s="5">
        <f>P5+P16+P28+P39+P50+P61+P72+P83+P94+P105+P115</f>
        <v>922915</v>
      </c>
      <c r="Q126" s="5">
        <f>Q5+Q16+Q28+Q39+Q50+Q61+Q72+Q83+Q94+Q105+Q115</f>
        <v>0</v>
      </c>
      <c r="R126" s="5">
        <f>R5+R16+R28+R39+R50+R61+R72+R83+R94+R105+R115</f>
        <v>80835</v>
      </c>
      <c r="S126" s="5">
        <f>S5+S16+S28+S39+S50+S61+S72+S83+S94+S105+S115</f>
        <v>890316</v>
      </c>
      <c r="T126" s="5">
        <f>T5+T16+T28+T39+T50+T61+T72+T83+T94+T105+T115</f>
        <v>831482</v>
      </c>
      <c r="U126" s="5">
        <f>U5+U16+U28+U39+U50+U61+U72+U83+U94+U105+U115</f>
        <v>0</v>
      </c>
      <c r="V126" s="16">
        <f>V5+V16+V28+V39+V50+V61+V72+V83+V94+V105+V115</f>
        <v>344986</v>
      </c>
      <c r="W126" s="5">
        <f>W5+W16+W28+W39+W50+W61+W72+W83+W94+W105+W115</f>
        <v>1004</v>
      </c>
      <c r="X126" s="5">
        <f>X5+X16+X28+X39+X50+X61+X72+X83+X94+X105+X115</f>
        <v>406</v>
      </c>
      <c r="Y126" s="5">
        <f>Y5+Y16+Y28+Y39+Y50+Y61+Y72+Y83+Y94+Y105+Y115</f>
        <v>26497</v>
      </c>
      <c r="Z126" s="5">
        <f>Z5+Z16+Z28+Z39+Z50+Z61+Z72+Z83+Z94+Z105+Z115</f>
        <v>3049</v>
      </c>
      <c r="AA126" s="5">
        <f>AA5+AA16+AA28+AA39+AA50+AA61+AA72+AA83+AA94+AA105+AA115</f>
        <v>7424</v>
      </c>
      <c r="AB126" s="5">
        <f>AB5+AB16+AB28+AB39+AB50+AB61+AB72+AB83+AB94+AB105+AB115</f>
        <v>45460</v>
      </c>
      <c r="AC126" s="6">
        <f>AC5+AC16+AC28+AC39+AC50+AC61+AC72+AC83+AC94+AC105+AC115</f>
        <v>1331801</v>
      </c>
      <c r="AD126" s="233">
        <f t="shared" ref="AD126:AD129" si="1835">SUM(C126:AC126)</f>
        <v>49622704</v>
      </c>
      <c r="AE126" s="5">
        <f>AE5+AE16+AE28+AE39+AE50+AE61+AE72+AE83+AE94+AE105+AE115</f>
        <v>56229</v>
      </c>
      <c r="AF126" s="5">
        <f>AF5+AF16+AF28+AF39+AF50+AF61+AF72+AF83+AF94+AF105+AF115</f>
        <v>39351</v>
      </c>
      <c r="AG126" s="5">
        <f>AG5+AG16+AG28+AG39+AG50+AG61+AG72+AG83+AG94+AG105+AG115</f>
        <v>71546</v>
      </c>
      <c r="AH126" s="5">
        <f>AH5+AH16+AH28+AH39+AH50+AH61+AH72+AH83+AH94+AH105+AH115</f>
        <v>0</v>
      </c>
      <c r="AI126" s="5">
        <f>AI5+AI16+AI28+AI39+AI50+AI61+AI72+AI83+AI94+AI105+AI115</f>
        <v>0</v>
      </c>
      <c r="AJ126" s="5">
        <f>AJ5+AJ16+AJ28+AJ39+AJ50+AJ61+AJ72+AJ83+AJ94+AJ105+AJ115</f>
        <v>22250</v>
      </c>
      <c r="AK126" s="5">
        <f>AK5+AK16+AK28+AK39+AK50+AK61+AK72+AK83+AK94+AK105+AK115</f>
        <v>1360731</v>
      </c>
      <c r="AL126" s="5">
        <f>AL5+AL16+AL28+AL39+AL50+AL61+AL72+AL83+AL94+AL105+AL115</f>
        <v>1095813</v>
      </c>
      <c r="AM126" s="5">
        <f>AM5+AM16+AM28+AM39+AM50+AM61+AM72+AM83+AM94+AM105+AM115</f>
        <v>7695054</v>
      </c>
      <c r="AN126" s="5">
        <f>AN5+AN16+AN28+AN39+AN50+AN61+AN72+AN83+AN94+AN105+AN115</f>
        <v>131472</v>
      </c>
      <c r="AO126" s="16">
        <f>AO5+AO16+AO28+AO39+AO50+AO61+AO72+AO83+AO94+AO105+AO115</f>
        <v>3045430</v>
      </c>
      <c r="AP126" s="5">
        <f>AP5+AP16+AP28+AP39+AP50+AP61+AP72+AP83+AP94+AP105+AP115</f>
        <v>15785368</v>
      </c>
      <c r="AQ126" s="6">
        <f>AQ5+AQ16+AQ28+AQ39+AQ50+AQ61+AQ72+AQ83+AQ94+AQ105+AQ115</f>
        <v>145980</v>
      </c>
      <c r="AR126" s="5">
        <f>AR5+AR16+AR28+AR39+AR50+AR61+AR72+AR83+AR94+AR105+AR115</f>
        <v>789456</v>
      </c>
      <c r="AS126" s="5">
        <f>AS5+AS16+AS28+AS39+AS50+AS61+AS72+AS83+AS94+AS105+AS115</f>
        <v>0</v>
      </c>
      <c r="AT126" s="5">
        <f>AT5+AT16+AT28+AT39+AT50+AT61+AT72+AT83+AT94+AT105+AT115</f>
        <v>0</v>
      </c>
      <c r="AU126" s="5">
        <f>AU5+AU16+AU28+AU39+AU50+AU61+AU72+AU83+AU94+AU105+AU115</f>
        <v>348261</v>
      </c>
      <c r="AV126" s="5">
        <f>AV5+AV16+AV28+AV39+AV50+AV61+AV72+AV83+AV94+AV105+AV115</f>
        <v>0</v>
      </c>
      <c r="AW126" s="5">
        <f>AW5+AW16+AW28+AW39+AW50+AW61+AW72+AW83+AW94+AW105+AW115</f>
        <v>26546</v>
      </c>
      <c r="AX126" s="5">
        <f>AX5+AX16+AX28+AX39+AX50+AX61+AX72+AX83+AX94+AX105+AX115</f>
        <v>18138</v>
      </c>
      <c r="AY126" s="5">
        <f>AY5+AY16+AY28+AY39+AY50+AY61+AY72+AY83+AY94+AY105+AY115</f>
        <v>7897</v>
      </c>
      <c r="AZ126" s="5">
        <f>AZ5+AZ16+AZ28+AZ39+AZ50+AZ61+AZ72+AZ83+AZ94+AZ105+AZ115</f>
        <v>317324</v>
      </c>
      <c r="BA126" s="5">
        <f>BA5+BA16+BA28+BA39+BA50+BA61+BA72+BA83+BA94+BA105+BA115</f>
        <v>541110</v>
      </c>
      <c r="BB126" s="6">
        <f>BB5+BB16+BB28+BB39+BB50+BB61+BB72+BB83+BB94+BB105+BB115</f>
        <v>761999</v>
      </c>
      <c r="BC126" s="5">
        <f>BC5+BC16+BC28+BC39+BC50+BC61+BC72+BC83+BC94+BC105+BC115</f>
        <v>148811</v>
      </c>
      <c r="BD126" s="5">
        <f>BD5+BD16+BD28+BD39+BD50+BD61+BD72+BD83+BD94+BD105+BD115</f>
        <v>148813</v>
      </c>
      <c r="BE126" s="5">
        <f>BE5+BE16+BE28+BE39+BE50+BE61+BE72+BE83+BE94+BE105+BE115</f>
        <v>259</v>
      </c>
      <c r="BF126" s="5">
        <f>BF5+BF16+BF28+BF39+BF50+BF61+BF72+BF83+BF94+BF105+BF115</f>
        <v>129563</v>
      </c>
      <c r="BG126" s="11">
        <f>BG5+BG16+BG28+BG39+BG50+BG61+BG72+BG83+BG94+BG105+BG115</f>
        <v>73562050</v>
      </c>
      <c r="BH126" s="16">
        <f>BH5+BH16+BH28+BH39+BH50+BH61+BH72+BH83+BH94+BH105+BH115</f>
        <v>106249451</v>
      </c>
      <c r="BI126" s="231">
        <f>AD126+BH126</f>
        <v>155872155</v>
      </c>
      <c r="BJ126" s="5">
        <f>BJ5+BJ16+BJ28+BJ39+BJ50+BJ61+BJ72+BJ83+BJ94+BJ105+BJ115</f>
        <v>73162155</v>
      </c>
      <c r="BK126" s="49">
        <f>BK5+BK16+BK28+BK39+BK50+BK61+BK72+BK83+BK94+BK105+BK115</f>
        <v>82710000</v>
      </c>
      <c r="BM126" s="30">
        <f>BK126-AD126</f>
        <v>33087296</v>
      </c>
    </row>
    <row r="127" spans="1:69" ht="15.75" x14ac:dyDescent="0.25">
      <c r="A127" s="128"/>
      <c r="B127" s="216" t="s">
        <v>324</v>
      </c>
      <c r="C127" s="11">
        <f>C6+C17+C29+C40+C51+C62+C73+C84+C95+C106+C116</f>
        <v>11041578</v>
      </c>
      <c r="D127" s="11">
        <f>D6+D17+D29+D40+D51+D62+D73+D84+D95+D106+D116</f>
        <v>2687915</v>
      </c>
      <c r="E127" s="11">
        <f>E6+E17+E29+E40+E51+E62+E73+E84+E95+E106+E116</f>
        <v>-1</v>
      </c>
      <c r="F127" s="11">
        <f>F6+F17+F29+F40+F51+F62+F73+F84+F95+F106+F116</f>
        <v>1258589</v>
      </c>
      <c r="G127" s="11">
        <f>G6+G17+G29+G40+G51+G62+G73+G84+G95+G106+G116</f>
        <v>652101</v>
      </c>
      <c r="H127" s="11">
        <f>H6+H17+H29+H40+H51+H62+H73+H84+H95+H106+H116</f>
        <v>1275924</v>
      </c>
      <c r="I127" s="11">
        <f>I6+I17+I29+I40+I51+I62+I73+I84+I95+I106+I116</f>
        <v>0</v>
      </c>
      <c r="J127" s="11">
        <f>J6+J17+J29+J40+J51+J62+J73+J84+J95+J106+J116</f>
        <v>872369</v>
      </c>
      <c r="K127" s="11">
        <f>K6+K17+K29+K40+K51+K62+K73+K84+K95+K106+K116</f>
        <v>51680.08</v>
      </c>
      <c r="L127" s="11">
        <f>L6+L17+L29+L40+L51+L62+L73+L84+L95+L106+L116</f>
        <v>233123</v>
      </c>
      <c r="M127" s="11">
        <f>M6+M17+M29+M40+M51+M62+M73+M84+M95+M106+M116</f>
        <v>659771</v>
      </c>
      <c r="N127" s="11">
        <f>N6+N17+N29+N40+N51+N62+N73+N84+N95+N106+N116</f>
        <v>11487</v>
      </c>
      <c r="O127" s="11">
        <f>O6+O17+O29+O40+O51+O62+O73+O84+O95+O106+O116</f>
        <v>40945</v>
      </c>
      <c r="P127" s="11">
        <f>P6+P17+P29+P40+P51+P62+P73+P84+P95+P106+P116</f>
        <v>406086</v>
      </c>
      <c r="Q127" s="11">
        <f>Q6+Q17+Q29+Q40+Q51+Q62+Q73+Q84+Q95+Q106+Q116</f>
        <v>0</v>
      </c>
      <c r="R127" s="11">
        <f>R6+R17+R29+R40+R51+R62+R73+R84+R95+R106+R116</f>
        <v>35567</v>
      </c>
      <c r="S127" s="11">
        <f>S6+S17+S29+S40+S51+S62+S73+S84+S95+S106+S116</f>
        <v>641027</v>
      </c>
      <c r="T127" s="11">
        <f>T6+T17+T29+T40+T51+T62+T73+T84+T95+T106+T116</f>
        <v>365853</v>
      </c>
      <c r="U127" s="11">
        <f>U6+U17+U29+U40+U51+U62+U73+U84+U95+U106+U116</f>
        <v>0</v>
      </c>
      <c r="V127" s="9">
        <f>V6+V17+V29+V40+V51+V62+V73+V84+V95+V106+V116</f>
        <v>151785</v>
      </c>
      <c r="W127" s="11">
        <f>W6+W17+W29+W40+W51+W62+W73+W84+W95+W106+W116</f>
        <v>441</v>
      </c>
      <c r="X127" s="11">
        <f>X6+X17+X29+X40+X51+X62+X73+X84+X95+X106+X116</f>
        <v>178</v>
      </c>
      <c r="Y127" s="11">
        <f>Y6+Y17+Y29+Y40+Y51+Y62+Y73+Y84+Y95+Y106+Y116</f>
        <v>11665</v>
      </c>
      <c r="Z127" s="11">
        <f>Z6+Z17+Z29+Z40+Z51+Z62+Z73+Z84+Z95+Z106+Z116</f>
        <v>1344</v>
      </c>
      <c r="AA127" s="11">
        <f>AA6+AA17+AA29+AA40+AA51+AA62+AA73+AA84+AA95+AA106+AA116</f>
        <v>3291</v>
      </c>
      <c r="AB127" s="11">
        <f>AB6+AB17+AB29+AB40+AB51+AB62+AB73+AB84+AB95+AB106+AB116</f>
        <v>20122</v>
      </c>
      <c r="AC127" s="10">
        <f>AC6+AC17+AC29+AC40+AC51+AC62+AC73+AC84+AC95+AC106+AC116</f>
        <v>585992</v>
      </c>
      <c r="AD127" s="233">
        <f t="shared" si="1835"/>
        <v>21008832.079999998</v>
      </c>
      <c r="AE127" s="5">
        <f>AE6+AE17+AE29+AE40+AE51+AE62+AE73+AE84+AE95+AE106+AE116</f>
        <v>24742</v>
      </c>
      <c r="AF127" s="5">
        <f>AF6+AF17+AF29+AF40+AF51+AF62+AF73+AF84+AF95+AF106+AF116</f>
        <v>17311</v>
      </c>
      <c r="AG127" s="5">
        <f>AG6+AG17+AG29+AG40+AG51+AG62+AG73+AG84+AG95+AG106+AG116</f>
        <v>31858</v>
      </c>
      <c r="AH127" s="5">
        <f>AH6+AH17+AH29+AH40+AH51+AH62+AH73+AH84+AH95+AH106+AH116</f>
        <v>0</v>
      </c>
      <c r="AI127" s="5">
        <f>AI6+AI17+AI29+AI40+AI51+AI62+AI73+AI84+AI95+AI106+AI116</f>
        <v>0</v>
      </c>
      <c r="AJ127" s="5">
        <f>AJ6+AJ17+AJ29+AJ40+AJ51+AJ62+AJ73+AJ84+AJ95+AJ106+AJ116</f>
        <v>9786</v>
      </c>
      <c r="AK127" s="5">
        <f>AK6+AK17+AK29+AK40+AK51+AK62+AK73+AK84+AK95+AK106+AK116</f>
        <v>598725</v>
      </c>
      <c r="AL127" s="5">
        <f>AL6+AL17+AL29+AL40+AL51+AL62+AL73+AL84+AL95+AL106+AL116</f>
        <v>482161</v>
      </c>
      <c r="AM127" s="5" t="e">
        <f>AM6+AM17+AM29+AM40+AM51+AM62+AM73+AM84+AM95+AM106+AM116</f>
        <v>#VALUE!</v>
      </c>
      <c r="AN127" s="5">
        <f>AN6+AN17+AN29+AN40+AN51+AN62+AN73+AN84+AN95+AN106+AN116</f>
        <v>57847</v>
      </c>
      <c r="AO127" s="16">
        <f>AO6+AO17+AO29+AO40+AO51+AO62+AO73+AO84+AO95+AO106+AO116</f>
        <v>1339993</v>
      </c>
      <c r="AP127" s="5">
        <f>AP6+AP17+AP29+AP40+AP51+AP62+AP73+AP84+AP95+AP106+AP116</f>
        <v>7351461.3600000003</v>
      </c>
      <c r="AQ127" s="6">
        <f>AQ6+AQ17+AQ29+AQ40+AQ51+AQ62+AQ73+AQ84+AQ95+AQ106+AQ116</f>
        <v>64233</v>
      </c>
      <c r="AR127" s="5">
        <f>AR6+AR17+AR29+AR40+AR51+AR62+AR73+AR84+AR95+AR106+AR116</f>
        <v>347360</v>
      </c>
      <c r="AS127" s="5">
        <f>AS6+AS17+AS29+AS40+AS51+AS62+AS73+AS84+AS95+AS106+AS116</f>
        <v>0</v>
      </c>
      <c r="AT127" s="5">
        <f>AT6+AT17+AT29+AT40+AT51+AT62+AT73+AT84+AT95+AT106+AT116</f>
        <v>0</v>
      </c>
      <c r="AU127" s="5">
        <f>AU6+AU17+AU29+AU40+AU51+AU62+AU73+AU84+AU95+AU106+AU116</f>
        <v>153235</v>
      </c>
      <c r="AV127" s="5">
        <f>AV6+AV17+AV29+AV40+AV51+AV62+AV73+AV84+AV95+AV106+AV116</f>
        <v>0</v>
      </c>
      <c r="AW127" s="5">
        <f>AW6+AW17+AW29+AW40+AW51+AW62+AW73+AW84+AW95+AW106+AW116</f>
        <v>11678</v>
      </c>
      <c r="AX127" s="5">
        <f>AX6+AX17+AX29+AX40+AX51+AX62+AX73+AX84+AX95+AX106+AX116</f>
        <v>7979</v>
      </c>
      <c r="AY127" s="5">
        <f>AY6+AY17+AY29+AY40+AY51+AY62+AY73+AY84+AY95+AY106+AY116</f>
        <v>3477</v>
      </c>
      <c r="AZ127" s="11">
        <f>AZ6+AZ17+AZ29+AZ40+AZ51+AZ62+AZ73+AZ84+AZ95+AZ106+AZ116</f>
        <v>139622</v>
      </c>
      <c r="BA127" s="5">
        <f>BA6+BA17+BA29+BA40+BA51+BA62+BA73+BA84+BA95+BA106+BA116</f>
        <v>238089</v>
      </c>
      <c r="BB127" s="6">
        <f>BB6+BB17+BB29+BB40+BB51+BB62+BB73+BB84+BB95+BB106+BB116</f>
        <v>335281</v>
      </c>
      <c r="BC127" s="5">
        <f>BC6+BC17+BC29+BC40+BC51+BC62+BC73+BC84+BC95+BC106+BC116</f>
        <v>65479</v>
      </c>
      <c r="BD127" s="5">
        <f>BD6+BD17+BD29+BD40+BD51+BD62+BD73+BD84+BD95+BD106+BD116</f>
        <v>65451</v>
      </c>
      <c r="BE127" s="5">
        <f>BE6+BE17+BE29+BE40+BE51+BE62+BE73+BE84+BE95+BE106+BE116</f>
        <v>112</v>
      </c>
      <c r="BF127" s="5">
        <f>BF6+BF17+BF29+BF40+BF51+BF62+BF73+BF84+BF95+BF106+BF116</f>
        <v>57017</v>
      </c>
      <c r="BG127" s="11">
        <f>BG6+BG17+BG29+BG40+BG51+BG62+BG73+BG84+BG95+BG106+BG116</f>
        <v>560634</v>
      </c>
      <c r="BH127" s="9">
        <f>BH6+BH17+BH29+BH40+BH51+BH62+BH73+BH84+BH95+BH106+BH116</f>
        <v>15349360.359999999</v>
      </c>
      <c r="BI127" s="231">
        <f>AD127+BH127</f>
        <v>36358192.439999998</v>
      </c>
      <c r="BJ127" s="11">
        <f>BJ6+BJ17+BJ29+BJ40+BJ51+BJ62+BJ73+BJ84+BJ95+BJ106+BJ116</f>
        <v>395271</v>
      </c>
      <c r="BK127" s="49">
        <f>BK6+BK17+BK29+BK40+BK51+BK62+BK73+BK84+BK95+BK106+BK116</f>
        <v>35962921.439999998</v>
      </c>
      <c r="BM127" s="30">
        <f t="shared" ref="BM127:BM132" si="1836">BK127-AD127</f>
        <v>14954089.359999999</v>
      </c>
    </row>
    <row r="128" spans="1:69" ht="15.75" x14ac:dyDescent="0.25">
      <c r="B128" s="12" t="s">
        <v>325</v>
      </c>
      <c r="C128" s="5">
        <f>C7+C18+C30+C41+C52+C63+C74+C85+C96+C107+C117</f>
        <v>10458005</v>
      </c>
      <c r="D128" s="5">
        <f>D7+D18+D30+D41+D52+D63+D74+D85+D96+D107+D117</f>
        <v>1834139</v>
      </c>
      <c r="E128" s="5">
        <f>E7+E18+E30+E41+E52+E63+E74+E85+E96+E107+E117</f>
        <v>6238</v>
      </c>
      <c r="F128" s="5">
        <f>F7+F18+F30+F41+F52+F63+F74+F85+F96+F107+F117</f>
        <v>1092093</v>
      </c>
      <c r="G128" s="5">
        <f>G7+G18+G30+G41+G52+G63+G74+G85+G96+G107+G117</f>
        <v>562496</v>
      </c>
      <c r="H128" s="5">
        <f>H7+H18+H30+H41+H52+H63+H74+H85+H96+H107+H117</f>
        <v>1213165</v>
      </c>
      <c r="I128" s="5">
        <f>I7+I18+I30+I41+I52+I63+I74+I85+I96+I107+I117</f>
        <v>0</v>
      </c>
      <c r="J128" s="5">
        <f>J7+J18+J30+J41+J52+J63+J74+J85+J96+J107+J117</f>
        <v>730905</v>
      </c>
      <c r="K128" s="5">
        <f>K7+K18+K30+K41+K52+K63+K74+K85+K96+K107+K117</f>
        <v>29489</v>
      </c>
      <c r="L128" s="5">
        <f>L7+L18+L30+L41+L52+L63+L74+L85+L96+L107+L117</f>
        <v>245343</v>
      </c>
      <c r="M128" s="5">
        <f>M7+M18+M30+M41+M52+M63+M74+M85+M96+M107+M117</f>
        <v>654854</v>
      </c>
      <c r="N128" s="5">
        <f>N7+N18+N30+N41+N52+N63+N74+N85+N96+N107+N117</f>
        <v>6167</v>
      </c>
      <c r="O128" s="5">
        <f>O7+O18+O30+O41+O52+O63+O74+O85+O96+O107+O117</f>
        <v>23631</v>
      </c>
      <c r="P128" s="5">
        <f>P7+P18+P30+P41+P52+P63+P74+P85+P96+P107+P117</f>
        <v>450686</v>
      </c>
      <c r="Q128" s="5">
        <f>Q7+Q18+Q30+Q41+Q52+Q63+Q74+Q85+Q96+Q107+Q117</f>
        <v>0</v>
      </c>
      <c r="R128" s="5">
        <f>R7+R18+R30+R41+R52+R63+R74+R85+R96+R107+R117</f>
        <v>12821</v>
      </c>
      <c r="S128" s="5">
        <f>S7+S18+S30+S41+S52+S63+S74+S85+S96+S107+S117</f>
        <v>565244</v>
      </c>
      <c r="T128" s="5">
        <f>T7+T18+T30+T41+T52+T63+T74+T85+T96+T107+T117</f>
        <v>384865</v>
      </c>
      <c r="U128" s="5">
        <f>U7+U18+U30+U41+U52+U63+U74+U85+U96+U107+U117</f>
        <v>848</v>
      </c>
      <c r="V128" s="16">
        <f>V7+V18+V30+V41+V52+V63+V74+V85+V96+V107+V117</f>
        <v>181902</v>
      </c>
      <c r="W128" s="5">
        <f>W7+W18+W30+W41+W52+W63+W74+W85+W96+W107+W117</f>
        <v>442</v>
      </c>
      <c r="X128" s="5">
        <f>X7+X18+X30+X41+X52+X63+X74+X85+X96+X107+X117</f>
        <v>0</v>
      </c>
      <c r="Y128" s="5">
        <f>Y7+Y18+Y30+Y41+Y52+Y63+Y74+Y85+Y96+Y107+Y117</f>
        <v>19932</v>
      </c>
      <c r="Z128" s="5">
        <f>Z7+Z18+Z30+Z41+Z52+Z63+Z74+Z85+Z96+Z107+Z117</f>
        <v>2427</v>
      </c>
      <c r="AA128" s="5">
        <f>AA7+AA18+AA30+AA41+AA52+AA63+AA74+AA85+AA96+AA107+AA117</f>
        <v>2184</v>
      </c>
      <c r="AB128" s="5">
        <f>AB7+AB18+AB30+AB41+AB52+AB63+AB74+AB85+AB96+AB107+AB117</f>
        <v>0</v>
      </c>
      <c r="AC128" s="6">
        <f>AC7+AC18+AC30+AC41+AC52+AC63+AC74+AC85+AC96+AC107+AC117</f>
        <v>471274</v>
      </c>
      <c r="AD128" s="233">
        <f t="shared" si="1835"/>
        <v>18949150</v>
      </c>
      <c r="AE128" s="5">
        <f>AE7+AE18+AE30+AE41+AE52+AE63+AE74+AE85+AE96+AE107+AE117</f>
        <v>20175</v>
      </c>
      <c r="AF128" s="5">
        <f>AF7+AF18+AF30+AF41+AF52+AF63+AF74+AF85+AF96+AF107+AF117</f>
        <v>29488</v>
      </c>
      <c r="AG128" s="5">
        <f>AG7+AG18+AG30+AG41+AG52+AG63+AG74+AG85+AG96+AG107+AG117</f>
        <v>99200</v>
      </c>
      <c r="AH128" s="5">
        <f>AH7+AH18+AH30+AH41+AH52+AH63+AH74+AH85+AH96+AH107+AH117</f>
        <v>18</v>
      </c>
      <c r="AI128" s="5">
        <f>AI7+AI18+AI30+AI41+AI52+AI63+AI74+AI85+AI96+AI107+AI117</f>
        <v>0</v>
      </c>
      <c r="AJ128" s="5">
        <f>AJ7+AJ18+AJ30+AJ41+AJ52+AJ63+AJ74+AJ85+AJ96+AJ107+AJ117</f>
        <v>11213</v>
      </c>
      <c r="AK128" s="5">
        <f>AK7+AK18+AK30+AK41+AK52+AK63+AK74+AK85+AK96+AK107+AK117</f>
        <v>689998</v>
      </c>
      <c r="AL128" s="5">
        <f>AL7+AL18+AL30+AL41+AL52+AL63+AL74+AL85+AL96+AL107+AL117</f>
        <v>490373</v>
      </c>
      <c r="AM128" s="5">
        <f>AM7+AM18+AM30+AM41+AM52+AM63+AM74+AM85+AM96+AM107+AM117</f>
        <v>3032488</v>
      </c>
      <c r="AN128" s="5">
        <f>AN7+AN18+AN30+AN41+AN52+AN63+AN74+AN85+AN96+AN107+AN117</f>
        <v>72141</v>
      </c>
      <c r="AO128" s="16">
        <f>AO7+AO18+AO30+AO41+AO52+AO63+AO74+AO85+AO96+AO107+AO117</f>
        <v>1511588</v>
      </c>
      <c r="AP128" s="5">
        <f>AP7+AP18+AP30+AP41+AP52+AP63+AP74+AP85+AP96+AP107+AP117</f>
        <v>7013297</v>
      </c>
      <c r="AQ128" s="6">
        <f>AQ7+AQ18+AQ30+AQ41+AQ52+AQ63+AQ74+AQ85+AQ96+AQ107+AQ117</f>
        <v>50206</v>
      </c>
      <c r="AR128" s="5">
        <f>AR7+AR18+AR30+AR41+AR52+AR63+AR74+AR85+AR96+AR107+AR117</f>
        <v>491733</v>
      </c>
      <c r="AS128" s="5">
        <f>AS7+AS18+AS30+AS41+AS52+AS63+AS74+AS85+AS96+AS107+AS117</f>
        <v>0</v>
      </c>
      <c r="AT128" s="5">
        <f>AT7+AT18+AT30+AT41+AT52+AT63+AT74+AT85+AT96+AT107+AT117</f>
        <v>0</v>
      </c>
      <c r="AU128" s="5">
        <f>AU7+AU18+AU30+AU41+AU52+AU63+AU74+AU85+AU96+AU107+AU117</f>
        <v>186075</v>
      </c>
      <c r="AV128" s="5">
        <f>AV7+AV18+AV30+AV41+AV52+AV63+AV74+AV85+AV96+AV107+AV117</f>
        <v>0</v>
      </c>
      <c r="AW128" s="5">
        <f>AW7+AW18+AW30+AW41+AW52+AW63+AW74+AW85+AW96+AW107+AW117</f>
        <v>6023</v>
      </c>
      <c r="AX128" s="5">
        <f>AX7+AX18+AX30+AX41+AX52+AX63+AX74+AX85+AX96+AX107+AX117</f>
        <v>6735</v>
      </c>
      <c r="AY128" s="5">
        <f>AY7+AY18+AY30+AY41+AY52+AY63+AY74+AY85+AY96+AY107+AY117</f>
        <v>3049</v>
      </c>
      <c r="AZ128" s="5">
        <f>AZ7+AZ18+AZ30+AZ41+AZ52+AZ63+AZ74+AZ85+AZ96+AZ107+AZ117</f>
        <v>124975</v>
      </c>
      <c r="BA128" s="5">
        <f>BA7+BA18+BA30+BA41+BA52+BA63+BA74+BA85+BA96+BA107+BA117</f>
        <v>327259</v>
      </c>
      <c r="BB128" s="6">
        <f>BB7+BB18+BB30+BB41+BB52+BB63+BB74+BB85+BB96+BB107+BB117</f>
        <v>323006</v>
      </c>
      <c r="BC128" s="5">
        <f>BC7+BC18+BC30+BC41+BC52+BC63+BC74+BC85+BC96+BC107+BC117</f>
        <v>72096</v>
      </c>
      <c r="BD128" s="5">
        <f>BD7+BD18+BD30+BD41+BD52+BD63+BD74+BD85+BD96+BD107+BD117</f>
        <v>72081</v>
      </c>
      <c r="BE128" s="5">
        <f>BE7+BE18+BE30+BE41+BE52+BE63+BE74+BE85+BE96+BE107+BE117</f>
        <v>8</v>
      </c>
      <c r="BF128" s="5">
        <f>BF7+BF18+BF30+BF41+BF52+BF63+BF74+BF85+BF96+BF107+BF117</f>
        <v>74158</v>
      </c>
      <c r="BG128" s="11">
        <f>BG7+BG18+BG30+BG41+BG52+BG63+BG74+BG85+BG96+BG107+BG117</f>
        <v>31401777</v>
      </c>
      <c r="BH128" s="9">
        <f>BH7+BH18+BH30+BH41+BH52+BH63+BH74+BH85+BH96+BH107+BH117</f>
        <v>46109160</v>
      </c>
      <c r="BI128" s="226">
        <f>AD128+BH128</f>
        <v>65058310</v>
      </c>
      <c r="BJ128" s="5">
        <f>BJ7+BJ18+BJ30+BJ41+BJ52+BJ63+BJ74+BJ85+BJ96+BJ107+BJ117</f>
        <v>30798612</v>
      </c>
      <c r="BK128" s="49">
        <f>BK7+BK18+BK30+BK41+BK52+BK63+BK74+BK85+BK96+BK107+BK117</f>
        <v>34259698</v>
      </c>
      <c r="BL128" s="30">
        <f>'Upto Month COPPY'!N61-'Upto Month COPPY'!M61</f>
        <v>34259702</v>
      </c>
      <c r="BM128" s="30">
        <f t="shared" si="1836"/>
        <v>15310548</v>
      </c>
    </row>
    <row r="129" spans="1:65" ht="15.75" x14ac:dyDescent="0.25">
      <c r="A129" s="128"/>
      <c r="B129" s="182" t="s">
        <v>326</v>
      </c>
      <c r="C129" s="5">
        <f>C8+C19+C31+C42+C53+C64+C75+C86+C97+C108+C118</f>
        <v>10754119</v>
      </c>
      <c r="D129" s="5">
        <f>D8+D19+D31+D42+D53+D64+D75+D86+D97+D108+D118</f>
        <v>2390389</v>
      </c>
      <c r="E129" s="5">
        <f>E8+E19+E31+E42+E53+E64+E75+E86+E97+E108+E118</f>
        <v>2773</v>
      </c>
      <c r="F129" s="5">
        <f>F8+F19+F31+F42+F53+F64+F75+F86+F97+F108+F118</f>
        <v>1198057</v>
      </c>
      <c r="G129" s="5">
        <f>G8+G19+G31+G42+G53+G64+G75+G86+G97+G108+G118</f>
        <v>602292</v>
      </c>
      <c r="H129" s="5">
        <f>H8+H19+H31+H42+H53+H64+H75+H86+H97+H108+H118</f>
        <v>1336482</v>
      </c>
      <c r="I129" s="5">
        <f>I8+I19+I31+I42+I53+I64+I75+I86+I97+I108+I118</f>
        <v>0</v>
      </c>
      <c r="J129" s="5">
        <f>J8+J19+J31+J42+J53+J64+J75+J86+J97+J108+J118</f>
        <v>915690</v>
      </c>
      <c r="K129" s="5">
        <f>K8+K19+K31+K42+K53+K64+K75+K86+K97+K108+K118</f>
        <v>7571</v>
      </c>
      <c r="L129" s="5">
        <f>L8+L19+L31+L42+L53+L64+L75+L86+L97+L108+L118</f>
        <v>162179</v>
      </c>
      <c r="M129" s="5">
        <f>M8+M19+M31+M42+M53+M64+M75+M86+M97+M108+M118</f>
        <v>713657</v>
      </c>
      <c r="N129" s="5">
        <f>N8+N19+N31+N42+N53+N64+N75+N86+N97+N108+N118</f>
        <v>8208</v>
      </c>
      <c r="O129" s="5">
        <f>O8+O19+O31+O42+O53+O64+O75+O86+O97+O108+O118</f>
        <v>27049</v>
      </c>
      <c r="P129" s="5">
        <f>P8+P19+P31+P42+P53+P64+P75+P86+P97+P108+P118</f>
        <v>493909</v>
      </c>
      <c r="Q129" s="5">
        <f>Q8+Q19+Q31+Q42+Q53+Q64+Q75+Q86+Q97+Q108+Q118</f>
        <v>0</v>
      </c>
      <c r="R129" s="5">
        <f>R8+R19+R31+R42+R53+R64+R75+R86+R97+R108+R118</f>
        <v>19647</v>
      </c>
      <c r="S129" s="5">
        <f>S8+S19+S31+S42+S53+S64+S75+S86+S97+S108+S118</f>
        <v>679938</v>
      </c>
      <c r="T129" s="5">
        <f>T8+T19+T31+T42+T53+T64+T75+T86+T97+T108+T118</f>
        <v>493865</v>
      </c>
      <c r="U129" s="5">
        <f>U8+U19+U31+U42+U53+U64+U75+U86+U97+U108+U118</f>
        <v>0</v>
      </c>
      <c r="V129" s="16">
        <f>V8+V19+V31+V42+V53+V64+V75+V86+V97+V108+V118</f>
        <v>180913</v>
      </c>
      <c r="W129" s="5">
        <f>W8+W19+W31+W42+W53+W64+W75+W86+W97+W108+W118</f>
        <v>0</v>
      </c>
      <c r="X129" s="5">
        <f>X8+X19+X31+X42+X53+X64+X75+X86+X97+X108+X118</f>
        <v>0</v>
      </c>
      <c r="Y129" s="5">
        <f>Y8+Y19+Y31+Y42+Y53+Y64+Y75+Y86+Y97+Y108+Y118</f>
        <v>68581</v>
      </c>
      <c r="Z129" s="5">
        <f>Z8+Z19+Z31+Z42+Z53+Z64+Z75+Z86+Z97+Z108+Z118</f>
        <v>7432</v>
      </c>
      <c r="AA129" s="5">
        <f>AA8+AA19+AA31+AA42+AA53+AA64+AA75+AA86+AA97+AA108+AA118</f>
        <v>10843</v>
      </c>
      <c r="AB129" s="5">
        <f>AB8+AB19+AB31+AB42+AB53+AB64+AB75+AB86+AB97+AB108+AB118</f>
        <v>2306</v>
      </c>
      <c r="AC129" s="6">
        <f>AC8+AC19+AC31+AC42+AC53+AC64+AC75+AC86+AC97+AC108+AC118</f>
        <v>580528</v>
      </c>
      <c r="AD129" s="233">
        <f t="shared" si="1835"/>
        <v>20656428</v>
      </c>
      <c r="AE129" s="5">
        <f>AE8+AE19+AE31+AE42+AE53+AE64+AE75+AE86+AE97+AE108+AE118</f>
        <v>17150</v>
      </c>
      <c r="AF129" s="5">
        <f>AF8+AF19+AF31+AF42+AF53+AF64+AF75+AF86+AF97+AF108+AF118</f>
        <v>14413</v>
      </c>
      <c r="AG129" s="5">
        <f>AG8+AG19+AG31+AG42+AG53+AG64+AG75+AG86+AG97+AG108+AG118</f>
        <v>81420</v>
      </c>
      <c r="AH129" s="5">
        <f>AH8+AH19+AH31+AH42+AH53+AH64+AH75+AH86+AH97+AH108+AH118</f>
        <v>41</v>
      </c>
      <c r="AI129" s="5">
        <f>AI8+AI19+AI31+AI42+AI53+AI64+AI75+AI86+AI97+AI108+AI118</f>
        <v>0</v>
      </c>
      <c r="AJ129" s="5">
        <f>AJ8+AJ19+AJ31+AJ42+AJ53+AJ64+AJ75+AJ86+AJ97+AJ108+AJ118</f>
        <v>8804</v>
      </c>
      <c r="AK129" s="5">
        <f>AK8+AK19+AK31+AK42+AK53+AK64+AK75+AK86+AK97+AK108+AK118</f>
        <v>758334</v>
      </c>
      <c r="AL129" s="5">
        <f>AL8+AL19+AL31+AL42+AL53+AL64+AL75+AL86+AL97+AL108+AL118</f>
        <v>356564</v>
      </c>
      <c r="AM129" s="5">
        <f>AM8+AM19+AM31+AM42+AM53+AM64+AM75+AM86+AM97+AM108+AM118</f>
        <v>4347393</v>
      </c>
      <c r="AN129" s="5">
        <f>AN8+AN19+AN31+AN42+AN53+AN64+AN75+AN86+AN97+AN108+AN118</f>
        <v>92928</v>
      </c>
      <c r="AO129" s="16">
        <f>AO8+AO19+AO31+AO42+AO53+AO64+AO75+AO86+AO97+AO108+AO118</f>
        <v>1416910</v>
      </c>
      <c r="AP129" s="5">
        <f>AP8+AP19+AP31+AP42+AP53+AP64+AP75+AP86+AP97+AP108+AP118</f>
        <v>7842767</v>
      </c>
      <c r="AQ129" s="6">
        <f>AQ8+AQ19+AQ31+AQ42+AQ53+AQ64+AQ75+AQ86+AQ97+AQ108+AQ118</f>
        <v>157456</v>
      </c>
      <c r="AR129" s="5">
        <f>AR8+AR19+AR31+AR42+AR53+AR64+AR75+AR86+AR97+AR108+AR118</f>
        <v>262972</v>
      </c>
      <c r="AS129" s="5">
        <f>AS8+AS19+AS31+AS42+AS53+AS64+AS75+AS86+AS97+AS108+AS118</f>
        <v>0</v>
      </c>
      <c r="AT129" s="5">
        <f>AT8+AT19+AT31+AT42+AT53+AT64+AT75+AT86+AT97+AT108+AT118</f>
        <v>0</v>
      </c>
      <c r="AU129" s="5">
        <f>AU8+AU19+AU31+AU42+AU53+AU64+AU75+AU86+AU97+AU108+AU118</f>
        <v>111026</v>
      </c>
      <c r="AV129" s="5">
        <f>AV8+AV19+AV31+AV42+AV53+AV64+AV75+AV86+AV97+AV108+AV118</f>
        <v>0</v>
      </c>
      <c r="AW129" s="5">
        <f>AW8+AW19+AW31+AW42+AW53+AW64+AW75+AW86+AW97+AW108+AW118</f>
        <v>6501</v>
      </c>
      <c r="AX129" s="5">
        <f>AX8+AX19+AX31+AX42+AX53+AX64+AX75+AX86+AX97+AX108+AX118</f>
        <v>7184</v>
      </c>
      <c r="AY129" s="5">
        <f>AY8+AY19+AY31+AY42+AY53+AY64+AY75+AY86+AY97+AY108+AY118</f>
        <v>3726</v>
      </c>
      <c r="AZ129" s="5">
        <f>AZ8+AZ19+AZ31+AZ42+AZ53+AZ64+AZ75+AZ86+AZ97+AZ108+AZ118</f>
        <v>475071</v>
      </c>
      <c r="BA129" s="5">
        <f>BA8+BA19+BA31+BA42+BA53+BA64+BA75+BA86+BA97+BA108+BA118</f>
        <v>909161</v>
      </c>
      <c r="BB129" s="6">
        <f>BB8+BB19+BB31+BB42+BB53+BB64+BB75+BB86+BB97+BB108+BB118</f>
        <v>577691</v>
      </c>
      <c r="BC129" s="5">
        <f>BC8+BC19+BC31+BC42+BC53+BC64+BC75+BC86+BC97+BC108+BC118</f>
        <v>68196</v>
      </c>
      <c r="BD129" s="5">
        <f>BD8+BD19+BD31+BD42+BD53+BD64+BD75+BD86+BD97+BD108+BD118</f>
        <v>67941</v>
      </c>
      <c r="BE129" s="5">
        <f>BE8+BE19+BE31+BE42+BE53+BE64+BE75+BE86+BE97+BE108+BE118</f>
        <v>0</v>
      </c>
      <c r="BF129" s="5">
        <f>BF8+BF19+BF31+BF42+BF53+BF64+BF75+BF86+BF97+BF108+BF118</f>
        <v>72158</v>
      </c>
      <c r="BG129" s="5">
        <f>BG8+BG19+BG31+BG42+BG53+BG64+BG75+BG86+BG97+BG108+BG118</f>
        <v>32155403</v>
      </c>
      <c r="BH129" s="16">
        <f>BH8+BH19+BH31+BH42+BH53+BH64+BH75+BH86+BH97+BH108+BH118</f>
        <v>49811210</v>
      </c>
      <c r="BI129" s="226">
        <f>AD129+BH129</f>
        <v>70467638</v>
      </c>
      <c r="BJ129" s="5">
        <f>BJ8+BJ19+BJ31+BJ42+BJ53+BJ64+BJ75+BJ86+BJ97+BJ108+BJ118</f>
        <v>32070111</v>
      </c>
      <c r="BK129" s="49">
        <f>BK8+BK19+BK31+BK42+BK53+BK64+BK75+BK86+BK97+BK108+BK118</f>
        <v>38397527</v>
      </c>
      <c r="BL129" s="30">
        <f>'Upto Month Current'!N61-'Upto Month Current'!M61</f>
        <v>38397525</v>
      </c>
      <c r="BM129" s="30">
        <f t="shared" si="1836"/>
        <v>17741099</v>
      </c>
    </row>
    <row r="130" spans="1:65" ht="15.75" x14ac:dyDescent="0.25">
      <c r="A130" s="128"/>
      <c r="B130" s="5" t="s">
        <v>132</v>
      </c>
      <c r="C130" s="11">
        <f>C129-C127</f>
        <v>-287459</v>
      </c>
      <c r="D130" s="11">
        <f t="shared" ref="D130" si="1837">D129-D127</f>
        <v>-297526</v>
      </c>
      <c r="E130" s="11">
        <f t="shared" ref="E130" si="1838">E129-E127</f>
        <v>2774</v>
      </c>
      <c r="F130" s="11">
        <f t="shared" ref="F130" si="1839">F129-F127</f>
        <v>-60532</v>
      </c>
      <c r="G130" s="11">
        <f t="shared" ref="G130" si="1840">G129-G127</f>
        <v>-49809</v>
      </c>
      <c r="H130" s="11">
        <f t="shared" ref="H130" si="1841">H129-H127</f>
        <v>60558</v>
      </c>
      <c r="I130" s="11">
        <f t="shared" ref="I130" si="1842">I129-I127</f>
        <v>0</v>
      </c>
      <c r="J130" s="11">
        <f t="shared" ref="J130" si="1843">J129-J127</f>
        <v>43321</v>
      </c>
      <c r="K130" s="11">
        <f t="shared" ref="K130" si="1844">K129-K127</f>
        <v>-44109.08</v>
      </c>
      <c r="L130" s="11">
        <f t="shared" ref="L130" si="1845">L129-L127</f>
        <v>-70944</v>
      </c>
      <c r="M130" s="11">
        <f t="shared" ref="M130" si="1846">M129-M127</f>
        <v>53886</v>
      </c>
      <c r="N130" s="11">
        <f t="shared" ref="N130" si="1847">N129-N127</f>
        <v>-3279</v>
      </c>
      <c r="O130" s="11">
        <f t="shared" ref="O130" si="1848">O129-O127</f>
        <v>-13896</v>
      </c>
      <c r="P130" s="11">
        <f t="shared" ref="P130" si="1849">P129-P127</f>
        <v>87823</v>
      </c>
      <c r="Q130" s="11">
        <f t="shared" ref="Q130" si="1850">Q129-Q127</f>
        <v>0</v>
      </c>
      <c r="R130" s="11">
        <f t="shared" ref="R130" si="1851">R129-R127</f>
        <v>-15920</v>
      </c>
      <c r="S130" s="11">
        <f t="shared" ref="S130" si="1852">S129-S127</f>
        <v>38911</v>
      </c>
      <c r="T130" s="11">
        <f t="shared" ref="T130:U130" si="1853">T129-T127</f>
        <v>128012</v>
      </c>
      <c r="U130" s="11">
        <f t="shared" si="1853"/>
        <v>0</v>
      </c>
      <c r="V130" s="9">
        <f t="shared" ref="V130" si="1854">V129-V127</f>
        <v>29128</v>
      </c>
      <c r="W130" s="11">
        <f t="shared" ref="W130" si="1855">W129-W127</f>
        <v>-441</v>
      </c>
      <c r="X130" s="11">
        <f t="shared" ref="X130" si="1856">X129-X127</f>
        <v>-178</v>
      </c>
      <c r="Y130" s="11">
        <f t="shared" ref="Y130" si="1857">Y129-Y127</f>
        <v>56916</v>
      </c>
      <c r="Z130" s="11">
        <f t="shared" ref="Z130" si="1858">Z129-Z127</f>
        <v>6088</v>
      </c>
      <c r="AA130" s="11">
        <f t="shared" ref="AA130:AD130" si="1859">AA129-AA127</f>
        <v>7552</v>
      </c>
      <c r="AB130" s="11">
        <f t="shared" ref="AB130" si="1860">AB129-AB127</f>
        <v>-17816</v>
      </c>
      <c r="AC130" s="10">
        <f t="shared" si="1859"/>
        <v>-5464</v>
      </c>
      <c r="AD130" s="227">
        <f t="shared" si="1859"/>
        <v>-352404.07999999821</v>
      </c>
      <c r="AE130" s="11">
        <f t="shared" ref="AE130" si="1861">AE129-AE127</f>
        <v>-7592</v>
      </c>
      <c r="AF130" s="11">
        <f t="shared" ref="AF130" si="1862">AF129-AF127</f>
        <v>-2898</v>
      </c>
      <c r="AG130" s="11">
        <f t="shared" ref="AG130" si="1863">AG129-AG127</f>
        <v>49562</v>
      </c>
      <c r="AH130" s="11">
        <f t="shared" ref="AH130" si="1864">AH129-AH127</f>
        <v>41</v>
      </c>
      <c r="AI130" s="11">
        <f t="shared" ref="AI130" si="1865">AI129-AI127</f>
        <v>0</v>
      </c>
      <c r="AJ130" s="11">
        <f t="shared" ref="AJ130" si="1866">AJ129-AJ127</f>
        <v>-982</v>
      </c>
      <c r="AK130" s="11">
        <f t="shared" ref="AK130" si="1867">AK129-AK127</f>
        <v>159609</v>
      </c>
      <c r="AL130" s="11">
        <f t="shared" ref="AL130" si="1868">AL129-AL127</f>
        <v>-125597</v>
      </c>
      <c r="AM130" s="11" t="e">
        <f t="shared" ref="AM130" si="1869">AM129-AM127</f>
        <v>#VALUE!</v>
      </c>
      <c r="AN130" s="11">
        <f t="shared" ref="AN130" si="1870">AN129-AN127</f>
        <v>35081</v>
      </c>
      <c r="AO130" s="9">
        <f t="shared" ref="AO130" si="1871">AO129-AO127</f>
        <v>76917</v>
      </c>
      <c r="AP130" s="11">
        <f t="shared" ref="AP130" si="1872">AP129-AP127</f>
        <v>491305.63999999966</v>
      </c>
      <c r="AQ130" s="10">
        <f t="shared" ref="AQ130" si="1873">AQ129-AQ127</f>
        <v>93223</v>
      </c>
      <c r="AR130" s="11">
        <f t="shared" ref="AR130" si="1874">AR129-AR127</f>
        <v>-84388</v>
      </c>
      <c r="AS130" s="11">
        <f t="shared" ref="AS130" si="1875">AS129-AS127</f>
        <v>0</v>
      </c>
      <c r="AT130" s="11">
        <f t="shared" ref="AT130" si="1876">AT129-AT127</f>
        <v>0</v>
      </c>
      <c r="AU130" s="11">
        <f t="shared" ref="AU130" si="1877">AU129-AU127</f>
        <v>-42209</v>
      </c>
      <c r="AV130" s="11">
        <f t="shared" ref="AV130" si="1878">AV129-AV127</f>
        <v>0</v>
      </c>
      <c r="AW130" s="11">
        <f t="shared" ref="AW130" si="1879">AW129-AW127</f>
        <v>-5177</v>
      </c>
      <c r="AX130" s="11">
        <f t="shared" ref="AX130" si="1880">AX129-AX127</f>
        <v>-795</v>
      </c>
      <c r="AY130" s="11">
        <f t="shared" ref="AY130" si="1881">AY129-AY127</f>
        <v>249</v>
      </c>
      <c r="AZ130" s="11">
        <f t="shared" ref="AZ130" si="1882">AZ129-AZ127</f>
        <v>335449</v>
      </c>
      <c r="BA130" s="11">
        <f t="shared" ref="BA130" si="1883">BA129-BA127</f>
        <v>671072</v>
      </c>
      <c r="BB130" s="10">
        <f t="shared" ref="BB130" si="1884">BB129-BB127</f>
        <v>242410</v>
      </c>
      <c r="BC130" s="11">
        <f t="shared" ref="BC130" si="1885">BC129-BC127</f>
        <v>2717</v>
      </c>
      <c r="BD130" s="11">
        <f t="shared" ref="BD130" si="1886">BD129-BD127</f>
        <v>2490</v>
      </c>
      <c r="BE130" s="11">
        <f t="shared" ref="BE130" si="1887">BE129-BE127</f>
        <v>-112</v>
      </c>
      <c r="BF130" s="11">
        <f t="shared" ref="BF130" si="1888">BF129-BF127</f>
        <v>15141</v>
      </c>
      <c r="BG130" s="11">
        <f t="shared" ref="BG130" si="1889">BG129-BG127</f>
        <v>31594769</v>
      </c>
      <c r="BH130" s="9">
        <f t="shared" ref="BH130:BI130" si="1890">BH129-BH127</f>
        <v>34461849.640000001</v>
      </c>
      <c r="BI130" s="227">
        <f t="shared" si="1890"/>
        <v>34109445.560000002</v>
      </c>
      <c r="BJ130" s="11">
        <f t="shared" ref="BJ130" si="1891">BJ129-BJ127</f>
        <v>31674840</v>
      </c>
      <c r="BK130" s="49">
        <f t="shared" ref="BK130" si="1892">BK129-BK127</f>
        <v>2434605.5600000024</v>
      </c>
      <c r="BM130" s="30">
        <f t="shared" si="1836"/>
        <v>2787009.6400000006</v>
      </c>
    </row>
    <row r="131" spans="1:65" ht="15.75" x14ac:dyDescent="0.25">
      <c r="A131" s="128"/>
      <c r="B131" s="5" t="s">
        <v>133</v>
      </c>
      <c r="C131" s="13">
        <f>C130/C127</f>
        <v>-2.6034231701302115E-2</v>
      </c>
      <c r="D131" s="13">
        <f t="shared" ref="D131" si="1893">D130/D127</f>
        <v>-0.11069025620229807</v>
      </c>
      <c r="E131" s="13">
        <f t="shared" ref="E131" si="1894">E130/E127</f>
        <v>-2774</v>
      </c>
      <c r="F131" s="13">
        <f t="shared" ref="F131" si="1895">F130/F127</f>
        <v>-4.80951287513239E-2</v>
      </c>
      <c r="G131" s="13">
        <f t="shared" ref="G131" si="1896">G130/G127</f>
        <v>-7.6382339545561187E-2</v>
      </c>
      <c r="H131" s="13">
        <f t="shared" ref="H131" si="1897">H130/H127</f>
        <v>4.7462074543624853E-2</v>
      </c>
      <c r="I131" s="13" t="e">
        <f t="shared" ref="I131" si="1898">I130/I127</f>
        <v>#DIV/0!</v>
      </c>
      <c r="J131" s="13">
        <f t="shared" ref="J131" si="1899">J130/J127</f>
        <v>4.9659031900491653E-2</v>
      </c>
      <c r="K131" s="13">
        <f t="shared" ref="K131" si="1900">K130/K127</f>
        <v>-0.85350254875766451</v>
      </c>
      <c r="L131" s="13">
        <f t="shared" ref="L131" si="1901">L130/L127</f>
        <v>-0.30432003706198013</v>
      </c>
      <c r="M131" s="13">
        <f t="shared" ref="M131" si="1902">M130/M127</f>
        <v>8.1673792876619314E-2</v>
      </c>
      <c r="N131" s="13">
        <f t="shared" ref="N131" si="1903">N130/N127</f>
        <v>-0.28545312091930009</v>
      </c>
      <c r="O131" s="13">
        <f t="shared" ref="O131" si="1904">O130/O127</f>
        <v>-0.33938209793625596</v>
      </c>
      <c r="P131" s="13">
        <f t="shared" ref="P131" si="1905">P130/P127</f>
        <v>0.21626699763104368</v>
      </c>
      <c r="Q131" s="13" t="e">
        <f t="shared" ref="Q131" si="1906">Q130/Q127</f>
        <v>#DIV/0!</v>
      </c>
      <c r="R131" s="13">
        <f t="shared" ref="R131" si="1907">R130/R127</f>
        <v>-0.44760592684229761</v>
      </c>
      <c r="S131" s="13">
        <f t="shared" ref="S131" si="1908">S130/S127</f>
        <v>6.0701031313813616E-2</v>
      </c>
      <c r="T131" s="13">
        <f t="shared" ref="T131:U131" si="1909">T130/T127</f>
        <v>0.34990009648684034</v>
      </c>
      <c r="U131" s="13" t="e">
        <f t="shared" si="1909"/>
        <v>#DIV/0!</v>
      </c>
      <c r="V131" s="162">
        <f t="shared" ref="V131" si="1910">V130/V127</f>
        <v>0.19190302072009752</v>
      </c>
      <c r="W131" s="13">
        <f t="shared" ref="W131" si="1911">W130/W127</f>
        <v>-1</v>
      </c>
      <c r="X131" s="13">
        <f t="shared" ref="X131" si="1912">X130/X127</f>
        <v>-1</v>
      </c>
      <c r="Y131" s="13">
        <f t="shared" ref="Y131" si="1913">Y130/Y127</f>
        <v>4.8792113159022721</v>
      </c>
      <c r="Z131" s="13">
        <f t="shared" ref="Z131" si="1914">Z130/Z127</f>
        <v>4.5297619047619051</v>
      </c>
      <c r="AA131" s="13">
        <f t="shared" ref="AA131:AD131" si="1915">AA130/AA127</f>
        <v>2.2947432391370404</v>
      </c>
      <c r="AB131" s="13">
        <f t="shared" ref="AB131" si="1916">AB130/AB127</f>
        <v>-0.88539906569923466</v>
      </c>
      <c r="AC131" s="14">
        <f t="shared" si="1915"/>
        <v>-9.3243593769198208E-3</v>
      </c>
      <c r="AD131" s="228">
        <f t="shared" si="1915"/>
        <v>-1.6774091898972342E-2</v>
      </c>
      <c r="AE131" s="13">
        <f t="shared" ref="AE131" si="1917">AE130/AE127</f>
        <v>-0.30684665750545631</v>
      </c>
      <c r="AF131" s="13">
        <f t="shared" ref="AF131" si="1918">AF130/AF127</f>
        <v>-0.16740800646987464</v>
      </c>
      <c r="AG131" s="13">
        <f t="shared" ref="AG131" si="1919">AG130/AG127</f>
        <v>1.5557159897043129</v>
      </c>
      <c r="AH131" s="13" t="e">
        <f t="shared" ref="AH131" si="1920">AH130/AH127</f>
        <v>#DIV/0!</v>
      </c>
      <c r="AI131" s="13" t="e">
        <f t="shared" ref="AI131" si="1921">AI130/AI127</f>
        <v>#DIV/0!</v>
      </c>
      <c r="AJ131" s="13">
        <f t="shared" ref="AJ131" si="1922">AJ130/AJ127</f>
        <v>-0.10034743511138361</v>
      </c>
      <c r="AK131" s="13">
        <f t="shared" ref="AK131" si="1923">AK130/AK127</f>
        <v>0.26658148565702117</v>
      </c>
      <c r="AL131" s="13">
        <f t="shared" ref="AL131" si="1924">AL130/AL127</f>
        <v>-0.26048767942658158</v>
      </c>
      <c r="AM131" s="13" t="e">
        <f t="shared" ref="AM131" si="1925">AM130/AM127</f>
        <v>#VALUE!</v>
      </c>
      <c r="AN131" s="13">
        <f t="shared" ref="AN131" si="1926">AN130/AN127</f>
        <v>0.60644458658184519</v>
      </c>
      <c r="AO131" s="162">
        <f t="shared" ref="AO131" si="1927">AO130/AO127</f>
        <v>5.7401046124867815E-2</v>
      </c>
      <c r="AP131" s="13">
        <f t="shared" ref="AP131" si="1928">AP130/AP127</f>
        <v>6.6831017119023478E-2</v>
      </c>
      <c r="AQ131" s="14">
        <f t="shared" ref="AQ131" si="1929">AQ130/AQ127</f>
        <v>1.4513256425824732</v>
      </c>
      <c r="AR131" s="13">
        <f t="shared" ref="AR131" si="1930">AR130/AR127</f>
        <v>-0.24294104099493322</v>
      </c>
      <c r="AS131" s="13" t="e">
        <f t="shared" ref="AS131" si="1931">AS130/AS127</f>
        <v>#DIV/0!</v>
      </c>
      <c r="AT131" s="13" t="e">
        <f t="shared" ref="AT131" si="1932">AT130/AT127</f>
        <v>#DIV/0!</v>
      </c>
      <c r="AU131" s="13">
        <f t="shared" ref="AU131" si="1933">AU130/AU127</f>
        <v>-0.2754527359937351</v>
      </c>
      <c r="AV131" s="13" t="e">
        <f t="shared" ref="AV131" si="1934">AV130/AV127</f>
        <v>#DIV/0!</v>
      </c>
      <c r="AW131" s="13">
        <f t="shared" ref="AW131" si="1935">AW130/AW127</f>
        <v>-0.44331221099503337</v>
      </c>
      <c r="AX131" s="13">
        <f t="shared" ref="AX131" si="1936">AX130/AX127</f>
        <v>-9.9636545933074319E-2</v>
      </c>
      <c r="AY131" s="13">
        <f t="shared" ref="AY131" si="1937">AY130/AY127</f>
        <v>7.1613459879206212E-2</v>
      </c>
      <c r="AZ131" s="13">
        <f t="shared" ref="AZ131" si="1938">AZ130/AZ127</f>
        <v>2.4025511738837717</v>
      </c>
      <c r="BA131" s="13">
        <f t="shared" ref="BA131" si="1939">BA130/BA127</f>
        <v>2.8185762466976634</v>
      </c>
      <c r="BB131" s="14">
        <f t="shared" ref="BB131" si="1940">BB130/BB127</f>
        <v>0.7230054789862832</v>
      </c>
      <c r="BC131" s="13">
        <f t="shared" ref="BC131" si="1941">BC130/BC127</f>
        <v>4.1494219520762383E-2</v>
      </c>
      <c r="BD131" s="13">
        <f t="shared" ref="BD131" si="1942">BD130/BD127</f>
        <v>3.8043727368565795E-2</v>
      </c>
      <c r="BE131" s="13">
        <f t="shared" ref="BE131" si="1943">BE130/BE127</f>
        <v>-1</v>
      </c>
      <c r="BF131" s="13">
        <f t="shared" ref="BF131" si="1944">BF130/BF127</f>
        <v>0.26555237911500079</v>
      </c>
      <c r="BG131" s="13">
        <f t="shared" ref="BG131" si="1945">BG130/BG127</f>
        <v>56.355427961914543</v>
      </c>
      <c r="BH131" s="162">
        <f t="shared" ref="BH131:BI131" si="1946">BH130/BH127</f>
        <v>2.2451651946231328</v>
      </c>
      <c r="BI131" s="228">
        <f t="shared" si="1946"/>
        <v>0.93815020139653582</v>
      </c>
      <c r="BJ131" s="13">
        <f t="shared" ref="BJ131" si="1947">BJ130/BJ127</f>
        <v>80.134490008121006</v>
      </c>
      <c r="BK131" s="50">
        <f t="shared" ref="BK131" si="1948">BK130/BK127</f>
        <v>6.769765810216119E-2</v>
      </c>
      <c r="BM131" s="162">
        <f t="shared" ref="BM131" si="1949">BM130/BM127</f>
        <v>0.1863710703411231</v>
      </c>
    </row>
    <row r="132" spans="1:65" ht="15.75" x14ac:dyDescent="0.25">
      <c r="A132" s="128"/>
      <c r="B132" s="5" t="s">
        <v>134</v>
      </c>
      <c r="C132" s="11">
        <f>C129-C128</f>
        <v>296114</v>
      </c>
      <c r="D132" s="11">
        <f t="shared" ref="D132:BK132" si="1950">D129-D128</f>
        <v>556250</v>
      </c>
      <c r="E132" s="11">
        <f t="shared" si="1950"/>
        <v>-3465</v>
      </c>
      <c r="F132" s="11">
        <f t="shared" si="1950"/>
        <v>105964</v>
      </c>
      <c r="G132" s="11">
        <f t="shared" si="1950"/>
        <v>39796</v>
      </c>
      <c r="H132" s="11">
        <f t="shared" si="1950"/>
        <v>123317</v>
      </c>
      <c r="I132" s="11">
        <f t="shared" si="1950"/>
        <v>0</v>
      </c>
      <c r="J132" s="11">
        <f t="shared" si="1950"/>
        <v>184785</v>
      </c>
      <c r="K132" s="11">
        <f t="shared" si="1950"/>
        <v>-21918</v>
      </c>
      <c r="L132" s="11">
        <f t="shared" si="1950"/>
        <v>-83164</v>
      </c>
      <c r="M132" s="11">
        <f t="shared" si="1950"/>
        <v>58803</v>
      </c>
      <c r="N132" s="11">
        <f t="shared" si="1950"/>
        <v>2041</v>
      </c>
      <c r="O132" s="11">
        <f t="shared" si="1950"/>
        <v>3418</v>
      </c>
      <c r="P132" s="11">
        <f t="shared" si="1950"/>
        <v>43223</v>
      </c>
      <c r="Q132" s="11">
        <f t="shared" si="1950"/>
        <v>0</v>
      </c>
      <c r="R132" s="11">
        <f t="shared" si="1950"/>
        <v>6826</v>
      </c>
      <c r="S132" s="11">
        <f t="shared" si="1950"/>
        <v>114694</v>
      </c>
      <c r="T132" s="11">
        <f t="shared" si="1950"/>
        <v>109000</v>
      </c>
      <c r="U132" s="11">
        <f t="shared" ref="U132" si="1951">U129-U128</f>
        <v>-848</v>
      </c>
      <c r="V132" s="9">
        <f t="shared" si="1950"/>
        <v>-989</v>
      </c>
      <c r="W132" s="11">
        <f t="shared" si="1950"/>
        <v>-442</v>
      </c>
      <c r="X132" s="11">
        <f t="shared" si="1950"/>
        <v>0</v>
      </c>
      <c r="Y132" s="11">
        <f t="shared" si="1950"/>
        <v>48649</v>
      </c>
      <c r="Z132" s="11">
        <f t="shared" si="1950"/>
        <v>5005</v>
      </c>
      <c r="AA132" s="11">
        <f t="shared" si="1950"/>
        <v>8659</v>
      </c>
      <c r="AB132" s="11">
        <f t="shared" ref="AB132" si="1952">AB129-AB128</f>
        <v>2306</v>
      </c>
      <c r="AC132" s="10">
        <f t="shared" ref="AC132:AD132" si="1953">AC129-AC128</f>
        <v>109254</v>
      </c>
      <c r="AD132" s="227">
        <f t="shared" si="1953"/>
        <v>1707278</v>
      </c>
      <c r="AE132" s="11">
        <f t="shared" si="1950"/>
        <v>-3025</v>
      </c>
      <c r="AF132" s="11">
        <f t="shared" si="1950"/>
        <v>-15075</v>
      </c>
      <c r="AG132" s="11">
        <f t="shared" si="1950"/>
        <v>-17780</v>
      </c>
      <c r="AH132" s="11">
        <f t="shared" si="1950"/>
        <v>23</v>
      </c>
      <c r="AI132" s="11">
        <f t="shared" si="1950"/>
        <v>0</v>
      </c>
      <c r="AJ132" s="11">
        <f t="shared" si="1950"/>
        <v>-2409</v>
      </c>
      <c r="AK132" s="11">
        <f t="shared" si="1950"/>
        <v>68336</v>
      </c>
      <c r="AL132" s="11">
        <f t="shared" si="1950"/>
        <v>-133809</v>
      </c>
      <c r="AM132" s="11">
        <f t="shared" si="1950"/>
        <v>1314905</v>
      </c>
      <c r="AN132" s="11">
        <f t="shared" si="1950"/>
        <v>20787</v>
      </c>
      <c r="AO132" s="9">
        <f t="shared" si="1950"/>
        <v>-94678</v>
      </c>
      <c r="AP132" s="11">
        <f t="shared" si="1950"/>
        <v>829470</v>
      </c>
      <c r="AQ132" s="10">
        <f t="shared" si="1950"/>
        <v>107250</v>
      </c>
      <c r="AR132" s="11">
        <f t="shared" si="1950"/>
        <v>-228761</v>
      </c>
      <c r="AS132" s="11">
        <f t="shared" si="1950"/>
        <v>0</v>
      </c>
      <c r="AT132" s="11">
        <f t="shared" si="1950"/>
        <v>0</v>
      </c>
      <c r="AU132" s="11">
        <f t="shared" si="1950"/>
        <v>-75049</v>
      </c>
      <c r="AV132" s="11">
        <f t="shared" si="1950"/>
        <v>0</v>
      </c>
      <c r="AW132" s="11">
        <f t="shared" si="1950"/>
        <v>478</v>
      </c>
      <c r="AX132" s="11">
        <f t="shared" si="1950"/>
        <v>449</v>
      </c>
      <c r="AY132" s="11">
        <f t="shared" si="1950"/>
        <v>677</v>
      </c>
      <c r="AZ132" s="11">
        <f t="shared" si="1950"/>
        <v>350096</v>
      </c>
      <c r="BA132" s="11">
        <f t="shared" si="1950"/>
        <v>581902</v>
      </c>
      <c r="BB132" s="10">
        <f t="shared" si="1950"/>
        <v>254685</v>
      </c>
      <c r="BC132" s="11">
        <f t="shared" si="1950"/>
        <v>-3900</v>
      </c>
      <c r="BD132" s="11">
        <f t="shared" si="1950"/>
        <v>-4140</v>
      </c>
      <c r="BE132" s="11">
        <f t="shared" si="1950"/>
        <v>-8</v>
      </c>
      <c r="BF132" s="11">
        <f t="shared" si="1950"/>
        <v>-2000</v>
      </c>
      <c r="BG132" s="11">
        <f t="shared" si="1950"/>
        <v>753626</v>
      </c>
      <c r="BH132" s="9">
        <f t="shared" si="1950"/>
        <v>3702050</v>
      </c>
      <c r="BI132" s="227">
        <f t="shared" si="1950"/>
        <v>5409328</v>
      </c>
      <c r="BJ132" s="11">
        <f t="shared" si="1950"/>
        <v>1271499</v>
      </c>
      <c r="BK132" s="49">
        <f t="shared" si="1950"/>
        <v>4137829</v>
      </c>
      <c r="BM132" s="30">
        <f t="shared" si="1836"/>
        <v>2430551</v>
      </c>
    </row>
    <row r="133" spans="1:65" ht="15.75" x14ac:dyDescent="0.25">
      <c r="A133" s="128"/>
      <c r="B133" s="5" t="s">
        <v>135</v>
      </c>
      <c r="C133" s="13">
        <f>C132/C128</f>
        <v>2.8314578162852284E-2</v>
      </c>
      <c r="D133" s="13">
        <f t="shared" ref="D133" si="1954">D132/D128</f>
        <v>0.30327581497367428</v>
      </c>
      <c r="E133" s="13">
        <f t="shared" ref="E133" si="1955">E132/E128</f>
        <v>-0.5554664956716896</v>
      </c>
      <c r="F133" s="13">
        <f t="shared" ref="F133" si="1956">F132/F128</f>
        <v>9.7028366631779522E-2</v>
      </c>
      <c r="G133" s="13">
        <f t="shared" ref="G133" si="1957">G132/G128</f>
        <v>7.0748947548071456E-2</v>
      </c>
      <c r="H133" s="13">
        <f t="shared" ref="H133" si="1958">H132/H128</f>
        <v>0.10164899251132369</v>
      </c>
      <c r="I133" s="13" t="e">
        <f t="shared" ref="I133" si="1959">I132/I128</f>
        <v>#DIV/0!</v>
      </c>
      <c r="J133" s="13">
        <f t="shared" ref="J133" si="1960">J132/J128</f>
        <v>0.25281671352638169</v>
      </c>
      <c r="K133" s="13">
        <f t="shared" ref="K133" si="1961">K132/K128</f>
        <v>-0.74326019871816607</v>
      </c>
      <c r="L133" s="13">
        <f t="shared" ref="L133" si="1962">L132/L128</f>
        <v>-0.3389703394839062</v>
      </c>
      <c r="M133" s="13">
        <f t="shared" ref="M133" si="1963">M132/M128</f>
        <v>8.9795588024200818E-2</v>
      </c>
      <c r="N133" s="13">
        <f t="shared" ref="N133" si="1964">N132/N128</f>
        <v>0.33095508350899949</v>
      </c>
      <c r="O133" s="13">
        <f t="shared" ref="O133" si="1965">O132/O128</f>
        <v>0.14464051457830815</v>
      </c>
      <c r="P133" s="13">
        <f t="shared" ref="P133" si="1966">P132/P128</f>
        <v>9.5904909404774058E-2</v>
      </c>
      <c r="Q133" s="13" t="e">
        <f t="shared" ref="Q133" si="1967">Q132/Q128</f>
        <v>#DIV/0!</v>
      </c>
      <c r="R133" s="13">
        <f t="shared" ref="R133" si="1968">R132/R128</f>
        <v>0.53240776850479676</v>
      </c>
      <c r="S133" s="13">
        <f t="shared" ref="S133" si="1969">S132/S128</f>
        <v>0.20291060143937839</v>
      </c>
      <c r="T133" s="13">
        <f t="shared" ref="T133:U133" si="1970">T132/T128</f>
        <v>0.28321619269094356</v>
      </c>
      <c r="U133" s="13">
        <f t="shared" si="1970"/>
        <v>-1</v>
      </c>
      <c r="V133" s="162">
        <f t="shared" ref="V133" si="1971">V132/V128</f>
        <v>-5.4369935459753051E-3</v>
      </c>
      <c r="W133" s="13">
        <f t="shared" ref="W133" si="1972">W132/W128</f>
        <v>-1</v>
      </c>
      <c r="X133" s="13" t="e">
        <f t="shared" ref="X133" si="1973">X132/X128</f>
        <v>#DIV/0!</v>
      </c>
      <c r="Y133" s="13">
        <f t="shared" ref="Y133" si="1974">Y132/Y128</f>
        <v>2.440748545053181</v>
      </c>
      <c r="Z133" s="13">
        <f t="shared" ref="Z133" si="1975">Z132/Z128</f>
        <v>2.0622167284713639</v>
      </c>
      <c r="AA133" s="13">
        <f t="shared" ref="AA133:AD133" si="1976">AA132/AA128</f>
        <v>3.9647435897435899</v>
      </c>
      <c r="AB133" s="13" t="e">
        <f t="shared" ref="AB133" si="1977">AB132/AB128</f>
        <v>#DIV/0!</v>
      </c>
      <c r="AC133" s="14">
        <f t="shared" si="1976"/>
        <v>0.23182692022050866</v>
      </c>
      <c r="AD133" s="228">
        <f t="shared" si="1976"/>
        <v>9.0097867186654815E-2</v>
      </c>
      <c r="AE133" s="13">
        <f t="shared" ref="AE133" si="1978">AE132/AE128</f>
        <v>-0.14993804213135067</v>
      </c>
      <c r="AF133" s="13">
        <f t="shared" ref="AF133" si="1979">AF132/AF128</f>
        <v>-0.5112249050461205</v>
      </c>
      <c r="AG133" s="13">
        <f t="shared" ref="AG133" si="1980">AG132/AG128</f>
        <v>-0.17923387096774193</v>
      </c>
      <c r="AH133" s="13">
        <f t="shared" ref="AH133" si="1981">AH132/AH128</f>
        <v>1.2777777777777777</v>
      </c>
      <c r="AI133" s="13" t="e">
        <f t="shared" ref="AI133" si="1982">AI132/AI128</f>
        <v>#DIV/0!</v>
      </c>
      <c r="AJ133" s="13">
        <f t="shared" ref="AJ133" si="1983">AJ132/AJ128</f>
        <v>-0.2148399179523767</v>
      </c>
      <c r="AK133" s="13">
        <f t="shared" ref="AK133" si="1984">AK132/AK128</f>
        <v>9.9037968225994852E-2</v>
      </c>
      <c r="AL133" s="13">
        <f t="shared" ref="AL133" si="1985">AL132/AL128</f>
        <v>-0.27287187508284511</v>
      </c>
      <c r="AM133" s="13">
        <f t="shared" ref="AM133" si="1986">AM132/AM128</f>
        <v>0.43360600272779315</v>
      </c>
      <c r="AN133" s="13">
        <f t="shared" ref="AN133" si="1987">AN132/AN128</f>
        <v>0.28814405123300202</v>
      </c>
      <c r="AO133" s="162">
        <f t="shared" ref="AO133" si="1988">AO132/AO128</f>
        <v>-6.2634792020047791E-2</v>
      </c>
      <c r="AP133" s="13">
        <f t="shared" ref="AP133" si="1989">AP132/AP128</f>
        <v>0.11827104997834827</v>
      </c>
      <c r="AQ133" s="14">
        <f t="shared" ref="AQ133" si="1990">AQ132/AQ128</f>
        <v>2.1361988606939408</v>
      </c>
      <c r="AR133" s="13">
        <f t="shared" ref="AR133" si="1991">AR132/AR128</f>
        <v>-0.46521384572522079</v>
      </c>
      <c r="AS133" s="13" t="e">
        <f t="shared" ref="AS133" si="1992">AS132/AS128</f>
        <v>#DIV/0!</v>
      </c>
      <c r="AT133" s="13" t="e">
        <f t="shared" ref="AT133" si="1993">AT132/AT128</f>
        <v>#DIV/0!</v>
      </c>
      <c r="AU133" s="13">
        <f t="shared" ref="AU133" si="1994">AU132/AU128</f>
        <v>-0.40332661561198441</v>
      </c>
      <c r="AV133" s="13" t="e">
        <f t="shared" ref="AV133" si="1995">AV132/AV128</f>
        <v>#DIV/0!</v>
      </c>
      <c r="AW133" s="13">
        <f t="shared" ref="AW133" si="1996">AW132/AW128</f>
        <v>7.9362443964801591E-2</v>
      </c>
      <c r="AX133" s="13">
        <f t="shared" ref="AX133" si="1997">AX132/AX128</f>
        <v>6.6666666666666666E-2</v>
      </c>
      <c r="AY133" s="13">
        <f t="shared" ref="AY133" si="1998">AY132/AY128</f>
        <v>0.22204001311905544</v>
      </c>
      <c r="AZ133" s="13">
        <f t="shared" ref="AZ133" si="1999">AZ132/AZ128</f>
        <v>2.8013282656531304</v>
      </c>
      <c r="BA133" s="13">
        <f t="shared" ref="BA133" si="2000">BA132/BA128</f>
        <v>1.7781084706608528</v>
      </c>
      <c r="BB133" s="14">
        <f t="shared" ref="BB133" si="2001">BB132/BB128</f>
        <v>0.78848380525439155</v>
      </c>
      <c r="BC133" s="13">
        <f t="shared" ref="BC133" si="2002">BC132/BC128</f>
        <v>-5.4094540612516645E-2</v>
      </c>
      <c r="BD133" s="13">
        <f t="shared" ref="BD133" si="2003">BD132/BD128</f>
        <v>-5.7435385191659381E-2</v>
      </c>
      <c r="BE133" s="13">
        <f t="shared" ref="BE133" si="2004">BE132/BE128</f>
        <v>-1</v>
      </c>
      <c r="BF133" s="13">
        <f t="shared" ref="BF133" si="2005">BF132/BF128</f>
        <v>-2.6969443620378113E-2</v>
      </c>
      <c r="BG133" s="13">
        <f t="shared" ref="BG133" si="2006">BG132/BG128</f>
        <v>2.3999469838920262E-2</v>
      </c>
      <c r="BH133" s="162">
        <f t="shared" ref="BH133:BI133" si="2007">BH132/BH128</f>
        <v>8.0288818967858014E-2</v>
      </c>
      <c r="BI133" s="228">
        <f t="shared" si="2007"/>
        <v>8.3145842552627025E-2</v>
      </c>
      <c r="BJ133" s="13">
        <f t="shared" ref="BJ133" si="2008">BJ132/BJ128</f>
        <v>4.1284295539032734E-2</v>
      </c>
      <c r="BK133" s="50">
        <f t="shared" ref="BK133" si="2009">BK132/BK128</f>
        <v>0.1207783267675039</v>
      </c>
      <c r="BM133" s="14">
        <f t="shared" ref="BM133" si="2010">BM132/BM128</f>
        <v>0.1587500982982451</v>
      </c>
    </row>
    <row r="134" spans="1:65" ht="15.75" x14ac:dyDescent="0.25">
      <c r="A134" s="128"/>
      <c r="B134" s="5" t="s">
        <v>296</v>
      </c>
      <c r="C134" s="126">
        <f>C129/C126</f>
        <v>0.42854484335034199</v>
      </c>
      <c r="D134" s="126">
        <f t="shared" ref="D134:BK134" si="2011">D129/D126</f>
        <v>0.31619663330519332</v>
      </c>
      <c r="E134" s="126">
        <f t="shared" si="2011"/>
        <v>2.7973904473100968E-3</v>
      </c>
      <c r="F134" s="126">
        <f t="shared" si="2011"/>
        <v>0.41883060925767379</v>
      </c>
      <c r="G134" s="126">
        <f t="shared" si="2011"/>
        <v>0.40638621169878847</v>
      </c>
      <c r="H134" s="126">
        <f t="shared" si="2011"/>
        <v>0.4608830382757052</v>
      </c>
      <c r="I134" s="126" t="e">
        <f t="shared" si="2011"/>
        <v>#DIV/0!</v>
      </c>
      <c r="J134" s="126">
        <f t="shared" si="2011"/>
        <v>0.46185156230297836</v>
      </c>
      <c r="K134" s="126">
        <f t="shared" si="2011"/>
        <v>6.4458180084457153E-2</v>
      </c>
      <c r="L134" s="126">
        <f t="shared" si="2011"/>
        <v>0.30610842775415292</v>
      </c>
      <c r="M134" s="126">
        <f t="shared" si="2011"/>
        <v>0.47593664199365249</v>
      </c>
      <c r="N134" s="126">
        <f t="shared" si="2011"/>
        <v>0.31457918135827073</v>
      </c>
      <c r="O134" s="126">
        <f t="shared" si="2011"/>
        <v>0.29064632246279481</v>
      </c>
      <c r="P134" s="126">
        <f t="shared" si="2011"/>
        <v>0.53516195966042379</v>
      </c>
      <c r="Q134" s="126" t="e">
        <f t="shared" si="2011"/>
        <v>#DIV/0!</v>
      </c>
      <c r="R134" s="126">
        <f t="shared" si="2011"/>
        <v>0.24305065874930415</v>
      </c>
      <c r="S134" s="126">
        <f t="shared" si="2011"/>
        <v>0.76370412303047452</v>
      </c>
      <c r="T134" s="126">
        <f t="shared" si="2011"/>
        <v>0.59395753606211554</v>
      </c>
      <c r="U134" s="126" t="e">
        <f t="shared" si="2011"/>
        <v>#DIV/0!</v>
      </c>
      <c r="V134" s="177">
        <f t="shared" si="2011"/>
        <v>0.52440678752181247</v>
      </c>
      <c r="W134" s="126">
        <f t="shared" si="2011"/>
        <v>0</v>
      </c>
      <c r="X134" s="126">
        <f t="shared" si="2011"/>
        <v>0</v>
      </c>
      <c r="Y134" s="126">
        <f t="shared" si="2011"/>
        <v>2.5882552741819826</v>
      </c>
      <c r="Z134" s="126">
        <f t="shared" si="2011"/>
        <v>2.4375204985241061</v>
      </c>
      <c r="AA134" s="126">
        <f t="shared" si="2011"/>
        <v>1.4605334051724137</v>
      </c>
      <c r="AB134" s="126">
        <f t="shared" ref="AB134" si="2012">AB129/AB126</f>
        <v>5.0725912890453147E-2</v>
      </c>
      <c r="AC134" s="215">
        <f t="shared" si="2011"/>
        <v>0.43589695457504535</v>
      </c>
      <c r="AD134" s="229">
        <f t="shared" si="2011"/>
        <v>0.41626969783831208</v>
      </c>
      <c r="AE134" s="126">
        <f t="shared" si="2011"/>
        <v>0.30500275658468051</v>
      </c>
      <c r="AF134" s="126">
        <f t="shared" si="2011"/>
        <v>0.36626769332418491</v>
      </c>
      <c r="AG134" s="126">
        <f t="shared" si="2011"/>
        <v>1.1380091130181982</v>
      </c>
      <c r="AH134" s="126" t="e">
        <f t="shared" si="2011"/>
        <v>#DIV/0!</v>
      </c>
      <c r="AI134" s="126" t="e">
        <f t="shared" si="2011"/>
        <v>#DIV/0!</v>
      </c>
      <c r="AJ134" s="126">
        <f t="shared" si="2011"/>
        <v>0.39568539325842694</v>
      </c>
      <c r="AK134" s="126">
        <f t="shared" si="2011"/>
        <v>0.55729898120936472</v>
      </c>
      <c r="AL134" s="126">
        <f t="shared" si="2011"/>
        <v>0.32538763456903685</v>
      </c>
      <c r="AM134" s="126">
        <f t="shared" si="2011"/>
        <v>0.56495938819922509</v>
      </c>
      <c r="AN134" s="126">
        <f t="shared" si="2011"/>
        <v>0.70682730923694781</v>
      </c>
      <c r="AO134" s="177">
        <f t="shared" si="2011"/>
        <v>0.46525777968956766</v>
      </c>
      <c r="AP134" s="126">
        <f t="shared" si="2011"/>
        <v>0.49683776773528499</v>
      </c>
      <c r="AQ134" s="215">
        <f t="shared" si="2011"/>
        <v>1.0786135086998219</v>
      </c>
      <c r="AR134" s="126">
        <f t="shared" si="2011"/>
        <v>0.3331053282260189</v>
      </c>
      <c r="AS134" s="126" t="e">
        <f t="shared" si="2011"/>
        <v>#DIV/0!</v>
      </c>
      <c r="AT134" s="126" t="e">
        <f t="shared" si="2011"/>
        <v>#DIV/0!</v>
      </c>
      <c r="AU134" s="126">
        <f t="shared" si="2011"/>
        <v>0.31880112903827879</v>
      </c>
      <c r="AV134" s="126" t="e">
        <f t="shared" si="2011"/>
        <v>#DIV/0!</v>
      </c>
      <c r="AW134" s="126">
        <f t="shared" si="2011"/>
        <v>0.24489565282905146</v>
      </c>
      <c r="AX134" s="126">
        <f t="shared" si="2011"/>
        <v>0.39607453964053368</v>
      </c>
      <c r="AY134" s="126">
        <f t="shared" si="2011"/>
        <v>0.47182474357350895</v>
      </c>
      <c r="AZ134" s="126">
        <f t="shared" si="2011"/>
        <v>1.4971165118301799</v>
      </c>
      <c r="BA134" s="126">
        <f t="shared" si="2011"/>
        <v>1.6801777827059192</v>
      </c>
      <c r="BB134" s="215">
        <f t="shared" si="2011"/>
        <v>0.75812566683158378</v>
      </c>
      <c r="BC134" s="126">
        <f t="shared" si="2011"/>
        <v>0.45827257393606657</v>
      </c>
      <c r="BD134" s="126">
        <f t="shared" si="2011"/>
        <v>0.45655285492530895</v>
      </c>
      <c r="BE134" s="126">
        <f t="shared" si="2011"/>
        <v>0</v>
      </c>
      <c r="BF134" s="126">
        <f t="shared" si="2011"/>
        <v>0.55693369248936808</v>
      </c>
      <c r="BG134" s="126">
        <f t="shared" si="2011"/>
        <v>0.43711945221754966</v>
      </c>
      <c r="BH134" s="177">
        <f t="shared" si="2011"/>
        <v>0.46881381062383087</v>
      </c>
      <c r="BI134" s="229">
        <f t="shared" si="2011"/>
        <v>0.45208612147564137</v>
      </c>
      <c r="BJ134" s="126">
        <f t="shared" si="2011"/>
        <v>0.43834289736271437</v>
      </c>
      <c r="BK134" s="126">
        <f t="shared" si="2011"/>
        <v>0.46424286059726755</v>
      </c>
      <c r="BM134" s="126">
        <f t="shared" ref="BM134" si="2013">BM129/BM126</f>
        <v>0.53619065758652507</v>
      </c>
    </row>
    <row r="135" spans="1:65" x14ac:dyDescent="0.25">
      <c r="BG135" s="30">
        <f>BG129-BG118</f>
        <v>330720</v>
      </c>
    </row>
  </sheetData>
  <mergeCells count="4">
    <mergeCell ref="C1:K1"/>
    <mergeCell ref="M2:O2"/>
    <mergeCell ref="AQ2:AS2"/>
    <mergeCell ref="BI2:BK2"/>
  </mergeCells>
  <conditionalFormatting sqref="C91:AA91 C102:AA102 C13:AA13 C80:AA80 C58:AA58 C36:AA36 C24:AA24 C113:AA113 C134:AA134 C123:AA123 BM13 BM24 BM36 BM47 BM58 BM69 BM80 BM91 BM102 BM113 BM123 BM134 AC123:BI123 AC134:BI134 AC113:BI113 AC24:BI24 AC36:BI36 AC58:BI58 AC80:BI80 AC13:BI13 AC102:BI102 AC91:BI91 C47:BI47">
    <cfRule type="cellIs" dxfId="23" priority="25" operator="greaterThan">
      <formula>0.55</formula>
    </cfRule>
  </conditionalFormatting>
  <conditionalFormatting sqref="AB91 AB102 AB13 AB80 AB58 AB36 AB24 AB113 AB134 AB123">
    <cfRule type="cellIs" dxfId="22" priority="1" operator="greaterThan">
      <formula>0.55</formula>
    </cfRule>
  </conditionalFormatting>
  <pageMargins left="0.19685039370078741" right="0" top="0.19685039370078741" bottom="0" header="0" footer="0"/>
  <pageSetup scale="52"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view="pageBreakPreview" topLeftCell="A34" zoomScaleSheetLayoutView="100" workbookViewId="0">
      <selection activeCell="B40" sqref="B40:O50"/>
    </sheetView>
  </sheetViews>
  <sheetFormatPr defaultRowHeight="15" x14ac:dyDescent="0.25"/>
  <cols>
    <col min="2" max="2" width="27" customWidth="1"/>
    <col min="3" max="3" width="10" style="184" customWidth="1"/>
    <col min="4" max="4" width="12.42578125" customWidth="1"/>
    <col min="5" max="5" width="0.5703125" customWidth="1"/>
    <col min="6" max="6" width="9.85546875" customWidth="1"/>
    <col min="7" max="7" width="10.140625" customWidth="1"/>
    <col min="8" max="8" width="11.7109375" style="69" customWidth="1"/>
    <col min="9" max="9" width="10.5703125" customWidth="1"/>
    <col min="10" max="10" width="12" customWidth="1"/>
    <col min="11" max="11" width="9.42578125" customWidth="1"/>
    <col min="12" max="12" width="10.7109375" customWidth="1"/>
    <col min="13" max="13" width="9.140625" customWidth="1"/>
    <col min="14" max="14" width="11" customWidth="1"/>
    <col min="15" max="15" width="10.42578125" style="184" customWidth="1"/>
  </cols>
  <sheetData>
    <row r="1" spans="1:17" x14ac:dyDescent="0.25">
      <c r="B1" s="36" t="s">
        <v>299</v>
      </c>
      <c r="C1" s="36"/>
    </row>
    <row r="2" spans="1:17" x14ac:dyDescent="0.25">
      <c r="M2" s="36" t="s">
        <v>150</v>
      </c>
    </row>
    <row r="3" spans="1:17" s="36" customFormat="1" ht="15" customHeight="1" x14ac:dyDescent="0.25">
      <c r="B3" s="278" t="s">
        <v>151</v>
      </c>
      <c r="C3" s="277" t="s">
        <v>303</v>
      </c>
      <c r="D3" s="277" t="s">
        <v>320</v>
      </c>
      <c r="E3" s="277"/>
      <c r="F3" s="275" t="str">
        <f>'PU Wise OWE'!$B$5</f>
        <v xml:space="preserve">OBG(SL) 2021-22 </v>
      </c>
      <c r="G3" s="277" t="s">
        <v>302</v>
      </c>
      <c r="H3" s="275" t="str">
        <f>'PU Wise OWE'!$B$7</f>
        <v>Actuals upto Aug' 20</v>
      </c>
      <c r="I3" s="275" t="str">
        <f>'PU Wise OWE'!$B$6</f>
        <v>BP to end  Aug-21</v>
      </c>
      <c r="J3" s="275" t="str">
        <f>'PU Wise OWE'!$B$8</f>
        <v>Actuals upto Aug' 21</v>
      </c>
      <c r="K3" s="274" t="s">
        <v>207</v>
      </c>
      <c r="L3" s="274"/>
      <c r="M3" s="274" t="s">
        <v>147</v>
      </c>
      <c r="N3" s="274"/>
      <c r="O3" s="298" t="s">
        <v>315</v>
      </c>
    </row>
    <row r="4" spans="1:17" ht="15.6" customHeight="1" x14ac:dyDescent="0.25">
      <c r="A4" s="31"/>
      <c r="B4" s="279"/>
      <c r="C4" s="276"/>
      <c r="D4" s="276"/>
      <c r="E4" s="276"/>
      <c r="F4" s="276"/>
      <c r="G4" s="276"/>
      <c r="H4" s="276"/>
      <c r="I4" s="276"/>
      <c r="J4" s="276"/>
      <c r="K4" s="19" t="s">
        <v>145</v>
      </c>
      <c r="L4" s="18" t="s">
        <v>146</v>
      </c>
      <c r="M4" s="19" t="s">
        <v>145</v>
      </c>
      <c r="N4" s="18" t="s">
        <v>146</v>
      </c>
      <c r="O4" s="298"/>
    </row>
    <row r="5" spans="1:17" x14ac:dyDescent="0.25">
      <c r="A5" s="31"/>
      <c r="B5" s="61" t="s">
        <v>148</v>
      </c>
      <c r="C5" s="22">
        <v>4575.6000000000004</v>
      </c>
      <c r="D5" s="66">
        <f>C5/C7</f>
        <v>0.5852640249884562</v>
      </c>
      <c r="E5" s="66"/>
      <c r="F5" s="22">
        <f>ROUND('PU Wise OWE'!$AD$126/10000,2)</f>
        <v>4962.2700000000004</v>
      </c>
      <c r="G5" s="66">
        <f>F5/F7</f>
        <v>0.59996010155966639</v>
      </c>
      <c r="H5" s="70">
        <f>ROUND('PU Wise OWE'!$AD$128/10000,2)</f>
        <v>1894.92</v>
      </c>
      <c r="I5" s="22">
        <f>ROUND('PU Wise OWE'!$AD$127/10000,2)</f>
        <v>2100.88</v>
      </c>
      <c r="J5" s="23">
        <f>ROUND('PU Wise OWE'!$AD$129/10000,2)</f>
        <v>2065.64</v>
      </c>
      <c r="K5" s="22">
        <f>J5-I5</f>
        <v>-35.240000000000236</v>
      </c>
      <c r="L5" s="24">
        <f>K5/I5</f>
        <v>-1.677392330832805E-2</v>
      </c>
      <c r="M5" s="22">
        <f>J5-H5</f>
        <v>170.7199999999998</v>
      </c>
      <c r="N5" s="52">
        <f>M5/H5</f>
        <v>9.0093513182614465E-2</v>
      </c>
      <c r="O5" s="52">
        <f>J5/F5</f>
        <v>0.41626916713520218</v>
      </c>
    </row>
    <row r="6" spans="1:17" x14ac:dyDescent="0.25">
      <c r="A6" s="31"/>
      <c r="B6" s="78" t="s">
        <v>144</v>
      </c>
      <c r="C6" s="21">
        <v>3242.41</v>
      </c>
      <c r="D6" s="66">
        <f>C6/C7</f>
        <v>0.4147359750115438</v>
      </c>
      <c r="E6" s="66"/>
      <c r="F6" s="21">
        <f t="shared" ref="F6:J6" si="0">F7-F5</f>
        <v>3308.7299999999996</v>
      </c>
      <c r="G6" s="66">
        <f>F6/F7</f>
        <v>0.40003989844033366</v>
      </c>
      <c r="H6" s="70">
        <f>H7-H5</f>
        <v>1531.0499999999997</v>
      </c>
      <c r="I6" s="21">
        <f t="shared" si="0"/>
        <v>1495.4099999999999</v>
      </c>
      <c r="J6" s="21">
        <f t="shared" si="0"/>
        <v>1774.1100000000001</v>
      </c>
      <c r="K6" s="22">
        <f t="shared" ref="K6:K7" si="1">J6-I6</f>
        <v>278.70000000000027</v>
      </c>
      <c r="L6" s="24">
        <f t="shared" ref="L6:L7" si="2">K6/I6</f>
        <v>0.18637029309687664</v>
      </c>
      <c r="M6" s="22">
        <f t="shared" ref="M6:M7" si="3">J6-H6</f>
        <v>243.0600000000004</v>
      </c>
      <c r="N6" s="52">
        <f t="shared" ref="N6:N7" si="4">M6/H6</f>
        <v>0.15875379641422582</v>
      </c>
      <c r="O6" s="52">
        <f t="shared" ref="O6:O7" si="5">J6/F6</f>
        <v>0.53619062298827658</v>
      </c>
    </row>
    <row r="7" spans="1:17" x14ac:dyDescent="0.25">
      <c r="A7" s="31"/>
      <c r="B7" s="27" t="s">
        <v>171</v>
      </c>
      <c r="C7" s="104">
        <f>SUM(C5:C6)</f>
        <v>7818.01</v>
      </c>
      <c r="D7" s="67">
        <f>SUM(D5:D6)</f>
        <v>1</v>
      </c>
      <c r="E7" s="67"/>
      <c r="F7" s="26">
        <f>ROUND('PU Wise OWE'!BK126/10000,2)</f>
        <v>8271</v>
      </c>
      <c r="G7" s="67">
        <f>SUM(G5:G6)</f>
        <v>1</v>
      </c>
      <c r="H7" s="71">
        <f>ROUND('PU Wise OWE'!BK128/10000,2)</f>
        <v>3425.97</v>
      </c>
      <c r="I7" s="26">
        <f>ROUND('PU Wise OWE'!BK127/10000,2)</f>
        <v>3596.29</v>
      </c>
      <c r="J7" s="25">
        <f>ROUND('PU Wise OWE'!BK129/10000,2)</f>
        <v>3839.75</v>
      </c>
      <c r="K7" s="26">
        <f t="shared" si="1"/>
        <v>243.46000000000004</v>
      </c>
      <c r="L7" s="54">
        <f t="shared" si="2"/>
        <v>6.7697543857697801E-2</v>
      </c>
      <c r="M7" s="26">
        <f t="shared" si="3"/>
        <v>413.7800000000002</v>
      </c>
      <c r="N7" s="55">
        <f t="shared" si="4"/>
        <v>0.12077747324115512</v>
      </c>
      <c r="O7" s="55">
        <f t="shared" si="5"/>
        <v>0.464242534155483</v>
      </c>
    </row>
    <row r="8" spans="1:17" x14ac:dyDescent="0.25">
      <c r="A8" s="31"/>
      <c r="B8" s="32"/>
      <c r="C8" s="32"/>
      <c r="D8" s="33"/>
      <c r="E8" s="33"/>
      <c r="F8" s="34"/>
      <c r="G8" s="34"/>
      <c r="H8" s="72"/>
      <c r="I8" s="34"/>
      <c r="J8" s="31"/>
      <c r="K8" s="31"/>
      <c r="L8" s="35"/>
      <c r="M8" s="34"/>
      <c r="N8" s="31"/>
      <c r="Q8">
        <f>638.61/7972.35</f>
        <v>8.0103106361361448E-2</v>
      </c>
    </row>
    <row r="9" spans="1:17" ht="14.45" customHeight="1" x14ac:dyDescent="0.25">
      <c r="A9" s="31"/>
      <c r="D9" s="33"/>
      <c r="E9" s="33"/>
      <c r="F9" s="34"/>
      <c r="G9" s="34"/>
      <c r="H9" s="72"/>
      <c r="I9" s="34"/>
      <c r="J9" s="31"/>
      <c r="K9" s="31"/>
      <c r="L9" s="35"/>
      <c r="M9" s="34"/>
      <c r="N9" s="31"/>
    </row>
    <row r="10" spans="1:17" x14ac:dyDescent="0.25">
      <c r="A10" s="31"/>
      <c r="B10" s="62" t="s">
        <v>172</v>
      </c>
      <c r="C10" s="62"/>
      <c r="D10" s="63"/>
      <c r="E10" s="63"/>
      <c r="F10" s="63"/>
      <c r="G10" s="63"/>
      <c r="H10" s="73"/>
      <c r="I10" s="63"/>
      <c r="J10" s="63"/>
      <c r="M10" s="36" t="s">
        <v>150</v>
      </c>
    </row>
    <row r="11" spans="1:17" ht="15" customHeight="1" x14ac:dyDescent="0.25">
      <c r="A11" s="31"/>
      <c r="B11" s="280" t="s">
        <v>151</v>
      </c>
      <c r="C11" s="284" t="s">
        <v>303</v>
      </c>
      <c r="D11" s="284" t="s">
        <v>173</v>
      </c>
      <c r="E11" s="284"/>
      <c r="F11" s="282" t="str">
        <f>'PU Wise OWE'!$B$5</f>
        <v xml:space="preserve">OBG(SL) 2021-22 </v>
      </c>
      <c r="G11" s="284" t="s">
        <v>302</v>
      </c>
      <c r="H11" s="282" t="str">
        <f>'PU Wise OWE'!$B$7</f>
        <v>Actuals upto Aug' 20</v>
      </c>
      <c r="I11" s="282" t="str">
        <f>'PU Wise OWE'!$B$6</f>
        <v>BP to end  Aug-21</v>
      </c>
      <c r="J11" s="282" t="str">
        <f>'PU Wise OWE'!$B$8</f>
        <v>Actuals upto Aug' 21</v>
      </c>
      <c r="K11" s="285" t="s">
        <v>207</v>
      </c>
      <c r="L11" s="285"/>
      <c r="M11" s="285" t="s">
        <v>147</v>
      </c>
      <c r="N11" s="285"/>
      <c r="O11" s="299" t="s">
        <v>315</v>
      </c>
    </row>
    <row r="12" spans="1:17" ht="15" customHeight="1" x14ac:dyDescent="0.25">
      <c r="A12" s="31"/>
      <c r="B12" s="281"/>
      <c r="C12" s="283"/>
      <c r="D12" s="283"/>
      <c r="E12" s="283"/>
      <c r="F12" s="283"/>
      <c r="G12" s="283"/>
      <c r="H12" s="283"/>
      <c r="I12" s="283"/>
      <c r="J12" s="283"/>
      <c r="K12" s="64" t="s">
        <v>145</v>
      </c>
      <c r="L12" s="65" t="s">
        <v>146</v>
      </c>
      <c r="M12" s="64" t="s">
        <v>145</v>
      </c>
      <c r="N12" s="65" t="s">
        <v>146</v>
      </c>
      <c r="O12" s="299"/>
    </row>
    <row r="13" spans="1:17" x14ac:dyDescent="0.25">
      <c r="A13" s="31"/>
      <c r="B13" s="20" t="s">
        <v>152</v>
      </c>
      <c r="C13" s="105">
        <v>2522.8000000000002</v>
      </c>
      <c r="D13" s="66">
        <f>C13/$C$7</f>
        <v>0.32269081262367277</v>
      </c>
      <c r="E13" s="21"/>
      <c r="F13" s="22">
        <f>ROUND('PU Wise OWE'!$C$126/10000,2)</f>
        <v>2509.4499999999998</v>
      </c>
      <c r="G13" s="24">
        <f>F13/$F$7</f>
        <v>0.30340345786482892</v>
      </c>
      <c r="H13" s="70">
        <f>ROUND('PU Wise OWE'!$C$128/10000,2)</f>
        <v>1045.8</v>
      </c>
      <c r="I13" s="22">
        <f>ROUND('PU Wise OWE'!$C$127/10000,2)</f>
        <v>1104.1600000000001</v>
      </c>
      <c r="J13" s="23">
        <f>ROUND('PU Wise OWE'!$C$129/10000,2)</f>
        <v>1075.4100000000001</v>
      </c>
      <c r="K13" s="22">
        <f>J13-I13</f>
        <v>-28.75</v>
      </c>
      <c r="L13" s="24">
        <f>K13/I13</f>
        <v>-2.6037893058976958E-2</v>
      </c>
      <c r="M13" s="22">
        <f>J13-H13</f>
        <v>29.610000000000127</v>
      </c>
      <c r="N13" s="52">
        <f>M13/H13</f>
        <v>2.8313253012048317E-2</v>
      </c>
      <c r="O13" s="52">
        <f t="shared" ref="O13:O28" si="6">J13/F13</f>
        <v>0.42854410328956549</v>
      </c>
    </row>
    <row r="14" spans="1:17" x14ac:dyDescent="0.25">
      <c r="A14" s="31"/>
      <c r="B14" s="20" t="s">
        <v>153</v>
      </c>
      <c r="C14" s="105">
        <v>441.91</v>
      </c>
      <c r="D14" s="66">
        <f t="shared" ref="D14:D27" si="7">C14/$C$7</f>
        <v>5.6524614320012385E-2</v>
      </c>
      <c r="E14" s="21"/>
      <c r="F14" s="22">
        <f>ROUND('PU Wise OWE'!$D$126/10000,2)</f>
        <v>755.98</v>
      </c>
      <c r="G14" s="24">
        <f t="shared" ref="G14:G27" si="8">F14/$F$7</f>
        <v>9.1401281586265259E-2</v>
      </c>
      <c r="H14" s="70">
        <f>ROUND('PU Wise OWE'!$D$128/10000,2)</f>
        <v>183.41</v>
      </c>
      <c r="I14" s="22">
        <f>ROUND('PU Wise OWE'!$D$127/10000,2)</f>
        <v>268.79000000000002</v>
      </c>
      <c r="J14" s="23">
        <f>ROUND('PU Wise OWE'!$D$129/10000,2)</f>
        <v>239.04</v>
      </c>
      <c r="K14" s="22">
        <f t="shared" ref="K14:K17" si="9">J14-I14</f>
        <v>-29.750000000000028</v>
      </c>
      <c r="L14" s="24">
        <f t="shared" ref="L14:L17" si="10">K14/I14</f>
        <v>-0.11068120093753497</v>
      </c>
      <c r="M14" s="22">
        <f t="shared" ref="M14:M27" si="11">J14-H14</f>
        <v>55.629999999999995</v>
      </c>
      <c r="N14" s="52">
        <f t="shared" ref="N14:N27" si="12">M14/H14</f>
        <v>0.30330952510768222</v>
      </c>
      <c r="O14" s="52">
        <f t="shared" si="6"/>
        <v>0.31619884123918618</v>
      </c>
    </row>
    <row r="15" spans="1:17" x14ac:dyDescent="0.25">
      <c r="B15" s="23" t="s">
        <v>174</v>
      </c>
      <c r="C15" s="22">
        <v>98.2</v>
      </c>
      <c r="D15" s="66">
        <f t="shared" si="7"/>
        <v>1.2560741160474341E-2</v>
      </c>
      <c r="E15" s="21"/>
      <c r="F15" s="22">
        <f>ROUND('PU Wise OWE'!$E$126/10000,2)</f>
        <v>99.13</v>
      </c>
      <c r="G15" s="24">
        <f t="shared" si="8"/>
        <v>1.1985249667512996E-2</v>
      </c>
      <c r="H15" s="70">
        <f>ROUND('PU Wise OWE'!$E$128/10000,2)</f>
        <v>0.62</v>
      </c>
      <c r="I15" s="22">
        <f>ROUND('PU Wise OWE'!$E$127/10000,2)</f>
        <v>0</v>
      </c>
      <c r="J15" s="23">
        <f>ROUND('PU Wise OWE'!$E$129/10000,2)</f>
        <v>0.28000000000000003</v>
      </c>
      <c r="K15" s="22">
        <f t="shared" si="9"/>
        <v>0.28000000000000003</v>
      </c>
      <c r="L15" s="24" t="e">
        <f t="shared" si="10"/>
        <v>#DIV/0!</v>
      </c>
      <c r="M15" s="22">
        <f t="shared" si="11"/>
        <v>-0.33999999999999997</v>
      </c>
      <c r="N15" s="52">
        <f t="shared" si="12"/>
        <v>-0.54838709677419351</v>
      </c>
      <c r="O15" s="52">
        <f t="shared" si="6"/>
        <v>2.8245737919903161E-3</v>
      </c>
    </row>
    <row r="16" spans="1:17" x14ac:dyDescent="0.25">
      <c r="B16" s="23" t="s">
        <v>175</v>
      </c>
      <c r="C16" s="22">
        <v>264.85000000000002</v>
      </c>
      <c r="D16" s="66">
        <f t="shared" si="7"/>
        <v>3.3876907294823108E-2</v>
      </c>
      <c r="E16" s="21"/>
      <c r="F16" s="22">
        <f>ROUND('PU Wise OWE'!$F$126/10000,2)</f>
        <v>286.05</v>
      </c>
      <c r="G16" s="24">
        <f t="shared" si="8"/>
        <v>3.4584693507435621E-2</v>
      </c>
      <c r="H16" s="70">
        <f>ROUND('PU Wise OWE'!$F$128/10000,2)</f>
        <v>109.21</v>
      </c>
      <c r="I16" s="22">
        <f>ROUND('PU Wise OWE'!$F$127/10000,2)</f>
        <v>125.86</v>
      </c>
      <c r="J16" s="23">
        <f>ROUND('PU Wise OWE'!$F$129/10000,2)</f>
        <v>119.81</v>
      </c>
      <c r="K16" s="22">
        <f t="shared" si="9"/>
        <v>-6.0499999999999972</v>
      </c>
      <c r="L16" s="24">
        <f t="shared" si="10"/>
        <v>-4.8069283330684866E-2</v>
      </c>
      <c r="M16" s="22">
        <f t="shared" si="11"/>
        <v>10.600000000000009</v>
      </c>
      <c r="N16" s="52">
        <f t="shared" si="12"/>
        <v>9.7060708726307204E-2</v>
      </c>
      <c r="O16" s="52">
        <f t="shared" si="6"/>
        <v>0.41884285963992307</v>
      </c>
    </row>
    <row r="17" spans="1:15" x14ac:dyDescent="0.25">
      <c r="B17" s="23" t="s">
        <v>176</v>
      </c>
      <c r="C17" s="22">
        <v>134.78</v>
      </c>
      <c r="D17" s="66">
        <f t="shared" si="7"/>
        <v>1.7239681197644924E-2</v>
      </c>
      <c r="E17" s="21"/>
      <c r="F17" s="22">
        <f>ROUND('PU Wise OWE'!$G$126/10000,2)</f>
        <v>148.21</v>
      </c>
      <c r="G17" s="24">
        <f t="shared" si="8"/>
        <v>1.7919235884415428E-2</v>
      </c>
      <c r="H17" s="70">
        <f>ROUND('PU Wise OWE'!$G$128/10000,2)</f>
        <v>56.25</v>
      </c>
      <c r="I17" s="22">
        <f>ROUND('PU Wise OWE'!$G$127/10000,2)</f>
        <v>65.209999999999994</v>
      </c>
      <c r="J17" s="23">
        <f>ROUND('PU Wise OWE'!$G$129/10000,2)</f>
        <v>60.23</v>
      </c>
      <c r="K17" s="22">
        <f t="shared" si="9"/>
        <v>-4.9799999999999969</v>
      </c>
      <c r="L17" s="24">
        <f t="shared" si="10"/>
        <v>-7.6368655114246245E-2</v>
      </c>
      <c r="M17" s="22">
        <f t="shared" si="11"/>
        <v>3.9799999999999969</v>
      </c>
      <c r="N17" s="52">
        <f t="shared" si="12"/>
        <v>7.0755555555555502E-2</v>
      </c>
      <c r="O17" s="52">
        <f t="shared" si="6"/>
        <v>0.40638283516631801</v>
      </c>
    </row>
    <row r="18" spans="1:15" x14ac:dyDescent="0.25">
      <c r="A18" s="31"/>
      <c r="B18" s="20" t="s">
        <v>154</v>
      </c>
      <c r="C18" s="105">
        <v>247.05</v>
      </c>
      <c r="D18" s="66">
        <f t="shared" si="7"/>
        <v>3.1600113072252405E-2</v>
      </c>
      <c r="E18" s="21"/>
      <c r="F18" s="22">
        <f>ROUND('PU Wise OWE'!$H$126/10000,2)</f>
        <v>289.98</v>
      </c>
      <c r="G18" s="24">
        <f t="shared" si="8"/>
        <v>3.5059847660500548E-2</v>
      </c>
      <c r="H18" s="70">
        <f>ROUND('PU Wise OWE'!$H$128/10000,2)</f>
        <v>121.32</v>
      </c>
      <c r="I18" s="22">
        <f>ROUND('PU Wise OWE'!$H$127/10000,2)</f>
        <v>127.59</v>
      </c>
      <c r="J18" s="23">
        <f>ROUND('PU Wise OWE'!$H$129/10000,2)</f>
        <v>133.65</v>
      </c>
      <c r="K18" s="22">
        <f t="shared" ref="K18:K28" si="13">J18-I18</f>
        <v>6.0600000000000023</v>
      </c>
      <c r="L18" s="24">
        <f t="shared" ref="L18:L28" si="14">K18/I18</f>
        <v>4.7495885257465335E-2</v>
      </c>
      <c r="M18" s="22">
        <f t="shared" si="11"/>
        <v>12.330000000000013</v>
      </c>
      <c r="N18" s="52">
        <f t="shared" si="12"/>
        <v>0.10163204747774492</v>
      </c>
      <c r="O18" s="52">
        <f t="shared" si="6"/>
        <v>0.46089385474860334</v>
      </c>
    </row>
    <row r="19" spans="1:15" x14ac:dyDescent="0.25">
      <c r="A19" s="31"/>
      <c r="B19" s="56" t="s">
        <v>155</v>
      </c>
      <c r="C19" s="106">
        <v>188.24</v>
      </c>
      <c r="D19" s="66">
        <f t="shared" si="7"/>
        <v>2.4077738452624134E-2</v>
      </c>
      <c r="E19" s="21"/>
      <c r="F19" s="22">
        <f>ROUND('PU Wise OWE'!$J$126/10000,2)</f>
        <v>198.27</v>
      </c>
      <c r="G19" s="24">
        <f t="shared" si="8"/>
        <v>2.397170837867247E-2</v>
      </c>
      <c r="H19" s="70">
        <f>ROUND('PU Wise OWE'!$J$128/10000,2)</f>
        <v>73.09</v>
      </c>
      <c r="I19" s="22">
        <f>ROUND('PU Wise OWE'!$J$127/10000,2)</f>
        <v>87.24</v>
      </c>
      <c r="J19" s="23">
        <f>ROUND('PU Wise OWE'!$J$129/10000,2)</f>
        <v>91.57</v>
      </c>
      <c r="K19" s="22">
        <f t="shared" si="13"/>
        <v>4.3299999999999983</v>
      </c>
      <c r="L19" s="24">
        <f t="shared" si="14"/>
        <v>4.9633195781751474E-2</v>
      </c>
      <c r="M19" s="22">
        <f t="shared" si="11"/>
        <v>18.47999999999999</v>
      </c>
      <c r="N19" s="52">
        <f t="shared" si="12"/>
        <v>0.25283896565877667</v>
      </c>
      <c r="O19" s="52">
        <f t="shared" si="6"/>
        <v>0.46184495889443683</v>
      </c>
    </row>
    <row r="20" spans="1:15" x14ac:dyDescent="0.25">
      <c r="A20" s="31"/>
      <c r="B20" s="20" t="s">
        <v>156</v>
      </c>
      <c r="C20" s="105">
        <v>12.03</v>
      </c>
      <c r="D20" s="66">
        <f t="shared" si="7"/>
        <v>1.5387547470519991E-3</v>
      </c>
      <c r="E20" s="21"/>
      <c r="F20" s="22">
        <f>ROUND('PU Wise OWE'!$K$126/10000,2)</f>
        <v>11.75</v>
      </c>
      <c r="G20" s="24">
        <f t="shared" si="8"/>
        <v>1.4206262846088744E-3</v>
      </c>
      <c r="H20" s="70">
        <f>ROUND('PU Wise OWE'!$K$128/10000,2)</f>
        <v>2.95</v>
      </c>
      <c r="I20" s="22">
        <f>ROUND('PU Wise OWE'!$K$127/10000,2)</f>
        <v>5.17</v>
      </c>
      <c r="J20" s="23">
        <f>ROUND('PU Wise OWE'!$K$129/10000,2)</f>
        <v>0.76</v>
      </c>
      <c r="K20" s="22">
        <f t="shared" si="13"/>
        <v>-4.41</v>
      </c>
      <c r="L20" s="24">
        <f t="shared" si="14"/>
        <v>-0.85299806576402326</v>
      </c>
      <c r="M20" s="22">
        <f t="shared" si="11"/>
        <v>-2.1900000000000004</v>
      </c>
      <c r="N20" s="52">
        <f t="shared" si="12"/>
        <v>-0.74237288135593227</v>
      </c>
      <c r="O20" s="52">
        <f t="shared" si="6"/>
        <v>6.4680851063829786E-2</v>
      </c>
    </row>
    <row r="21" spans="1:15" x14ac:dyDescent="0.25">
      <c r="A21" s="31"/>
      <c r="B21" s="20" t="s">
        <v>157</v>
      </c>
      <c r="C21" s="105">
        <v>48.93</v>
      </c>
      <c r="D21" s="66">
        <f t="shared" si="7"/>
        <v>6.2586259163137422E-3</v>
      </c>
      <c r="E21" s="21"/>
      <c r="F21" s="22">
        <f>ROUND('PU Wise OWE'!$L$126/10000,2)</f>
        <v>52.98</v>
      </c>
      <c r="G21" s="24">
        <f t="shared" si="8"/>
        <v>6.4055132390279284E-3</v>
      </c>
      <c r="H21" s="70">
        <f>ROUND('PU Wise OWE'!$L$128/10000,2)</f>
        <v>24.53</v>
      </c>
      <c r="I21" s="22">
        <f>ROUND('PU Wise OWE'!$L$127/10000,2)</f>
        <v>23.31</v>
      </c>
      <c r="J21" s="23">
        <f>ROUND('PU Wise OWE'!$L$129/10000,2)</f>
        <v>16.22</v>
      </c>
      <c r="K21" s="22">
        <f t="shared" si="13"/>
        <v>-7.09</v>
      </c>
      <c r="L21" s="24">
        <f t="shared" si="14"/>
        <v>-0.30416130416130416</v>
      </c>
      <c r="M21" s="22">
        <f t="shared" si="11"/>
        <v>-8.3100000000000023</v>
      </c>
      <c r="N21" s="52">
        <f t="shared" si="12"/>
        <v>-0.3387688544639218</v>
      </c>
      <c r="O21" s="52">
        <f t="shared" si="6"/>
        <v>0.30615326538316345</v>
      </c>
    </row>
    <row r="22" spans="1:15" x14ac:dyDescent="0.25">
      <c r="A22" s="31"/>
      <c r="B22" s="20" t="s">
        <v>179</v>
      </c>
      <c r="C22" s="105">
        <v>120.4</v>
      </c>
      <c r="D22" s="66">
        <f t="shared" si="7"/>
        <v>1.540033844929848E-2</v>
      </c>
      <c r="E22" s="21"/>
      <c r="F22" s="22">
        <f>ROUND('PU Wise OWE'!$M$126/10000,2)</f>
        <v>149.94999999999999</v>
      </c>
      <c r="G22" s="24">
        <f t="shared" si="8"/>
        <v>1.8129609478902187E-2</v>
      </c>
      <c r="H22" s="70">
        <f>ROUND('PU Wise OWE'!$M$128/10000,2)</f>
        <v>65.489999999999995</v>
      </c>
      <c r="I22" s="22">
        <f>ROUND('PU Wise OWE'!$M$127/10000,2)</f>
        <v>65.98</v>
      </c>
      <c r="J22" s="23">
        <f>ROUND('PU Wise OWE'!$M$129/10000,2)</f>
        <v>71.37</v>
      </c>
      <c r="K22" s="22">
        <f t="shared" ref="K22" si="15">J22-I22</f>
        <v>5.3900000000000006</v>
      </c>
      <c r="L22" s="24">
        <f t="shared" ref="L22" si="16">K22/I22</f>
        <v>8.1691421642922105E-2</v>
      </c>
      <c r="M22" s="22">
        <f t="shared" si="11"/>
        <v>5.8800000000000097</v>
      </c>
      <c r="N22" s="52">
        <f t="shared" si="12"/>
        <v>8.9784699954191638E-2</v>
      </c>
      <c r="O22" s="52">
        <f t="shared" si="6"/>
        <v>0.47595865288429484</v>
      </c>
    </row>
    <row r="23" spans="1:15" x14ac:dyDescent="0.25">
      <c r="A23" s="31"/>
      <c r="B23" s="56" t="s">
        <v>158</v>
      </c>
      <c r="C23" s="106">
        <v>88.73</v>
      </c>
      <c r="D23" s="66">
        <f t="shared" si="7"/>
        <v>1.1349435470151612E-2</v>
      </c>
      <c r="E23" s="21"/>
      <c r="F23" s="22">
        <f>ROUND('PU Wise OWE'!$P$126/10000,2)</f>
        <v>92.29</v>
      </c>
      <c r="G23" s="24">
        <f t="shared" si="8"/>
        <v>1.1158263813323662E-2</v>
      </c>
      <c r="H23" s="70">
        <f>ROUND('PU Wise OWE'!$P$128/10000,2)</f>
        <v>45.07</v>
      </c>
      <c r="I23" s="22">
        <f>ROUND('PU Wise OWE'!$P$127/10000,2)</f>
        <v>40.61</v>
      </c>
      <c r="J23" s="23">
        <f>ROUND('PU Wise OWE'!$P$129/10000,2)</f>
        <v>49.39</v>
      </c>
      <c r="K23" s="22">
        <f t="shared" si="13"/>
        <v>8.7800000000000011</v>
      </c>
      <c r="L23" s="24">
        <f t="shared" si="14"/>
        <v>0.21620290568825415</v>
      </c>
      <c r="M23" s="22">
        <f t="shared" si="11"/>
        <v>4.32</v>
      </c>
      <c r="N23" s="52">
        <f t="shared" si="12"/>
        <v>9.5850898602174398E-2</v>
      </c>
      <c r="O23" s="52">
        <f t="shared" si="6"/>
        <v>0.53516090584028597</v>
      </c>
    </row>
    <row r="24" spans="1:15" x14ac:dyDescent="0.25">
      <c r="B24" s="56" t="s">
        <v>159</v>
      </c>
      <c r="C24" s="106">
        <v>81.78</v>
      </c>
      <c r="D24" s="66">
        <f t="shared" si="7"/>
        <v>1.0460462445046757E-2</v>
      </c>
      <c r="E24" s="21"/>
      <c r="F24" s="22">
        <f>ROUND('PU Wise OWE'!$S$126/10000,2)</f>
        <v>89.03</v>
      </c>
      <c r="G24" s="24">
        <f t="shared" si="8"/>
        <v>1.0764115584572603E-2</v>
      </c>
      <c r="H24" s="70">
        <f>ROUND('PU Wise OWE'!$S$128/10000,2)</f>
        <v>56.52</v>
      </c>
      <c r="I24" s="22">
        <f>ROUND('PU Wise OWE'!$S$127/10000,2)</f>
        <v>64.099999999999994</v>
      </c>
      <c r="J24" s="23">
        <f>ROUND('PU Wise OWE'!$S$129/10000,2)</f>
        <v>67.989999999999995</v>
      </c>
      <c r="K24" s="22">
        <f t="shared" si="13"/>
        <v>3.8900000000000006</v>
      </c>
      <c r="L24" s="24">
        <f t="shared" si="14"/>
        <v>6.0686427457098298E-2</v>
      </c>
      <c r="M24" s="22">
        <f t="shared" si="11"/>
        <v>11.469999999999992</v>
      </c>
      <c r="N24" s="52">
        <f t="shared" si="12"/>
        <v>0.20293701344656742</v>
      </c>
      <c r="O24" s="52">
        <f t="shared" si="6"/>
        <v>0.76367516567449167</v>
      </c>
    </row>
    <row r="25" spans="1:15" x14ac:dyDescent="0.25">
      <c r="B25" s="56" t="s">
        <v>160</v>
      </c>
      <c r="C25" s="106">
        <v>90.5</v>
      </c>
      <c r="D25" s="66">
        <f t="shared" si="7"/>
        <v>1.1575835794530833E-2</v>
      </c>
      <c r="E25" s="21"/>
      <c r="F25" s="22">
        <f>ROUND('PU Wise OWE'!$T$126/10000,2)</f>
        <v>83.15</v>
      </c>
      <c r="G25" s="24">
        <f t="shared" si="8"/>
        <v>1.0053197920444928E-2</v>
      </c>
      <c r="H25" s="70">
        <f>ROUND('PU Wise OWE'!$T$128/10000,2)</f>
        <v>38.49</v>
      </c>
      <c r="I25" s="22">
        <f>ROUND('PU Wise OWE'!$T$127/10000,2)</f>
        <v>36.590000000000003</v>
      </c>
      <c r="J25" s="23">
        <f>ROUND('PU Wise OWE'!$T$129/10000,2)</f>
        <v>49.39</v>
      </c>
      <c r="K25" s="22">
        <f t="shared" si="13"/>
        <v>12.799999999999997</v>
      </c>
      <c r="L25" s="24">
        <f t="shared" si="14"/>
        <v>0.34982235583492749</v>
      </c>
      <c r="M25" s="22">
        <f t="shared" si="11"/>
        <v>10.899999999999999</v>
      </c>
      <c r="N25" s="52">
        <f t="shared" si="12"/>
        <v>0.2831904390750844</v>
      </c>
      <c r="O25" s="52">
        <f t="shared" si="6"/>
        <v>0.59398677089597107</v>
      </c>
    </row>
    <row r="26" spans="1:15" x14ac:dyDescent="0.25">
      <c r="B26" s="56" t="s">
        <v>178</v>
      </c>
      <c r="C26" s="106">
        <v>41.07</v>
      </c>
      <c r="D26" s="66">
        <f t="shared" si="7"/>
        <v>5.2532549843246554E-3</v>
      </c>
      <c r="E26" s="22"/>
      <c r="F26" s="22">
        <f>ROUND('PU Wise OWE'!$V$126/10000,2)</f>
        <v>34.5</v>
      </c>
      <c r="G26" s="24">
        <f t="shared" si="8"/>
        <v>4.1712005803409506E-3</v>
      </c>
      <c r="H26" s="70">
        <f>ROUND('PU Wise OWE'!$V$128/10000,2)</f>
        <v>18.190000000000001</v>
      </c>
      <c r="I26" s="22">
        <f>ROUND('PU Wise OWE'!$V$127/10000,2)</f>
        <v>15.18</v>
      </c>
      <c r="J26" s="23">
        <f>ROUND('PU Wise OWE'!$V$129/10000,2)</f>
        <v>18.09</v>
      </c>
      <c r="K26" s="22">
        <f t="shared" si="13"/>
        <v>2.91</v>
      </c>
      <c r="L26" s="24">
        <f t="shared" si="14"/>
        <v>0.19169960474308301</v>
      </c>
      <c r="M26" s="22">
        <f t="shared" si="11"/>
        <v>-0.10000000000000142</v>
      </c>
      <c r="N26" s="52">
        <f t="shared" si="12"/>
        <v>-5.4975261132491158E-3</v>
      </c>
      <c r="O26" s="52">
        <f t="shared" si="6"/>
        <v>0.52434782608695651</v>
      </c>
    </row>
    <row r="27" spans="1:15" x14ac:dyDescent="0.25">
      <c r="B27" s="56" t="s">
        <v>177</v>
      </c>
      <c r="C27" s="106">
        <v>169.78</v>
      </c>
      <c r="D27" s="66">
        <f t="shared" si="7"/>
        <v>2.1716523770115414E-2</v>
      </c>
      <c r="E27" s="22"/>
      <c r="F27" s="22">
        <f>ROUND('PU Wise OWE'!$AC$126/10000,2)</f>
        <v>133.18</v>
      </c>
      <c r="G27" s="24">
        <f t="shared" si="8"/>
        <v>1.6102043283762545E-2</v>
      </c>
      <c r="H27" s="70">
        <f>ROUND('PU Wise OWE'!$AC$128/10000,2)</f>
        <v>47.13</v>
      </c>
      <c r="I27" s="22">
        <f>ROUND('PU Wise OWE'!$AC$127/10000,2)</f>
        <v>58.6</v>
      </c>
      <c r="J27" s="23">
        <f>ROUND('PU Wise OWE'!$AC$129/10000,2)</f>
        <v>58.05</v>
      </c>
      <c r="K27" s="22">
        <f t="shared" ref="K27" si="17">J27-I27</f>
        <v>-0.55000000000000426</v>
      </c>
      <c r="L27" s="24">
        <f t="shared" ref="L27" si="18">K27/I27</f>
        <v>-9.3856655290103109E-3</v>
      </c>
      <c r="M27" s="22">
        <f t="shared" si="11"/>
        <v>10.919999999999995</v>
      </c>
      <c r="N27" s="52">
        <f t="shared" si="12"/>
        <v>0.23169955442393367</v>
      </c>
      <c r="O27" s="52">
        <f t="shared" si="6"/>
        <v>0.43587625769635074</v>
      </c>
    </row>
    <row r="28" spans="1:15" x14ac:dyDescent="0.25">
      <c r="B28" s="204" t="s">
        <v>149</v>
      </c>
      <c r="C28" s="205">
        <f>SUM(C13:C27)</f>
        <v>4551.0499999999993</v>
      </c>
      <c r="D28" s="207">
        <f>SUM(D13:D27)</f>
        <v>0.58212383969833748</v>
      </c>
      <c r="E28" s="205"/>
      <c r="F28" s="205">
        <f>F5</f>
        <v>4962.2700000000004</v>
      </c>
      <c r="G28" s="207">
        <f t="shared" ref="G28:J28" si="19">SUM(G13:G27)</f>
        <v>0.59653004473461491</v>
      </c>
      <c r="H28" s="206">
        <f>SUM(H13:H27)</f>
        <v>1888.07</v>
      </c>
      <c r="I28" s="205">
        <f t="shared" si="19"/>
        <v>2088.39</v>
      </c>
      <c r="J28" s="205">
        <f t="shared" si="19"/>
        <v>2051.2500000000005</v>
      </c>
      <c r="K28" s="205">
        <f t="shared" si="13"/>
        <v>-37.139999999999418</v>
      </c>
      <c r="L28" s="207">
        <f t="shared" si="14"/>
        <v>-1.7784034591239863E-2</v>
      </c>
      <c r="M28" s="205">
        <f>J28-H28</f>
        <v>163.18000000000052</v>
      </c>
      <c r="N28" s="208">
        <f>M28/H28</f>
        <v>8.6426880359308983E-2</v>
      </c>
      <c r="O28" s="208">
        <f t="shared" si="6"/>
        <v>0.41336928462175582</v>
      </c>
    </row>
    <row r="29" spans="1:15" x14ac:dyDescent="0.25">
      <c r="J29" s="68"/>
    </row>
    <row r="31" spans="1:15" x14ac:dyDescent="0.25">
      <c r="B31" s="75" t="s">
        <v>180</v>
      </c>
      <c r="C31" s="75"/>
      <c r="D31" s="77"/>
      <c r="H31" s="76"/>
      <c r="M31" s="36" t="s">
        <v>150</v>
      </c>
    </row>
    <row r="32" spans="1:15" ht="15" customHeight="1" x14ac:dyDescent="0.25">
      <c r="B32" s="286" t="s">
        <v>151</v>
      </c>
      <c r="C32" s="291" t="s">
        <v>303</v>
      </c>
      <c r="D32" s="291" t="s">
        <v>173</v>
      </c>
      <c r="E32" s="291"/>
      <c r="F32" s="288" t="str">
        <f>'PU Wise OWE'!$B$5</f>
        <v xml:space="preserve">OBG(SL) 2021-22 </v>
      </c>
      <c r="G32" s="291" t="s">
        <v>206</v>
      </c>
      <c r="H32" s="288" t="str">
        <f>'PU Wise OWE'!$B$7</f>
        <v>Actuals upto Aug' 20</v>
      </c>
      <c r="I32" s="288" t="str">
        <f>'PU Wise OWE'!$B$6</f>
        <v>BP to end  Aug-21</v>
      </c>
      <c r="J32" s="288" t="str">
        <f>'PU Wise OWE'!$B$8</f>
        <v>Actuals upto Aug' 21</v>
      </c>
      <c r="K32" s="290" t="s">
        <v>207</v>
      </c>
      <c r="L32" s="290"/>
      <c r="M32" s="290" t="s">
        <v>147</v>
      </c>
      <c r="N32" s="290"/>
      <c r="O32" s="292" t="s">
        <v>315</v>
      </c>
    </row>
    <row r="33" spans="2:15" ht="18" customHeight="1" x14ac:dyDescent="0.25">
      <c r="B33" s="287"/>
      <c r="C33" s="289"/>
      <c r="D33" s="289"/>
      <c r="E33" s="289"/>
      <c r="F33" s="289"/>
      <c r="G33" s="289"/>
      <c r="H33" s="289"/>
      <c r="I33" s="289"/>
      <c r="J33" s="289"/>
      <c r="K33" s="79" t="s">
        <v>145</v>
      </c>
      <c r="L33" s="80" t="s">
        <v>146</v>
      </c>
      <c r="M33" s="79" t="s">
        <v>145</v>
      </c>
      <c r="N33" s="80" t="s">
        <v>146</v>
      </c>
      <c r="O33" s="292"/>
    </row>
    <row r="34" spans="2:15" x14ac:dyDescent="0.25">
      <c r="B34" s="84" t="s">
        <v>181</v>
      </c>
      <c r="C34" s="107">
        <v>10.44</v>
      </c>
      <c r="D34" s="66">
        <f t="shared" ref="D34:D37" si="20">C34/$C$7</f>
        <v>1.335378184474054E-3</v>
      </c>
      <c r="E34" s="21"/>
      <c r="F34" s="22">
        <f>ROUND(('PU Wise OWE'!$AE$126+'PU Wise OWE'!$AF$126)/10000,2)</f>
        <v>9.56</v>
      </c>
      <c r="G34" s="24">
        <f t="shared" ref="G34:G37" si="21">F34/$F$7</f>
        <v>1.1558457260307097E-3</v>
      </c>
      <c r="H34" s="70">
        <f>ROUND(('PU Wise OWE'!$AE$128+'PU Wise OWE'!$AF$128)/10000,2)</f>
        <v>4.97</v>
      </c>
      <c r="I34" s="22">
        <f>ROUND(('PU Wise OWE'!$AE$127+'PU Wise OWE'!$AF$127)/10000,2)</f>
        <v>4.21</v>
      </c>
      <c r="J34" s="23">
        <f>ROUND(('PU Wise OWE'!$AE$129+'PU Wise OWE'!$AF$129)/10000,2)</f>
        <v>3.16</v>
      </c>
      <c r="K34" s="22">
        <f t="shared" ref="K34:K36" si="22">J34-I34</f>
        <v>-1.0499999999999998</v>
      </c>
      <c r="L34" s="24">
        <f t="shared" ref="L34:L36" si="23">K34/I34</f>
        <v>-0.24940617577197147</v>
      </c>
      <c r="M34" s="22">
        <f t="shared" ref="M34" si="24">J34-H34</f>
        <v>-1.8099999999999996</v>
      </c>
      <c r="N34" s="52">
        <f t="shared" ref="N34" si="25">M34/H34</f>
        <v>-0.36418511066398385</v>
      </c>
      <c r="O34" s="52">
        <f t="shared" ref="O34:O37" si="26">J34/F34</f>
        <v>0.33054393305439328</v>
      </c>
    </row>
    <row r="35" spans="2:15" ht="16.5" customHeight="1" x14ac:dyDescent="0.25">
      <c r="B35" s="84" t="s">
        <v>182</v>
      </c>
      <c r="C35" s="107">
        <v>21.76</v>
      </c>
      <c r="D35" s="66">
        <f t="shared" si="20"/>
        <v>2.783316982198795E-3</v>
      </c>
      <c r="E35" s="21"/>
      <c r="F35" s="22">
        <f>ROUND('PU Wise OWE'!$AG$126/10000,2)</f>
        <v>7.15</v>
      </c>
      <c r="G35" s="24">
        <f t="shared" si="21"/>
        <v>8.6446620723008101E-4</v>
      </c>
      <c r="H35" s="70">
        <f>ROUND('PU Wise OWE'!$AG$128/10000,2)</f>
        <v>9.92</v>
      </c>
      <c r="I35" s="22">
        <f>ROUND('PU Wise OWE'!$AG$127/10000,2)</f>
        <v>3.19</v>
      </c>
      <c r="J35" s="23">
        <f>ROUND('PU Wise OWE'!$AG$129/10000,2)</f>
        <v>8.14</v>
      </c>
      <c r="K35" s="22">
        <f t="shared" si="22"/>
        <v>4.9500000000000011</v>
      </c>
      <c r="L35" s="24">
        <f t="shared" si="23"/>
        <v>1.5517241379310349</v>
      </c>
      <c r="M35" s="22">
        <f t="shared" ref="M35:M37" si="27">J35-H35</f>
        <v>-1.7799999999999994</v>
      </c>
      <c r="N35" s="52">
        <f t="shared" ref="N35:N37" si="28">M35/H35</f>
        <v>-0.17943548387096767</v>
      </c>
      <c r="O35" s="52">
        <f t="shared" si="26"/>
        <v>1.1384615384615384</v>
      </c>
    </row>
    <row r="36" spans="2:15" ht="15.75" customHeight="1" x14ac:dyDescent="0.25">
      <c r="B36" s="84" t="s">
        <v>183</v>
      </c>
      <c r="C36" s="107">
        <v>2.42</v>
      </c>
      <c r="D36" s="66">
        <f t="shared" si="20"/>
        <v>3.0954168643938801E-4</v>
      </c>
      <c r="E36" s="21"/>
      <c r="F36" s="22">
        <f>ROUND('PU Wise OWE'!$AJ$126/10000,2)</f>
        <v>2.23</v>
      </c>
      <c r="G36" s="24">
        <f t="shared" si="21"/>
        <v>2.6961673316406725E-4</v>
      </c>
      <c r="H36" s="70">
        <f>ROUND('PU Wise OWE'!$AJ$128/10000,2)</f>
        <v>1.1200000000000001</v>
      </c>
      <c r="I36" s="22">
        <f>ROUND('PU Wise OWE'!$AJ$127/10000,2)</f>
        <v>0.98</v>
      </c>
      <c r="J36" s="23">
        <f>ROUND('PU Wise OWE'!$AJ$129/10000,2)</f>
        <v>0.88</v>
      </c>
      <c r="K36" s="22">
        <f t="shared" si="22"/>
        <v>-9.9999999999999978E-2</v>
      </c>
      <c r="L36" s="24">
        <f t="shared" si="23"/>
        <v>-0.10204081632653059</v>
      </c>
      <c r="M36" s="22">
        <f t="shared" si="27"/>
        <v>-0.2400000000000001</v>
      </c>
      <c r="N36" s="52">
        <f t="shared" si="28"/>
        <v>-0.21428571428571436</v>
      </c>
      <c r="O36" s="52">
        <f t="shared" si="26"/>
        <v>0.39461883408071752</v>
      </c>
    </row>
    <row r="37" spans="2:15" x14ac:dyDescent="0.25">
      <c r="B37" s="25" t="s">
        <v>149</v>
      </c>
      <c r="C37" s="26">
        <v>34.619999999999997</v>
      </c>
      <c r="D37" s="67">
        <f t="shared" si="20"/>
        <v>4.4282368531122366E-3</v>
      </c>
      <c r="E37" s="26"/>
      <c r="F37" s="74">
        <f t="shared" ref="F37:J37" si="29">SUM(F34:F36)</f>
        <v>18.940000000000001</v>
      </c>
      <c r="G37" s="54">
        <f t="shared" si="21"/>
        <v>2.2899286664248581E-3</v>
      </c>
      <c r="H37" s="74">
        <f>SUM(H34:H36)</f>
        <v>16.010000000000002</v>
      </c>
      <c r="I37" s="74">
        <f t="shared" si="29"/>
        <v>8.3800000000000008</v>
      </c>
      <c r="J37" s="74">
        <f t="shared" si="29"/>
        <v>12.180000000000001</v>
      </c>
      <c r="K37" s="26">
        <f t="shared" ref="K37" si="30">J37-I37</f>
        <v>3.8000000000000007</v>
      </c>
      <c r="L37" s="54">
        <f t="shared" ref="L37" si="31">K37/I37</f>
        <v>0.4534606205250597</v>
      </c>
      <c r="M37" s="26">
        <f t="shared" si="27"/>
        <v>-3.83</v>
      </c>
      <c r="N37" s="55">
        <f t="shared" si="28"/>
        <v>-0.2392254840724547</v>
      </c>
      <c r="O37" s="55">
        <f t="shared" si="26"/>
        <v>0.64308342133051744</v>
      </c>
    </row>
    <row r="39" spans="2:15" x14ac:dyDescent="0.25">
      <c r="B39" s="82"/>
      <c r="C39" s="82"/>
      <c r="D39" s="82"/>
      <c r="H39" s="83"/>
      <c r="M39" s="36" t="s">
        <v>150</v>
      </c>
    </row>
    <row r="40" spans="2:15" ht="15" customHeight="1" x14ac:dyDescent="0.25">
      <c r="B40" s="292" t="s">
        <v>164</v>
      </c>
      <c r="C40" s="291" t="s">
        <v>303</v>
      </c>
      <c r="D40" s="291" t="s">
        <v>173</v>
      </c>
      <c r="E40" s="293"/>
      <c r="F40" s="288" t="str">
        <f>'PU Wise OWE'!$B$5</f>
        <v xml:space="preserve">OBG(SL) 2021-22 </v>
      </c>
      <c r="G40" s="291" t="s">
        <v>206</v>
      </c>
      <c r="H40" s="288" t="str">
        <f>'PU Wise OWE'!$B$7</f>
        <v>Actuals upto Aug' 20</v>
      </c>
      <c r="I40" s="288" t="str">
        <f>'PU Wise OWE'!$B$6</f>
        <v>BP to end  Aug-21</v>
      </c>
      <c r="J40" s="288" t="str">
        <f>'PU Wise OWE'!$B$8</f>
        <v>Actuals upto Aug' 21</v>
      </c>
      <c r="K40" s="290" t="s">
        <v>207</v>
      </c>
      <c r="L40" s="290"/>
      <c r="M40" s="290" t="s">
        <v>147</v>
      </c>
      <c r="N40" s="290"/>
      <c r="O40" s="292" t="s">
        <v>315</v>
      </c>
    </row>
    <row r="41" spans="2:15" ht="17.25" customHeight="1" x14ac:dyDescent="0.25">
      <c r="B41" s="292"/>
      <c r="C41" s="289"/>
      <c r="D41" s="289"/>
      <c r="E41" s="294"/>
      <c r="F41" s="289"/>
      <c r="G41" s="289"/>
      <c r="H41" s="289"/>
      <c r="I41" s="289"/>
      <c r="J41" s="289"/>
      <c r="K41" s="79" t="s">
        <v>145</v>
      </c>
      <c r="L41" s="80" t="s">
        <v>146</v>
      </c>
      <c r="M41" s="79" t="s">
        <v>145</v>
      </c>
      <c r="N41" s="80" t="s">
        <v>146</v>
      </c>
      <c r="O41" s="292"/>
    </row>
    <row r="42" spans="2:15" x14ac:dyDescent="0.25">
      <c r="B42" s="27" t="s">
        <v>165</v>
      </c>
      <c r="C42" s="104">
        <v>273.47000000000003</v>
      </c>
      <c r="D42" s="66">
        <f t="shared" ref="D42:D50" si="32">C42/$C$7</f>
        <v>3.4979489665528697E-2</v>
      </c>
      <c r="E42" s="294"/>
      <c r="F42" s="21">
        <f>SUM(F43:F48)</f>
        <v>213.87</v>
      </c>
      <c r="G42" s="24">
        <f t="shared" ref="G42:G50" si="33">F42/$F$7</f>
        <v>2.5857816467174465E-2</v>
      </c>
      <c r="H42" s="70">
        <f>SUM(H43:H48)</f>
        <v>118.19</v>
      </c>
      <c r="I42" s="21">
        <f>SUM(I43:I48)</f>
        <v>94.100000000000009</v>
      </c>
      <c r="J42" s="21">
        <f>SUM(J43:J48)</f>
        <v>250.58999999999997</v>
      </c>
      <c r="K42" s="22">
        <f>J42-I42</f>
        <v>156.48999999999995</v>
      </c>
      <c r="L42" s="24">
        <f>K42/I42</f>
        <v>1.6630180658873532</v>
      </c>
      <c r="M42" s="22">
        <f t="shared" ref="M42" si="34">J42-H42</f>
        <v>132.39999999999998</v>
      </c>
      <c r="N42" s="52">
        <f t="shared" ref="N42" si="35">M42/H42</f>
        <v>1.1202301379135289</v>
      </c>
      <c r="O42" s="52">
        <f t="shared" ref="O42:O49" si="36">J42/F42</f>
        <v>1.1716930845840929</v>
      </c>
    </row>
    <row r="43" spans="2:15" x14ac:dyDescent="0.25">
      <c r="B43" s="57" t="s">
        <v>161</v>
      </c>
      <c r="C43" s="21">
        <v>19.690000000000001</v>
      </c>
      <c r="D43" s="66">
        <f t="shared" si="32"/>
        <v>2.5185437214841119E-3</v>
      </c>
      <c r="E43" s="294"/>
      <c r="F43" s="21">
        <f>ROUND('PU Wise OWE'!$AK$83/10000,2)</f>
        <v>14.25</v>
      </c>
      <c r="G43" s="24">
        <f t="shared" si="33"/>
        <v>1.7228871962277838E-3</v>
      </c>
      <c r="H43" s="70">
        <f>ROUND('PU Wise OWE'!$AK$85/10000,2)</f>
        <v>5.18</v>
      </c>
      <c r="I43" s="21">
        <f>ROUND('PU Wise OWE'!$AK$84/10000,2)</f>
        <v>6.27</v>
      </c>
      <c r="J43" s="21">
        <f>ROUND('PU Wise OWE'!$AK$86/10000,2)</f>
        <v>20.89</v>
      </c>
      <c r="K43" s="22">
        <f t="shared" ref="K43:K50" si="37">J43-I43</f>
        <v>14.620000000000001</v>
      </c>
      <c r="L43" s="24">
        <f t="shared" ref="L43:L50" si="38">K43/I43</f>
        <v>2.331738437001595</v>
      </c>
      <c r="M43" s="22">
        <f t="shared" ref="M43:M49" si="39">J43-H43</f>
        <v>15.71</v>
      </c>
      <c r="N43" s="52">
        <f t="shared" ref="N43:N49" si="40">M43/H43</f>
        <v>3.0328185328185331</v>
      </c>
      <c r="O43" s="52">
        <f t="shared" si="36"/>
        <v>1.4659649122807017</v>
      </c>
    </row>
    <row r="44" spans="2:15" s="260" customFormat="1" x14ac:dyDescent="0.25">
      <c r="B44" s="262" t="s">
        <v>334</v>
      </c>
      <c r="C44" s="21">
        <v>0</v>
      </c>
      <c r="D44" s="66">
        <f t="shared" si="32"/>
        <v>0</v>
      </c>
      <c r="E44" s="294"/>
      <c r="F44" s="21">
        <v>0</v>
      </c>
      <c r="G44" s="24">
        <f t="shared" si="33"/>
        <v>0</v>
      </c>
      <c r="H44" s="70">
        <v>0</v>
      </c>
      <c r="I44" s="21">
        <v>0</v>
      </c>
      <c r="J44" s="21">
        <f>ROUND('PU Wise OWE'!$AP$86/10000,2)</f>
        <v>53.87</v>
      </c>
      <c r="K44" s="22">
        <f t="shared" ref="K44" si="41">J44-I44</f>
        <v>53.87</v>
      </c>
      <c r="L44" s="24" t="e">
        <f t="shared" ref="L44" si="42">K44/I44</f>
        <v>#DIV/0!</v>
      </c>
      <c r="M44" s="22">
        <f t="shared" ref="M44" si="43">J44-H44</f>
        <v>53.87</v>
      </c>
      <c r="N44" s="52" t="e">
        <f t="shared" ref="N44" si="44">M44/H44</f>
        <v>#DIV/0!</v>
      </c>
      <c r="O44" s="52" t="e">
        <f t="shared" ref="O44" si="45">J44/F44</f>
        <v>#DIV/0!</v>
      </c>
    </row>
    <row r="45" spans="2:15" x14ac:dyDescent="0.25">
      <c r="B45" s="58" t="s">
        <v>168</v>
      </c>
      <c r="C45" s="108">
        <v>114.4</v>
      </c>
      <c r="D45" s="66">
        <f t="shared" si="32"/>
        <v>1.4632879722589252E-2</v>
      </c>
      <c r="E45" s="294"/>
      <c r="F45" s="21">
        <f>ROUND('PU Wise OWE'!$AR$83/10000,2)</f>
        <v>78.95</v>
      </c>
      <c r="G45" s="24">
        <f t="shared" si="33"/>
        <v>9.5453995889251599E-3</v>
      </c>
      <c r="H45" s="70">
        <f>ROUND('PU Wise OWE'!$AR$85/10000,2)</f>
        <v>49.17</v>
      </c>
      <c r="I45" s="21">
        <f>ROUND('PU Wise OWE'!$AR$84/10000,2)</f>
        <v>34.74</v>
      </c>
      <c r="J45" s="21">
        <f>ROUND('PU Wise OWE'!$AR$86/10000,2)</f>
        <v>26.3</v>
      </c>
      <c r="K45" s="22">
        <f t="shared" ref="K45:K46" si="46">J45-I45</f>
        <v>-8.4400000000000013</v>
      </c>
      <c r="L45" s="24">
        <f t="shared" ref="L45:L46" si="47">K45/I45</f>
        <v>-0.24294761082325853</v>
      </c>
      <c r="M45" s="22">
        <f t="shared" si="39"/>
        <v>-22.87</v>
      </c>
      <c r="N45" s="52">
        <f t="shared" si="40"/>
        <v>-0.46512100874516982</v>
      </c>
      <c r="O45" s="52">
        <f t="shared" si="36"/>
        <v>0.33312222925902468</v>
      </c>
    </row>
    <row r="46" spans="2:15" x14ac:dyDescent="0.25">
      <c r="B46" s="58" t="s">
        <v>169</v>
      </c>
      <c r="C46" s="108">
        <v>46.69</v>
      </c>
      <c r="D46" s="66">
        <f t="shared" si="32"/>
        <v>5.9721079916756304E-3</v>
      </c>
      <c r="E46" s="294"/>
      <c r="F46" s="21">
        <f>ROUND('PU Wise OWE'!$AU$83/10000,2)</f>
        <v>34.83</v>
      </c>
      <c r="G46" s="24">
        <f t="shared" si="33"/>
        <v>4.2110990206746463E-3</v>
      </c>
      <c r="H46" s="70">
        <f>ROUND('PU Wise OWE'!$AU$85/10000,2)</f>
        <v>18.61</v>
      </c>
      <c r="I46" s="21">
        <f>ROUND('PU Wise OWE'!$AU$84/10000,2)</f>
        <v>15.32</v>
      </c>
      <c r="J46" s="21">
        <f>ROUND('PU Wise OWE'!$AU$86/10000,2)</f>
        <v>11.1</v>
      </c>
      <c r="K46" s="22">
        <f t="shared" si="46"/>
        <v>-4.2200000000000006</v>
      </c>
      <c r="L46" s="24">
        <f t="shared" si="47"/>
        <v>-0.27545691906005226</v>
      </c>
      <c r="M46" s="22">
        <f t="shared" si="39"/>
        <v>-7.51</v>
      </c>
      <c r="N46" s="52">
        <f t="shared" si="40"/>
        <v>-0.40354648038688878</v>
      </c>
      <c r="O46" s="52">
        <f t="shared" si="36"/>
        <v>0.31869078380706289</v>
      </c>
    </row>
    <row r="47" spans="2:15" x14ac:dyDescent="0.25">
      <c r="B47" s="57" t="s">
        <v>166</v>
      </c>
      <c r="C47" s="21">
        <v>54.55</v>
      </c>
      <c r="D47" s="66">
        <f t="shared" si="32"/>
        <v>6.9774789236647173E-3</v>
      </c>
      <c r="E47" s="294"/>
      <c r="F47" s="21">
        <f>ROUND('PU Wise OWE'!$AZ$83/10000,2)</f>
        <v>31.73</v>
      </c>
      <c r="G47" s="24">
        <f t="shared" si="33"/>
        <v>3.8362954902671988E-3</v>
      </c>
      <c r="H47" s="70">
        <f>ROUND('PU Wise OWE'!$AZ$85/10000,2)</f>
        <v>12.5</v>
      </c>
      <c r="I47" s="21">
        <f>ROUND('PU Wise OWE'!$AZ$84/10000,2)</f>
        <v>13.96</v>
      </c>
      <c r="J47" s="21">
        <f>ROUND('PU Wise OWE'!$AZ$86/10000,2)</f>
        <v>47.51</v>
      </c>
      <c r="K47" s="22">
        <f t="shared" si="37"/>
        <v>33.549999999999997</v>
      </c>
      <c r="L47" s="24">
        <f t="shared" si="38"/>
        <v>2.4032951289398277</v>
      </c>
      <c r="M47" s="22">
        <f t="shared" si="39"/>
        <v>35.01</v>
      </c>
      <c r="N47" s="52">
        <f t="shared" si="40"/>
        <v>2.8007999999999997</v>
      </c>
      <c r="O47" s="52">
        <f t="shared" si="36"/>
        <v>1.4973211471793255</v>
      </c>
    </row>
    <row r="48" spans="2:15" x14ac:dyDescent="0.25">
      <c r="B48" s="58" t="s">
        <v>167</v>
      </c>
      <c r="C48" s="108">
        <v>38.14</v>
      </c>
      <c r="D48" s="66">
        <f t="shared" si="32"/>
        <v>4.878479306114983E-3</v>
      </c>
      <c r="E48" s="294"/>
      <c r="F48" s="21">
        <f>ROUND('PU Wise OWE'!$BA$83/10000,2)</f>
        <v>54.11</v>
      </c>
      <c r="G48" s="24">
        <f t="shared" si="33"/>
        <v>6.5421351710796757E-3</v>
      </c>
      <c r="H48" s="70">
        <f>ROUND('PU Wise OWE'!$BA$85/10000,2)</f>
        <v>32.729999999999997</v>
      </c>
      <c r="I48" s="21">
        <f>ROUND('PU Wise OWE'!$BA$84/10000,2)</f>
        <v>23.81</v>
      </c>
      <c r="J48" s="21">
        <f>ROUND('PU Wise OWE'!$BA$86/10000,2)</f>
        <v>90.92</v>
      </c>
      <c r="K48" s="22">
        <f t="shared" si="37"/>
        <v>67.11</v>
      </c>
      <c r="L48" s="24">
        <f t="shared" si="38"/>
        <v>2.8185636287274254</v>
      </c>
      <c r="M48" s="22">
        <f t="shared" si="39"/>
        <v>58.190000000000005</v>
      </c>
      <c r="N48" s="52">
        <f t="shared" si="40"/>
        <v>1.7778796211426828</v>
      </c>
      <c r="O48" s="52">
        <f t="shared" si="36"/>
        <v>1.680280909258917</v>
      </c>
    </row>
    <row r="49" spans="2:15" x14ac:dyDescent="0.25">
      <c r="B49" s="59" t="s">
        <v>170</v>
      </c>
      <c r="C49" s="103">
        <v>663.48</v>
      </c>
      <c r="D49" s="66">
        <f t="shared" si="32"/>
        <v>8.4865585999506263E-2</v>
      </c>
      <c r="E49" s="294"/>
      <c r="F49" s="21">
        <f>ROUND('PU Wise OWE'!$AM$83/10000,2)</f>
        <v>685.16</v>
      </c>
      <c r="G49" s="24">
        <f t="shared" si="33"/>
        <v>8.2838834481924792E-2</v>
      </c>
      <c r="H49" s="70">
        <f>ROUND('PU Wise OWE'!$AM$85/10000,2)</f>
        <v>263.08999999999997</v>
      </c>
      <c r="I49" s="21">
        <f>ROUND('PU Wise OWE'!$AM$84/10000,2)</f>
        <v>301.47000000000003</v>
      </c>
      <c r="J49" s="21">
        <f>ROUND('PU Wise OWE'!$AM$86/10000,2)</f>
        <v>391.07</v>
      </c>
      <c r="K49" s="22">
        <f t="shared" si="37"/>
        <v>89.599999999999966</v>
      </c>
      <c r="L49" s="24">
        <f t="shared" si="38"/>
        <v>0.29721033602016772</v>
      </c>
      <c r="M49" s="22">
        <f t="shared" si="39"/>
        <v>127.98000000000002</v>
      </c>
      <c r="N49" s="52">
        <f t="shared" si="40"/>
        <v>0.48644950397202491</v>
      </c>
      <c r="O49" s="52">
        <f t="shared" si="36"/>
        <v>0.57077179053067895</v>
      </c>
    </row>
    <row r="50" spans="2:15" s="36" customFormat="1" x14ac:dyDescent="0.25">
      <c r="B50" s="60" t="s">
        <v>130</v>
      </c>
      <c r="C50" s="74">
        <f>C42+C49</f>
        <v>936.95</v>
      </c>
      <c r="D50" s="67">
        <f t="shared" si="32"/>
        <v>0.11984507566503497</v>
      </c>
      <c r="E50" s="295"/>
      <c r="F50" s="26">
        <f>F42+F49</f>
        <v>899.03</v>
      </c>
      <c r="G50" s="54">
        <f t="shared" si="33"/>
        <v>0.10869665094909926</v>
      </c>
      <c r="H50" s="74">
        <f>H42+H49</f>
        <v>381.28</v>
      </c>
      <c r="I50" s="26">
        <f>I42+I49</f>
        <v>395.57000000000005</v>
      </c>
      <c r="J50" s="26">
        <f>J42+J49</f>
        <v>641.66</v>
      </c>
      <c r="K50" s="26">
        <f t="shared" si="37"/>
        <v>246.08999999999992</v>
      </c>
      <c r="L50" s="54">
        <f t="shared" si="38"/>
        <v>0.62211492276967384</v>
      </c>
      <c r="M50" s="26">
        <f t="shared" ref="M50" si="48">J50-H50</f>
        <v>260.38</v>
      </c>
      <c r="N50" s="55">
        <f t="shared" ref="N50" si="49">M50/H50</f>
        <v>0.68291019723038193</v>
      </c>
      <c r="O50" s="55">
        <f t="shared" ref="O50" si="50">J50/F50</f>
        <v>0.71372479227611985</v>
      </c>
    </row>
    <row r="52" spans="2:15" x14ac:dyDescent="0.25">
      <c r="B52" s="75" t="s">
        <v>184</v>
      </c>
      <c r="C52" s="75"/>
    </row>
    <row r="53" spans="2:15" ht="47.25" customHeight="1" x14ac:dyDescent="0.25">
      <c r="B53" s="81" t="s">
        <v>185</v>
      </c>
      <c r="C53" s="109">
        <v>188.88</v>
      </c>
      <c r="D53" s="66">
        <f t="shared" ref="D53:D55" si="51">C53/$C$7</f>
        <v>2.4159600716806451E-2</v>
      </c>
      <c r="E53" s="305"/>
      <c r="F53" s="22">
        <f>ROUND('PU Wise OWE'!$AK$126/10000,2)-F43</f>
        <v>121.82</v>
      </c>
      <c r="G53" s="24">
        <f t="shared" ref="G53:G55" si="52">F53/$F$7</f>
        <v>1.4728569701366219E-2</v>
      </c>
      <c r="H53" s="70">
        <f>ROUND('PU Wise OWE'!$AK$128/10000,2)-H43</f>
        <v>63.82</v>
      </c>
      <c r="I53" s="22">
        <f>ROUND('PU Wise OWE'!$AK$127/10000,2)-I43</f>
        <v>53.599999999999994</v>
      </c>
      <c r="J53" s="22">
        <f>ROUND('PU Wise OWE'!$AK$129/10000,2)-J43</f>
        <v>54.94</v>
      </c>
      <c r="K53" s="22">
        <f>J53-I53</f>
        <v>1.3400000000000034</v>
      </c>
      <c r="L53" s="24">
        <f>K53/I53</f>
        <v>2.5000000000000067E-2</v>
      </c>
      <c r="M53" s="22">
        <f t="shared" ref="M53" si="53">J53-H53</f>
        <v>-8.8800000000000026</v>
      </c>
      <c r="N53" s="52">
        <f t="shared" ref="N53" si="54">M53/H53</f>
        <v>-0.13914133500470077</v>
      </c>
      <c r="O53" s="52">
        <f t="shared" ref="O53:O55" si="55">J53/F53</f>
        <v>0.45099326875718271</v>
      </c>
    </row>
    <row r="54" spans="2:15" x14ac:dyDescent="0.25">
      <c r="B54" s="20" t="s">
        <v>162</v>
      </c>
      <c r="C54" s="105">
        <v>121.46</v>
      </c>
      <c r="D54" s="66">
        <f t="shared" si="51"/>
        <v>1.5535922824350441E-2</v>
      </c>
      <c r="E54" s="306"/>
      <c r="F54" s="22">
        <f>ROUND('PU Wise OWE'!$AL$126/10000,2)</f>
        <v>109.58</v>
      </c>
      <c r="G54" s="24">
        <f t="shared" si="52"/>
        <v>1.3248700278080039E-2</v>
      </c>
      <c r="H54" s="70">
        <f>ROUND('PU Wise OWE'!$AL$128/10000,2)</f>
        <v>49.04</v>
      </c>
      <c r="I54" s="22">
        <f>ROUND('PU Wise OWE'!$AL$127/10000,2)</f>
        <v>48.22</v>
      </c>
      <c r="J54" s="23">
        <f>ROUND('PU Wise OWE'!$AL$129/10000,2)</f>
        <v>35.659999999999997</v>
      </c>
      <c r="K54" s="22">
        <f t="shared" ref="K54" si="56">J54-I54</f>
        <v>-12.560000000000002</v>
      </c>
      <c r="L54" s="24">
        <f t="shared" ref="L54" si="57">K54/I54</f>
        <v>-0.26047283284944012</v>
      </c>
      <c r="M54" s="22">
        <f t="shared" ref="M54:M55" si="58">J54-H54</f>
        <v>-13.380000000000003</v>
      </c>
      <c r="N54" s="52">
        <f t="shared" ref="N54:N55" si="59">M54/H54</f>
        <v>-0.27283849918433939</v>
      </c>
      <c r="O54" s="52">
        <f t="shared" si="55"/>
        <v>0.32542434750866944</v>
      </c>
    </row>
    <row r="55" spans="2:15" s="36" customFormat="1" x14ac:dyDescent="0.25">
      <c r="B55" s="25" t="s">
        <v>130</v>
      </c>
      <c r="C55" s="26">
        <f>C53+C54</f>
        <v>310.33999999999997</v>
      </c>
      <c r="D55" s="67">
        <f t="shared" si="51"/>
        <v>3.9695523541156887E-2</v>
      </c>
      <c r="E55" s="307"/>
      <c r="F55" s="74">
        <f t="shared" ref="F55:J55" si="60">SUM(F53:F54)</f>
        <v>231.39999999999998</v>
      </c>
      <c r="G55" s="54">
        <f t="shared" si="52"/>
        <v>2.7977269979446256E-2</v>
      </c>
      <c r="H55" s="74">
        <f>SUM(H53:H54)</f>
        <v>112.86</v>
      </c>
      <c r="I55" s="74">
        <f t="shared" si="60"/>
        <v>101.82</v>
      </c>
      <c r="J55" s="74">
        <f t="shared" si="60"/>
        <v>90.6</v>
      </c>
      <c r="K55" s="26">
        <f t="shared" ref="K55" si="61">J55-I55</f>
        <v>-11.219999999999999</v>
      </c>
      <c r="L55" s="54">
        <f t="shared" ref="L55" si="62">K55/I55</f>
        <v>-0.11019446081319977</v>
      </c>
      <c r="M55" s="26">
        <f t="shared" si="58"/>
        <v>-22.260000000000005</v>
      </c>
      <c r="N55" s="55">
        <f t="shared" si="59"/>
        <v>-0.19723551302498676</v>
      </c>
      <c r="O55" s="55">
        <f t="shared" si="55"/>
        <v>0.39152981849611063</v>
      </c>
    </row>
    <row r="57" spans="2:15" s="36" customFormat="1" x14ac:dyDescent="0.25">
      <c r="B57" s="202" t="s">
        <v>163</v>
      </c>
      <c r="C57" s="110">
        <v>348.19</v>
      </c>
      <c r="D57" s="197" t="e">
        <f>#REF!/#REF!</f>
        <v>#REF!</v>
      </c>
      <c r="E57" s="53"/>
      <c r="F57" s="198">
        <f>ROUND('PU Wise OWE'!$AO$126/10000,2)</f>
        <v>304.54000000000002</v>
      </c>
      <c r="G57" s="199">
        <f t="shared" ref="G57" si="63">F57/$F$7</f>
        <v>3.6820215209769074E-2</v>
      </c>
      <c r="H57" s="203">
        <f>ROUND('PU Wise OWE'!$AO$128/10000,2)</f>
        <v>151.16</v>
      </c>
      <c r="I57" s="198">
        <f>ROUND('PU Wise OWE'!$AO$127/10000,2)</f>
        <v>134</v>
      </c>
      <c r="J57" s="133">
        <f>ROUND('PU Wise OWE'!$AO$129/10000,2)</f>
        <v>141.69</v>
      </c>
      <c r="K57" s="198">
        <f t="shared" ref="K57" si="64">J57-I57</f>
        <v>7.6899999999999977</v>
      </c>
      <c r="L57" s="199">
        <f t="shared" ref="L57" si="65">K57/I57</f>
        <v>5.7388059701492522E-2</v>
      </c>
      <c r="M57" s="198">
        <f t="shared" ref="M57" si="66">J57-H57</f>
        <v>-9.4699999999999989</v>
      </c>
      <c r="N57" s="200">
        <f t="shared" ref="N57" si="67">M57/H57</f>
        <v>-6.2648848901825871E-2</v>
      </c>
      <c r="O57" s="200">
        <f t="shared" ref="O57" si="68">J57/F57</f>
        <v>0.46525907926709131</v>
      </c>
    </row>
    <row r="58" spans="2:15" x14ac:dyDescent="0.25">
      <c r="C58" s="195"/>
      <c r="O58" s="100"/>
    </row>
    <row r="59" spans="2:15" x14ac:dyDescent="0.25">
      <c r="B59" s="75" t="s">
        <v>186</v>
      </c>
      <c r="C59" s="201"/>
      <c r="O59" s="201"/>
    </row>
    <row r="60" spans="2:15" x14ac:dyDescent="0.25">
      <c r="B60" s="23" t="s">
        <v>187</v>
      </c>
      <c r="C60" s="22">
        <v>80.099999999999994</v>
      </c>
      <c r="D60" s="66">
        <f t="shared" ref="D60:D64" si="69">C60/$C$7</f>
        <v>1.0245574001568173E-2</v>
      </c>
      <c r="E60" s="302"/>
      <c r="F60" s="22">
        <f>ROUND('PU Wise OWE'!$AM$61/10000,2)</f>
        <v>67.81</v>
      </c>
      <c r="G60" s="24">
        <f t="shared" ref="G60:G64" si="70">F60/$F$7</f>
        <v>8.1985249667512992E-3</v>
      </c>
      <c r="H60" s="70">
        <f>ROUND('PU Wise OWE'!$AM$63/10000,2)</f>
        <v>32.619999999999997</v>
      </c>
      <c r="I60" s="22">
        <f>ROUND('PU Wise OWE'!$AM$62/10000,2)</f>
        <v>29.83</v>
      </c>
      <c r="J60" s="23">
        <f>ROUND('PU Wise OWE'!$AM$64/10000,2)</f>
        <v>36.61</v>
      </c>
      <c r="K60" s="22">
        <f t="shared" ref="K60:K62" si="71">J60-I60</f>
        <v>6.7800000000000011</v>
      </c>
      <c r="L60" s="24">
        <f t="shared" ref="L60:L62" si="72">K60/I60</f>
        <v>0.2272879651357694</v>
      </c>
      <c r="M60" s="22">
        <f t="shared" ref="M60" si="73">J60-H60</f>
        <v>3.990000000000002</v>
      </c>
      <c r="N60" s="52">
        <f t="shared" ref="N60" si="74">M60/H60</f>
        <v>0.12231759656652368</v>
      </c>
      <c r="O60" s="52">
        <f t="shared" ref="O60:O64" si="75">J60/F60</f>
        <v>0.5398908715528683</v>
      </c>
    </row>
    <row r="61" spans="2:15" x14ac:dyDescent="0.25">
      <c r="B61" s="23" t="s">
        <v>188</v>
      </c>
      <c r="C61" s="22">
        <v>21.26</v>
      </c>
      <c r="D61" s="66">
        <f t="shared" si="69"/>
        <v>2.7193620883063595E-3</v>
      </c>
      <c r="E61" s="303"/>
      <c r="F61" s="22">
        <f>ROUND('PU Wise OWE'!$AM$94/10000,2)</f>
        <v>16.309999999999999</v>
      </c>
      <c r="G61" s="24">
        <f t="shared" si="70"/>
        <v>1.9719501874017652E-3</v>
      </c>
      <c r="H61" s="70">
        <f>ROUND('PU Wise OWE'!$AM$96/10000,2)</f>
        <v>7.44</v>
      </c>
      <c r="I61" s="22">
        <f>ROUND('PU Wise OWE'!$AM$95/10000,2)</f>
        <v>7.18</v>
      </c>
      <c r="J61" s="23">
        <f>ROUND('PU Wise OWE'!$AM$97/10000,2)</f>
        <v>7.02</v>
      </c>
      <c r="K61" s="22">
        <f t="shared" si="71"/>
        <v>-0.16000000000000014</v>
      </c>
      <c r="L61" s="24">
        <f t="shared" si="72"/>
        <v>-2.2284122562674116E-2</v>
      </c>
      <c r="M61" s="22">
        <f t="shared" ref="M61:M63" si="76">J61-H61</f>
        <v>-0.42000000000000082</v>
      </c>
      <c r="N61" s="52">
        <f t="shared" ref="N61:N63" si="77">M61/H61</f>
        <v>-5.6451612903225916E-2</v>
      </c>
      <c r="O61" s="52">
        <f t="shared" si="75"/>
        <v>0.43041079092581241</v>
      </c>
    </row>
    <row r="62" spans="2:15" x14ac:dyDescent="0.25">
      <c r="B62" s="23" t="s">
        <v>189</v>
      </c>
      <c r="C62" s="22">
        <v>9.89</v>
      </c>
      <c r="D62" s="66">
        <f t="shared" si="69"/>
        <v>1.265027801192375E-3</v>
      </c>
      <c r="E62" s="303"/>
      <c r="F62" s="22">
        <f>ROUND('PU Wise OWE'!$AN$16/10000,2)</f>
        <v>10.1</v>
      </c>
      <c r="G62" s="24">
        <f>F62/$F$7</f>
        <v>1.2211340829403942E-3</v>
      </c>
      <c r="H62" s="70">
        <f>ROUND('PU Wise OWE'!$AN$18/10000,2)</f>
        <v>6.38</v>
      </c>
      <c r="I62" s="22">
        <f>ROUND('PU Wise OWE'!$AN$17/10000,2)</f>
        <v>4.45</v>
      </c>
      <c r="J62" s="23">
        <f>ROUND('PU Wise OWE'!$AN$19/10000,2)</f>
        <v>7.54</v>
      </c>
      <c r="K62" s="22">
        <f t="shared" si="71"/>
        <v>3.09</v>
      </c>
      <c r="L62" s="24">
        <f t="shared" si="72"/>
        <v>0.69438202247191005</v>
      </c>
      <c r="M62" s="22">
        <f t="shared" si="76"/>
        <v>1.1600000000000001</v>
      </c>
      <c r="N62" s="52">
        <f t="shared" si="77"/>
        <v>0.18181818181818185</v>
      </c>
      <c r="O62" s="52">
        <f t="shared" si="75"/>
        <v>0.74653465346534653</v>
      </c>
    </row>
    <row r="63" spans="2:15" x14ac:dyDescent="0.25">
      <c r="B63" s="23" t="s">
        <v>190</v>
      </c>
      <c r="C63" s="22">
        <v>1.64</v>
      </c>
      <c r="D63" s="66">
        <f t="shared" si="69"/>
        <v>2.0977205196718855E-4</v>
      </c>
      <c r="E63" s="303"/>
      <c r="F63" s="22">
        <f>ROUND('PU Wise OWE'!$AN$61/10000,2)</f>
        <v>1.46</v>
      </c>
      <c r="G63" s="24">
        <f>F63/$F$7</f>
        <v>1.7652037238544312E-4</v>
      </c>
      <c r="H63" s="70">
        <f>ROUND('PU Wise OWE'!$AN$63/10000,2)</f>
        <v>0.48</v>
      </c>
      <c r="I63" s="22">
        <f>ROUND('PU Wise OWE'!$AN$62/10000,2)</f>
        <v>0.64</v>
      </c>
      <c r="J63" s="23">
        <f>ROUND('PU Wise OWE'!$AN$64/10000,2)</f>
        <v>1.63</v>
      </c>
      <c r="K63" s="22">
        <f t="shared" ref="K63" si="78">J63-I63</f>
        <v>0.98999999999999988</v>
      </c>
      <c r="L63" s="24">
        <f t="shared" ref="L63" si="79">K63/I63</f>
        <v>1.5468749999999998</v>
      </c>
      <c r="M63" s="22">
        <f t="shared" si="76"/>
        <v>1.1499999999999999</v>
      </c>
      <c r="N63" s="52">
        <f t="shared" si="77"/>
        <v>2.395833333333333</v>
      </c>
      <c r="O63" s="52">
        <f t="shared" si="75"/>
        <v>1.1164383561643836</v>
      </c>
    </row>
    <row r="64" spans="2:15" s="36" customFormat="1" x14ac:dyDescent="0.25">
      <c r="B64" s="25" t="s">
        <v>130</v>
      </c>
      <c r="C64" s="26">
        <f>C60+C61+C62+C63</f>
        <v>112.89</v>
      </c>
      <c r="D64" s="67">
        <f t="shared" si="69"/>
        <v>1.4439735943034097E-2</v>
      </c>
      <c r="E64" s="304"/>
      <c r="F64" s="26">
        <f>SUM(F60:F63)</f>
        <v>95.679999999999993</v>
      </c>
      <c r="G64" s="54">
        <f t="shared" si="70"/>
        <v>1.1568129609478901E-2</v>
      </c>
      <c r="H64" s="74">
        <f>SUM(H60:H63)</f>
        <v>46.919999999999995</v>
      </c>
      <c r="I64" s="26">
        <f>SUM(I60:I63)</f>
        <v>42.1</v>
      </c>
      <c r="J64" s="26">
        <f>SUM(J60:J63)</f>
        <v>52.8</v>
      </c>
      <c r="K64" s="26">
        <f t="shared" ref="K64" si="80">J64-I64</f>
        <v>10.699999999999996</v>
      </c>
      <c r="L64" s="54">
        <f t="shared" ref="L64" si="81">K64/I64</f>
        <v>0.25415676959619943</v>
      </c>
      <c r="M64" s="26">
        <f t="shared" ref="M64" si="82">J64-H64</f>
        <v>5.8800000000000026</v>
      </c>
      <c r="N64" s="55">
        <f t="shared" ref="N64" si="83">M64/H64</f>
        <v>0.12531969309462923</v>
      </c>
      <c r="O64" s="55">
        <f t="shared" si="75"/>
        <v>0.55183946488294311</v>
      </c>
    </row>
    <row r="65" spans="2:15" x14ac:dyDescent="0.25">
      <c r="O65" s="92"/>
    </row>
    <row r="66" spans="2:15" x14ac:dyDescent="0.25">
      <c r="B66" s="75" t="s">
        <v>191</v>
      </c>
      <c r="C66" s="75"/>
    </row>
    <row r="67" spans="2:15" x14ac:dyDescent="0.25">
      <c r="B67" s="23" t="s">
        <v>192</v>
      </c>
      <c r="C67" s="22">
        <v>1117.51</v>
      </c>
      <c r="D67" s="66">
        <f t="shared" ref="D67:D69" si="84">C67/$C$7</f>
        <v>0.14294046694747128</v>
      </c>
      <c r="E67" s="23"/>
      <c r="F67" s="22">
        <f>ROUND('PU Wise OWE'!$AP$72/10000,2)</f>
        <v>1543.31</v>
      </c>
      <c r="G67" s="24">
        <f t="shared" ref="G67:G69" si="85">F67/$F$7</f>
        <v>0.18659291500423164</v>
      </c>
      <c r="H67" s="70">
        <f>ROUND('PU Wise OWE'!$AP$74/10000,2)</f>
        <v>679.64</v>
      </c>
      <c r="I67" s="22">
        <f>ROUND('PU Wise OWE'!$AP$73/10000,2)</f>
        <v>719.64</v>
      </c>
      <c r="J67" s="23">
        <f>ROUND('PU Wise OWE'!$AP$75/10000,2)</f>
        <v>698.64</v>
      </c>
      <c r="K67" s="22">
        <f t="shared" ref="K67" si="86">J67-I67</f>
        <v>-21</v>
      </c>
      <c r="L67" s="24">
        <f t="shared" ref="L67" si="87">K67/I67</f>
        <v>-2.9181257295314324E-2</v>
      </c>
      <c r="M67" s="22">
        <f t="shared" ref="M67" si="88">J67-H67</f>
        <v>19</v>
      </c>
      <c r="N67" s="52">
        <f t="shared" ref="N67" si="89">M67/H67</f>
        <v>2.795597669354364E-2</v>
      </c>
      <c r="O67" s="52">
        <f t="shared" ref="O67:O69" si="90">J67/F67</f>
        <v>0.45268934951500345</v>
      </c>
    </row>
    <row r="68" spans="2:15" x14ac:dyDescent="0.25">
      <c r="B68" s="87" t="s">
        <v>193</v>
      </c>
      <c r="C68" s="111">
        <v>38.520000000000003</v>
      </c>
      <c r="D68" s="66">
        <f t="shared" si="84"/>
        <v>4.9270850254732341E-3</v>
      </c>
      <c r="E68" s="23"/>
      <c r="F68" s="22">
        <f>ROUND('PU Wise OWE'!$AP$126/10000,2)-F67</f>
        <v>35.230000000000018</v>
      </c>
      <c r="G68" s="24">
        <f t="shared" si="85"/>
        <v>4.2594607665336738E-3</v>
      </c>
      <c r="H68" s="70">
        <f>ROUND('PU Wise OWE'!$AP$128/10000,2)-H67</f>
        <v>21.690000000000055</v>
      </c>
      <c r="I68" s="22">
        <f>ROUND('PU Wise OWE'!$AP$127/10000,2)-I67</f>
        <v>15.509999999999991</v>
      </c>
      <c r="J68" s="23">
        <f>ROUND('PU Wise OWE'!$AP$129/10000,2)-J67-ROUND('PU Wise OWE'!$AP$86/10000,2)</f>
        <v>31.769999999999989</v>
      </c>
      <c r="K68" s="22">
        <f t="shared" ref="K68:K84" si="91">J68-I68</f>
        <v>16.259999999999998</v>
      </c>
      <c r="L68" s="24">
        <f t="shared" ref="L68:L84" si="92">K68/I68</f>
        <v>1.0483558994197297</v>
      </c>
      <c r="M68" s="22">
        <f t="shared" ref="M68" si="93">J68-H68</f>
        <v>10.079999999999934</v>
      </c>
      <c r="N68" s="52">
        <f t="shared" ref="N68" si="94">M68/H68</f>
        <v>0.46473029045642733</v>
      </c>
      <c r="O68" s="52">
        <f t="shared" si="90"/>
        <v>0.90178824865171647</v>
      </c>
    </row>
    <row r="69" spans="2:15" s="36" customFormat="1" x14ac:dyDescent="0.25">
      <c r="B69" s="25" t="s">
        <v>130</v>
      </c>
      <c r="C69" s="26">
        <f>C67+C68</f>
        <v>1156.03</v>
      </c>
      <c r="D69" s="67">
        <f t="shared" si="84"/>
        <v>0.14786755197294452</v>
      </c>
      <c r="E69" s="88"/>
      <c r="F69" s="74">
        <f>SUM(F67:F68)</f>
        <v>1578.54</v>
      </c>
      <c r="G69" s="54">
        <f t="shared" si="85"/>
        <v>0.19085237577076533</v>
      </c>
      <c r="H69" s="74">
        <f>SUM(H67:H68)</f>
        <v>701.33</v>
      </c>
      <c r="I69" s="74">
        <f>SUM(I67:I68)</f>
        <v>735.15</v>
      </c>
      <c r="J69" s="74">
        <f>SUM(J67:J68)</f>
        <v>730.41</v>
      </c>
      <c r="K69" s="26">
        <f t="shared" si="91"/>
        <v>-4.7400000000000091</v>
      </c>
      <c r="L69" s="54">
        <f t="shared" si="92"/>
        <v>-6.4476637420934632E-3</v>
      </c>
      <c r="M69" s="26">
        <f t="shared" ref="M69" si="95">J69-H69</f>
        <v>29.079999999999927</v>
      </c>
      <c r="N69" s="55">
        <f t="shared" ref="N69" si="96">M69/H69</f>
        <v>4.1464075399597802E-2</v>
      </c>
      <c r="O69" s="55">
        <f t="shared" si="90"/>
        <v>0.46271237979398683</v>
      </c>
    </row>
    <row r="70" spans="2:15" x14ac:dyDescent="0.25">
      <c r="E70" s="31"/>
      <c r="F70" s="34"/>
      <c r="G70" s="34"/>
      <c r="I70" s="34"/>
      <c r="J70" s="31"/>
      <c r="K70" s="34"/>
      <c r="L70" s="35"/>
      <c r="M70" s="34"/>
      <c r="N70" s="92"/>
      <c r="O70" s="36"/>
    </row>
    <row r="71" spans="2:15" x14ac:dyDescent="0.25">
      <c r="B71" s="75" t="s">
        <v>195</v>
      </c>
      <c r="C71" s="75"/>
      <c r="E71" s="31"/>
      <c r="F71" s="34"/>
      <c r="G71" s="34"/>
      <c r="I71" s="34"/>
      <c r="J71" s="31"/>
      <c r="K71" s="34"/>
      <c r="L71" s="35"/>
      <c r="M71" s="34"/>
      <c r="N71" s="92"/>
    </row>
    <row r="72" spans="2:15" x14ac:dyDescent="0.25">
      <c r="B72" s="23" t="s">
        <v>194</v>
      </c>
      <c r="C72" s="22">
        <v>12.31</v>
      </c>
      <c r="D72" s="66">
        <f t="shared" ref="D72:D74" si="97">C72/$C$7</f>
        <v>1.5745694876317631E-3</v>
      </c>
      <c r="E72" s="23"/>
      <c r="F72" s="70">
        <f>ROUND('PU Wise OWE'!$AQ$28/10000,2)+ROUND('PU Wise OWE'!$BB$28/10000,2)</f>
        <v>11.17</v>
      </c>
      <c r="G72" s="24">
        <f t="shared" ref="G72:G74" si="98">F72/$F$7</f>
        <v>1.3505017531132873E-3</v>
      </c>
      <c r="H72" s="70">
        <f>ROUND('PU Wise OWE'!$AQ$30/10000,2)+ROUND('PU Wise OWE'!$BB$30/10000,2)</f>
        <v>8.84</v>
      </c>
      <c r="I72" s="70">
        <f>ROUND('PU Wise OWE'!$AQ$29/10000,2)+ROUND('PU Wise OWE'!$BB$29/10000,2)</f>
        <v>4.91</v>
      </c>
      <c r="J72" s="70">
        <f>ROUND('PU Wise OWE'!$AQ$31/10000,2)+ROUND('PU Wise OWE'!$BB$31/10000,2)</f>
        <v>11.41</v>
      </c>
      <c r="K72" s="22">
        <f t="shared" si="91"/>
        <v>6.5</v>
      </c>
      <c r="L72" s="24">
        <f t="shared" si="92"/>
        <v>1.3238289205702647</v>
      </c>
      <c r="M72" s="22">
        <f t="shared" ref="M72:M73" si="99">J72-H72</f>
        <v>2.5700000000000003</v>
      </c>
      <c r="N72" s="52">
        <f t="shared" ref="N72:N73" si="100">M72/H72</f>
        <v>0.29072398190045251</v>
      </c>
      <c r="O72" s="52">
        <f t="shared" ref="O72:O74" si="101">J72/F72</f>
        <v>1.0214861235452104</v>
      </c>
    </row>
    <row r="73" spans="2:15" x14ac:dyDescent="0.25">
      <c r="B73" s="23" t="s">
        <v>196</v>
      </c>
      <c r="C73" s="22">
        <v>114.52</v>
      </c>
      <c r="D73" s="66">
        <f t="shared" si="97"/>
        <v>1.4648228897123436E-2</v>
      </c>
      <c r="E73" s="23"/>
      <c r="F73" s="70">
        <f>ROUND('PU Wise OWE'!$AQ$39/10000,2)+ROUND('PU Wise OWE'!$BB$39/10000,2)</f>
        <v>79.58</v>
      </c>
      <c r="G73" s="24">
        <f t="shared" si="98"/>
        <v>9.6215693386531246E-3</v>
      </c>
      <c r="H73" s="70">
        <f>ROUND('PU Wise OWE'!$AQ$41/10000,2)+ROUND('PU Wise OWE'!$BB$41/10000,2)</f>
        <v>28.400000000000002</v>
      </c>
      <c r="I73" s="70">
        <f>ROUND('PU Wise OWE'!$AQ$40/10000,2)+ROUND('PU Wise OWE'!$BB$40/10000,2)</f>
        <v>35.01</v>
      </c>
      <c r="J73" s="70">
        <f>ROUND('PU Wise OWE'!$AQ$42/10000,2)+ROUND('PU Wise OWE'!$BB$42/10000,2)</f>
        <v>60.629999999999995</v>
      </c>
      <c r="K73" s="22">
        <f t="shared" si="91"/>
        <v>25.619999999999997</v>
      </c>
      <c r="L73" s="24">
        <f t="shared" si="92"/>
        <v>0.73179091688089115</v>
      </c>
      <c r="M73" s="22">
        <f t="shared" si="99"/>
        <v>32.22999999999999</v>
      </c>
      <c r="N73" s="52">
        <f t="shared" si="100"/>
        <v>1.134859154929577</v>
      </c>
      <c r="O73" s="52">
        <f t="shared" si="101"/>
        <v>0.76187484292535812</v>
      </c>
    </row>
    <row r="74" spans="2:15" s="36" customFormat="1" x14ac:dyDescent="0.25">
      <c r="B74" s="25" t="s">
        <v>130</v>
      </c>
      <c r="C74" s="26">
        <f>C72+C73</f>
        <v>126.83</v>
      </c>
      <c r="D74" s="67">
        <f t="shared" si="97"/>
        <v>1.62227983847552E-2</v>
      </c>
      <c r="E74" s="25"/>
      <c r="F74" s="74">
        <f>SUM(F72:F73)</f>
        <v>90.75</v>
      </c>
      <c r="G74" s="54">
        <f t="shared" si="98"/>
        <v>1.0972071091766412E-2</v>
      </c>
      <c r="H74" s="74">
        <f>SUM(H72:H73)</f>
        <v>37.24</v>
      </c>
      <c r="I74" s="74">
        <f t="shared" ref="I74:J74" si="102">SUM(I72:I73)</f>
        <v>39.92</v>
      </c>
      <c r="J74" s="74">
        <f t="shared" si="102"/>
        <v>72.039999999999992</v>
      </c>
      <c r="K74" s="26">
        <f t="shared" si="91"/>
        <v>32.11999999999999</v>
      </c>
      <c r="L74" s="54">
        <f t="shared" si="92"/>
        <v>0.8046092184368735</v>
      </c>
      <c r="M74" s="26">
        <f t="shared" ref="M74" si="103">J74-H74</f>
        <v>34.79999999999999</v>
      </c>
      <c r="N74" s="55">
        <f t="shared" ref="N74" si="104">M74/H74</f>
        <v>0.93447905477980631</v>
      </c>
      <c r="O74" s="55">
        <f t="shared" si="101"/>
        <v>0.79382920110192834</v>
      </c>
    </row>
    <row r="75" spans="2:15" s="36" customFormat="1" x14ac:dyDescent="0.25">
      <c r="B75" s="209"/>
      <c r="C75" s="210"/>
      <c r="D75" s="212"/>
      <c r="E75" s="209"/>
      <c r="F75" s="211"/>
      <c r="G75" s="213"/>
      <c r="H75" s="211"/>
      <c r="I75" s="211"/>
      <c r="J75" s="211"/>
      <c r="K75" s="210"/>
      <c r="L75" s="213"/>
      <c r="M75" s="210"/>
      <c r="N75" s="214"/>
      <c r="O75" s="214"/>
    </row>
    <row r="76" spans="2:15" s="36" customFormat="1" x14ac:dyDescent="0.25">
      <c r="B76" s="209"/>
      <c r="C76" s="210"/>
      <c r="D76" s="212"/>
      <c r="E76" s="209"/>
      <c r="F76" s="211"/>
      <c r="G76" s="213"/>
      <c r="H76" s="211"/>
      <c r="I76" s="211"/>
      <c r="J76" s="211"/>
      <c r="K76" s="210"/>
      <c r="L76" s="213"/>
      <c r="M76" s="36" t="s">
        <v>150</v>
      </c>
      <c r="N76" s="214"/>
      <c r="O76" s="214"/>
    </row>
    <row r="77" spans="2:15" x14ac:dyDescent="0.25">
      <c r="B77" s="312" t="s">
        <v>319</v>
      </c>
      <c r="C77" s="292" t="s">
        <v>303</v>
      </c>
      <c r="D77" s="292" t="s">
        <v>173</v>
      </c>
      <c r="E77" s="292"/>
      <c r="F77" s="313" t="str">
        <f>'PU Wise OWE'!$B$5</f>
        <v xml:space="preserve">OBG(SL) 2021-22 </v>
      </c>
      <c r="G77" s="292" t="s">
        <v>206</v>
      </c>
      <c r="H77" s="313" t="str">
        <f>'PU Wise OWE'!$B$7</f>
        <v>Actuals upto Aug' 20</v>
      </c>
      <c r="I77" s="313" t="str">
        <f>'PU Wise OWE'!$B$6</f>
        <v>BP to end  Aug-21</v>
      </c>
      <c r="J77" s="313" t="str">
        <f>'PU Wise OWE'!$B$8</f>
        <v>Actuals upto Aug' 21</v>
      </c>
      <c r="K77" s="290" t="s">
        <v>207</v>
      </c>
      <c r="L77" s="290"/>
      <c r="M77" s="290" t="s">
        <v>147</v>
      </c>
      <c r="N77" s="290"/>
      <c r="O77" s="292" t="s">
        <v>315</v>
      </c>
    </row>
    <row r="78" spans="2:15" ht="30" x14ac:dyDescent="0.25">
      <c r="B78" s="312"/>
      <c r="C78" s="292"/>
      <c r="D78" s="292"/>
      <c r="E78" s="292"/>
      <c r="F78" s="292"/>
      <c r="G78" s="292"/>
      <c r="H78" s="292"/>
      <c r="I78" s="292"/>
      <c r="J78" s="292"/>
      <c r="K78" s="79" t="s">
        <v>145</v>
      </c>
      <c r="L78" s="80" t="s">
        <v>146</v>
      </c>
      <c r="M78" s="79" t="s">
        <v>145</v>
      </c>
      <c r="N78" s="80" t="s">
        <v>146</v>
      </c>
      <c r="O78" s="292"/>
    </row>
    <row r="79" spans="2:15" x14ac:dyDescent="0.25">
      <c r="B79" s="23" t="s">
        <v>199</v>
      </c>
      <c r="C79" s="22">
        <v>2</v>
      </c>
      <c r="D79" s="66">
        <f t="shared" ref="D79:D85" si="105">C79/$C$7</f>
        <v>2.5581957556974216E-4</v>
      </c>
      <c r="E79" s="23"/>
      <c r="F79" s="22">
        <f>ROUND('PU Wise OWE'!$AW$126/10000,2)</f>
        <v>2.65</v>
      </c>
      <c r="G79" s="24">
        <f t="shared" ref="G79:G85" si="106">F79/$F$7</f>
        <v>3.20396566316044E-4</v>
      </c>
      <c r="H79" s="70">
        <f>ROUND('PU Wise OWE'!$AW$128/10000,2)</f>
        <v>0.6</v>
      </c>
      <c r="I79" s="22">
        <f>ROUND('PU Wise OWE'!$AW$127/10000,2)</f>
        <v>1.17</v>
      </c>
      <c r="J79" s="23">
        <f>ROUND('PU Wise OWE'!$AW$129/10000,2)</f>
        <v>0.65</v>
      </c>
      <c r="K79" s="22">
        <f t="shared" si="91"/>
        <v>-0.51999999999999991</v>
      </c>
      <c r="L79" s="24">
        <f t="shared" si="92"/>
        <v>-0.44444444444444436</v>
      </c>
      <c r="M79" s="22">
        <f t="shared" ref="M79:M80" si="107">J79-H79</f>
        <v>5.0000000000000044E-2</v>
      </c>
      <c r="N79" s="52">
        <f t="shared" ref="N79:N80" si="108">M79/H79</f>
        <v>8.3333333333333412E-2</v>
      </c>
      <c r="O79" s="52">
        <f t="shared" ref="O79:O87" si="109">J79/F79</f>
        <v>0.24528301886792456</v>
      </c>
    </row>
    <row r="80" spans="2:15" x14ac:dyDescent="0.25">
      <c r="B80" s="23" t="s">
        <v>198</v>
      </c>
      <c r="C80" s="22">
        <v>1.66</v>
      </c>
      <c r="D80" s="66">
        <f t="shared" si="105"/>
        <v>2.1233024772288598E-4</v>
      </c>
      <c r="E80" s="23"/>
      <c r="F80" s="22">
        <f>ROUND('PU Wise OWE'!$AX$126/10000,2)</f>
        <v>1.81</v>
      </c>
      <c r="G80" s="24">
        <f t="shared" si="106"/>
        <v>2.1883690001209044E-4</v>
      </c>
      <c r="H80" s="70">
        <f>ROUND('PU Wise OWE'!$AX$128/10000,2)</f>
        <v>0.67</v>
      </c>
      <c r="I80" s="22">
        <f>ROUND('PU Wise OWE'!$AX$127/10000,2)</f>
        <v>0.8</v>
      </c>
      <c r="J80" s="23">
        <f>ROUND('PU Wise OWE'!$AX$129/10000,2)</f>
        <v>0.72</v>
      </c>
      <c r="K80" s="22">
        <f t="shared" si="91"/>
        <v>-8.0000000000000071E-2</v>
      </c>
      <c r="L80" s="24">
        <f t="shared" si="92"/>
        <v>-0.10000000000000009</v>
      </c>
      <c r="M80" s="22">
        <f t="shared" si="107"/>
        <v>4.9999999999999933E-2</v>
      </c>
      <c r="N80" s="52">
        <f t="shared" si="108"/>
        <v>7.4626865671641687E-2</v>
      </c>
      <c r="O80" s="52">
        <f t="shared" si="109"/>
        <v>0.39779005524861877</v>
      </c>
    </row>
    <row r="81" spans="2:15" x14ac:dyDescent="0.25">
      <c r="B81" s="23" t="s">
        <v>200</v>
      </c>
      <c r="C81" s="22">
        <v>16.940000000000001</v>
      </c>
      <c r="D81" s="66">
        <f t="shared" si="105"/>
        <v>2.1667918050757161E-3</v>
      </c>
      <c r="E81" s="23"/>
      <c r="F81" s="22">
        <f>ROUND('PU Wise OWE'!$BC$126/10000,2)</f>
        <v>14.88</v>
      </c>
      <c r="G81" s="24">
        <f t="shared" si="106"/>
        <v>1.7990569459557491E-3</v>
      </c>
      <c r="H81" s="70">
        <f>ROUND('PU Wise OWE'!$BC$128/10000,2)</f>
        <v>7.21</v>
      </c>
      <c r="I81" s="22">
        <f>ROUND('PU Wise OWE'!$BC$127/10000,2)</f>
        <v>6.55</v>
      </c>
      <c r="J81" s="23">
        <f>ROUND('PU Wise OWE'!$BC$129/10000,2)</f>
        <v>6.82</v>
      </c>
      <c r="K81" s="22">
        <f t="shared" si="91"/>
        <v>0.27000000000000046</v>
      </c>
      <c r="L81" s="24">
        <f t="shared" si="92"/>
        <v>4.1221374045801597E-2</v>
      </c>
      <c r="M81" s="22">
        <f t="shared" ref="M81:M84" si="110">J81-H81</f>
        <v>-0.38999999999999968</v>
      </c>
      <c r="N81" s="52">
        <f t="shared" ref="N81:N84" si="111">M81/H81</f>
        <v>-5.4091539528432687E-2</v>
      </c>
      <c r="O81" s="52">
        <f t="shared" si="109"/>
        <v>0.45833333333333331</v>
      </c>
    </row>
    <row r="82" spans="2:15" x14ac:dyDescent="0.25">
      <c r="B82" s="23" t="s">
        <v>201</v>
      </c>
      <c r="C82" s="22">
        <v>16.95</v>
      </c>
      <c r="D82" s="66">
        <f t="shared" si="105"/>
        <v>2.1680709029535646E-3</v>
      </c>
      <c r="E82" s="23"/>
      <c r="F82" s="22">
        <f>ROUND('PU Wise OWE'!$BD$126/10000,2)</f>
        <v>14.88</v>
      </c>
      <c r="G82" s="24">
        <f t="shared" si="106"/>
        <v>1.7990569459557491E-3</v>
      </c>
      <c r="H82" s="70">
        <f>ROUND('PU Wise OWE'!$BD$128/10000,2)</f>
        <v>7.21</v>
      </c>
      <c r="I82" s="22">
        <f>ROUND('PU Wise OWE'!$BD$127/10000,2)</f>
        <v>6.55</v>
      </c>
      <c r="J82" s="23">
        <f>ROUND('PU Wise OWE'!$BD$129/10000,2)</f>
        <v>6.79</v>
      </c>
      <c r="K82" s="22">
        <f t="shared" si="91"/>
        <v>0.24000000000000021</v>
      </c>
      <c r="L82" s="24">
        <f t="shared" si="92"/>
        <v>3.6641221374045838E-2</v>
      </c>
      <c r="M82" s="22">
        <f t="shared" si="110"/>
        <v>-0.41999999999999993</v>
      </c>
      <c r="N82" s="52">
        <f t="shared" si="111"/>
        <v>-5.8252427184466007E-2</v>
      </c>
      <c r="O82" s="52">
        <f t="shared" si="109"/>
        <v>0.45631720430107525</v>
      </c>
    </row>
    <row r="83" spans="2:15" x14ac:dyDescent="0.25">
      <c r="B83" s="23" t="s">
        <v>202</v>
      </c>
      <c r="C83" s="22">
        <v>17.329999999999998</v>
      </c>
      <c r="D83" s="66">
        <f t="shared" si="105"/>
        <v>2.2166766223118157E-3</v>
      </c>
      <c r="E83" s="23"/>
      <c r="F83" s="22">
        <f>ROUND('PU Wise OWE'!$BF$126/10000,2)</f>
        <v>12.96</v>
      </c>
      <c r="G83" s="24">
        <f t="shared" si="106"/>
        <v>1.5669205658324266E-3</v>
      </c>
      <c r="H83" s="70">
        <f>ROUND('PU Wise OWE'!$BF$128/10000,2)</f>
        <v>7.42</v>
      </c>
      <c r="I83" s="22">
        <f>ROUND('PU Wise OWE'!$BF$127/10000,2)</f>
        <v>5.7</v>
      </c>
      <c r="J83" s="23">
        <f>ROUND('PU Wise OWE'!$BF$129/10000,2)</f>
        <v>7.22</v>
      </c>
      <c r="K83" s="22">
        <f t="shared" si="91"/>
        <v>1.5199999999999996</v>
      </c>
      <c r="L83" s="24">
        <f t="shared" si="92"/>
        <v>0.26666666666666661</v>
      </c>
      <c r="M83" s="22">
        <f t="shared" si="110"/>
        <v>-0.20000000000000018</v>
      </c>
      <c r="N83" s="52">
        <f t="shared" si="111"/>
        <v>-2.695417789757415E-2</v>
      </c>
      <c r="O83" s="52">
        <f t="shared" si="109"/>
        <v>0.55709876543209869</v>
      </c>
    </row>
    <row r="84" spans="2:15" x14ac:dyDescent="0.25">
      <c r="B84" s="23" t="s">
        <v>203</v>
      </c>
      <c r="C84" s="22">
        <v>166.71</v>
      </c>
      <c r="D84" s="66">
        <f t="shared" si="105"/>
        <v>2.1323840721615858E-2</v>
      </c>
      <c r="E84" s="23"/>
      <c r="F84" s="22">
        <f>ROUND('PU Wise OWE'!$BG$126/10000,2)-ROUND('PU Wise OWE'!$BG$115/10000,2)</f>
        <v>127.09000000000015</v>
      </c>
      <c r="G84" s="24">
        <f t="shared" si="106"/>
        <v>1.5365735703058898E-2</v>
      </c>
      <c r="H84" s="70">
        <f>ROUND('PU Wise OWE'!$BG$128/10000,2)-ROUND('PU Wise OWE'!$BG$117/10000,2)</f>
        <v>67.929999999999836</v>
      </c>
      <c r="I84" s="22">
        <f>ROUND('PU Wise OWE'!$BG$127/10000,2)-ROUND('PU Wise OWE'!$BG$116/10000,2)</f>
        <v>54.050000000000004</v>
      </c>
      <c r="J84" s="23">
        <f>ROUND('PU Wise OWE'!$BG$129/10000,2)-ROUND('PU Wise OWE'!$BG$118/10000,2)</f>
        <v>33.070000000000164</v>
      </c>
      <c r="K84" s="22">
        <f t="shared" si="91"/>
        <v>-20.979999999999841</v>
      </c>
      <c r="L84" s="24">
        <f t="shared" si="92"/>
        <v>-0.38815911193339203</v>
      </c>
      <c r="M84" s="22">
        <f t="shared" si="110"/>
        <v>-34.859999999999673</v>
      </c>
      <c r="N84" s="52">
        <f t="shared" si="111"/>
        <v>-0.51317532754305539</v>
      </c>
      <c r="O84" s="52">
        <f t="shared" si="109"/>
        <v>0.26020930049571267</v>
      </c>
    </row>
    <row r="85" spans="2:15" s="36" customFormat="1" x14ac:dyDescent="0.25">
      <c r="B85" s="25" t="s">
        <v>130</v>
      </c>
      <c r="C85" s="26">
        <f>C79+C80+C81+C82+C83+C84</f>
        <v>221.59</v>
      </c>
      <c r="D85" s="67">
        <f t="shared" si="105"/>
        <v>2.8343529875249584E-2</v>
      </c>
      <c r="E85" s="25"/>
      <c r="F85" s="74">
        <f>SUM(F79:F84)</f>
        <v>174.27000000000015</v>
      </c>
      <c r="G85" s="54">
        <f t="shared" si="106"/>
        <v>2.1070003627130959E-2</v>
      </c>
      <c r="H85" s="74">
        <f>SUM(H79:H84)</f>
        <v>91.039999999999836</v>
      </c>
      <c r="I85" s="74">
        <f>SUM(I79:I84)</f>
        <v>74.820000000000007</v>
      </c>
      <c r="J85" s="74">
        <f>SUM(J79:J84)</f>
        <v>55.270000000000167</v>
      </c>
      <c r="K85" s="26">
        <f t="shared" ref="K85" si="112">J85-I85</f>
        <v>-19.549999999999841</v>
      </c>
      <c r="L85" s="54">
        <f t="shared" ref="L85" si="113">K85/I85</f>
        <v>-0.26129377171878959</v>
      </c>
      <c r="M85" s="26">
        <f t="shared" ref="M85" si="114">J85-H85</f>
        <v>-35.769999999999669</v>
      </c>
      <c r="N85" s="55">
        <f t="shared" ref="N85" si="115">M85/H85</f>
        <v>-0.39290421792618335</v>
      </c>
      <c r="O85" s="55">
        <f t="shared" si="109"/>
        <v>0.3171515464509102</v>
      </c>
    </row>
    <row r="86" spans="2:15" x14ac:dyDescent="0.25">
      <c r="O86" s="25"/>
    </row>
    <row r="87" spans="2:15" s="36" customFormat="1" ht="30" customHeight="1" x14ac:dyDescent="0.25">
      <c r="B87" s="93" t="s">
        <v>204</v>
      </c>
      <c r="C87" s="112">
        <v>3247.44</v>
      </c>
      <c r="D87" s="197" t="e">
        <f>#REF!/#REF!</f>
        <v>#REF!</v>
      </c>
      <c r="E87" s="25"/>
      <c r="F87" s="112">
        <f>F37+F50+F55+F57+F64+F69+F74+F85</f>
        <v>3393.15</v>
      </c>
      <c r="G87" s="199">
        <f t="shared" ref="G87" si="116">F87/$F$7</f>
        <v>0.41024664490388102</v>
      </c>
      <c r="H87" s="112">
        <f>H37+H50+H55+H57+H64+H69+H74+H85</f>
        <v>1537.8399999999997</v>
      </c>
      <c r="I87" s="112">
        <f>I37+I50+I55+I57+I64+I69+I74+I85</f>
        <v>1531.76</v>
      </c>
      <c r="J87" s="112">
        <f>J37+J50+J55+J57+J64+J69+J74+J85</f>
        <v>1796.6499999999999</v>
      </c>
      <c r="K87" s="198">
        <f t="shared" ref="K87" si="117">J87-I87</f>
        <v>264.88999999999987</v>
      </c>
      <c r="L87" s="199">
        <f t="shared" ref="L87" si="118">K87/I87</f>
        <v>0.17293179088107791</v>
      </c>
      <c r="M87" s="198">
        <f t="shared" ref="M87" si="119">J87-H87</f>
        <v>258.81000000000017</v>
      </c>
      <c r="N87" s="200">
        <f t="shared" ref="N87" si="120">M87/H87</f>
        <v>0.16829449097435378</v>
      </c>
      <c r="O87" s="200">
        <f t="shared" si="109"/>
        <v>0.52949324374106654</v>
      </c>
    </row>
    <row r="88" spans="2:15" x14ac:dyDescent="0.25">
      <c r="O88" s="92"/>
    </row>
    <row r="89" spans="2:15" x14ac:dyDescent="0.25">
      <c r="C89" s="178"/>
      <c r="O89" s="178"/>
    </row>
    <row r="90" spans="2:15" x14ac:dyDescent="0.25">
      <c r="B90" s="310" t="s">
        <v>254</v>
      </c>
      <c r="C90" s="296" t="s">
        <v>303</v>
      </c>
      <c r="D90" s="296" t="s">
        <v>173</v>
      </c>
      <c r="E90" s="296"/>
      <c r="F90" s="300" t="s">
        <v>308</v>
      </c>
      <c r="G90" s="296" t="s">
        <v>310</v>
      </c>
      <c r="H90" s="300" t="s">
        <v>330</v>
      </c>
      <c r="I90" s="300" t="s">
        <v>331</v>
      </c>
      <c r="J90" s="296" t="s">
        <v>205</v>
      </c>
      <c r="K90" s="308" t="s">
        <v>147</v>
      </c>
      <c r="L90" s="308"/>
      <c r="M90" s="309" t="s">
        <v>318</v>
      </c>
      <c r="N90" s="191"/>
      <c r="O90" s="196"/>
    </row>
    <row r="91" spans="2:15" ht="30" customHeight="1" x14ac:dyDescent="0.25">
      <c r="B91" s="311"/>
      <c r="C91" s="297"/>
      <c r="D91" s="297"/>
      <c r="E91" s="297"/>
      <c r="F91" s="297"/>
      <c r="G91" s="297"/>
      <c r="H91" s="297"/>
      <c r="I91" s="301"/>
      <c r="J91" s="297"/>
      <c r="K91" s="79" t="s">
        <v>145</v>
      </c>
      <c r="L91" s="79" t="s">
        <v>146</v>
      </c>
      <c r="M91" s="309"/>
      <c r="N91" s="191"/>
      <c r="O91" s="196"/>
    </row>
    <row r="92" spans="2:15" x14ac:dyDescent="0.25">
      <c r="B92" s="20" t="s">
        <v>255</v>
      </c>
      <c r="C92" s="20">
        <v>0</v>
      </c>
      <c r="D92" s="66">
        <f t="shared" ref="D92:D105" si="121">C92/$C$7</f>
        <v>0</v>
      </c>
      <c r="E92" s="20"/>
      <c r="F92" s="105">
        <f>'PU Wise OWE'!V28/10000</f>
        <v>0.68710000000000004</v>
      </c>
      <c r="G92" s="185">
        <f t="shared" ref="G92:G105" si="122">F92/$F$7</f>
        <v>8.3073388949341073E-5</v>
      </c>
      <c r="H92" s="218">
        <f>'PU Wise OWE'!V30</f>
        <v>0</v>
      </c>
      <c r="I92" s="218">
        <f>'PU Wise OWE'!W31</f>
        <v>0</v>
      </c>
      <c r="J92" s="185">
        <f t="shared" ref="J92:J105" si="123">I92/$I$7</f>
        <v>0</v>
      </c>
      <c r="K92" s="22">
        <f>I92-H92</f>
        <v>0</v>
      </c>
      <c r="L92" s="52" t="e">
        <f>K92/H92</f>
        <v>#DIV/0!</v>
      </c>
      <c r="M92" s="186">
        <f t="shared" ref="M92:M105" si="124">I92/F92</f>
        <v>0</v>
      </c>
      <c r="N92" s="191"/>
      <c r="O92" s="193"/>
    </row>
    <row r="93" spans="2:15" x14ac:dyDescent="0.25">
      <c r="B93" s="20" t="s">
        <v>256</v>
      </c>
      <c r="C93" s="20">
        <v>33.630000000000003</v>
      </c>
      <c r="D93" s="66">
        <f t="shared" si="121"/>
        <v>4.3016061632052145E-3</v>
      </c>
      <c r="E93" s="20"/>
      <c r="F93" s="105">
        <f>'PU Wise OWE'!V39/10000</f>
        <v>33.280999999999999</v>
      </c>
      <c r="G93" s="185">
        <f t="shared" si="122"/>
        <v>4.0238181598355703E-3</v>
      </c>
      <c r="H93" s="109">
        <f>'PU Wise OWE'!V41/10000</f>
        <v>11.020200000000001</v>
      </c>
      <c r="I93" s="109">
        <f>'PU Wise OWE'!V42/10000</f>
        <v>17.604600000000001</v>
      </c>
      <c r="J93" s="185">
        <f t="shared" si="123"/>
        <v>4.8952114540262333E-3</v>
      </c>
      <c r="K93" s="22">
        <f t="shared" ref="K93:K94" si="125">I93-H93</f>
        <v>6.5844000000000005</v>
      </c>
      <c r="L93" s="52">
        <f t="shared" ref="L93:L94" si="126">K93/H93</f>
        <v>0.59748461915391737</v>
      </c>
      <c r="M93" s="186">
        <f t="shared" si="124"/>
        <v>0.5289684805144077</v>
      </c>
      <c r="N93" s="191"/>
      <c r="O93" s="193"/>
    </row>
    <row r="94" spans="2:15" x14ac:dyDescent="0.25">
      <c r="B94" s="20" t="s">
        <v>266</v>
      </c>
      <c r="C94" s="20">
        <v>7.44</v>
      </c>
      <c r="D94" s="66">
        <f t="shared" si="121"/>
        <v>9.5164882111944092E-4</v>
      </c>
      <c r="E94" s="20"/>
      <c r="F94" s="105">
        <f>'PU Wise OWE'!V50/10000</f>
        <v>0.53049999999999997</v>
      </c>
      <c r="G94" s="185">
        <f t="shared" si="122"/>
        <v>6.4139765445532577E-5</v>
      </c>
      <c r="H94" s="109">
        <f>'PU Wise OWE'!V52/10000</f>
        <v>7.17</v>
      </c>
      <c r="I94" s="105">
        <f>'PU Wise OWE'!V53/10000</f>
        <v>0.48670000000000002</v>
      </c>
      <c r="J94" s="185">
        <f t="shared" si="123"/>
        <v>1.3533391356091974E-4</v>
      </c>
      <c r="K94" s="22">
        <f t="shared" si="125"/>
        <v>-6.6833</v>
      </c>
      <c r="L94" s="52">
        <f t="shared" si="126"/>
        <v>-0.9321199442119944</v>
      </c>
      <c r="M94" s="186">
        <f t="shared" si="124"/>
        <v>0.91743638077285583</v>
      </c>
      <c r="N94" s="191"/>
      <c r="O94" s="193"/>
    </row>
    <row r="95" spans="2:15" x14ac:dyDescent="0.25">
      <c r="B95" s="59" t="s">
        <v>257</v>
      </c>
      <c r="C95" s="27">
        <f>SUM(C92:C94)</f>
        <v>41.07</v>
      </c>
      <c r="D95" s="67">
        <f t="shared" si="121"/>
        <v>5.2532549843246554E-3</v>
      </c>
      <c r="E95" s="27">
        <f t="shared" ref="E95" si="127">SUM(E92:E93)</f>
        <v>0</v>
      </c>
      <c r="F95" s="104">
        <f>F92+F93+F94</f>
        <v>34.498599999999996</v>
      </c>
      <c r="G95" s="187">
        <f t="shared" si="122"/>
        <v>4.1710313142304433E-3</v>
      </c>
      <c r="H95" s="104">
        <f>SUM(H92:H94)</f>
        <v>18.190200000000001</v>
      </c>
      <c r="I95" s="104">
        <v>15.6</v>
      </c>
      <c r="J95" s="187">
        <f t="shared" si="123"/>
        <v>4.3378036810157138E-3</v>
      </c>
      <c r="K95" s="26">
        <f t="shared" ref="K95" si="128">I95-H95</f>
        <v>-2.5902000000000012</v>
      </c>
      <c r="L95" s="55">
        <f t="shared" ref="L95" si="129">K95/H95</f>
        <v>-0.14239535574100345</v>
      </c>
      <c r="M95" s="188">
        <f t="shared" si="124"/>
        <v>0.45219226287443554</v>
      </c>
      <c r="N95" s="191"/>
      <c r="O95" s="194"/>
    </row>
    <row r="96" spans="2:15" x14ac:dyDescent="0.25">
      <c r="B96" s="20" t="s">
        <v>258</v>
      </c>
      <c r="C96" s="20">
        <v>0</v>
      </c>
      <c r="D96" s="66">
        <f t="shared" si="121"/>
        <v>0</v>
      </c>
      <c r="E96" s="20"/>
      <c r="F96" s="105">
        <f>'PU Wise OWE'!AQ28</f>
        <v>0</v>
      </c>
      <c r="G96" s="185">
        <f t="shared" si="122"/>
        <v>0</v>
      </c>
      <c r="H96" s="218">
        <f>'PU Wise OWE'!AQ30/10000</f>
        <v>0</v>
      </c>
      <c r="I96" s="105">
        <f>'PU Wise OWE'!AQ31</f>
        <v>0</v>
      </c>
      <c r="J96" s="185">
        <f t="shared" si="123"/>
        <v>0</v>
      </c>
      <c r="K96" s="22">
        <f>I96-H96</f>
        <v>0</v>
      </c>
      <c r="L96" s="52" t="e">
        <f>K96/H96</f>
        <v>#DIV/0!</v>
      </c>
      <c r="M96" s="186">
        <v>0</v>
      </c>
      <c r="N96" s="191"/>
      <c r="O96" s="193"/>
    </row>
    <row r="97" spans="2:15" x14ac:dyDescent="0.25">
      <c r="B97" s="20" t="s">
        <v>259</v>
      </c>
      <c r="C97" s="20">
        <v>13.18</v>
      </c>
      <c r="D97" s="66">
        <f t="shared" si="121"/>
        <v>1.6858510030046008E-3</v>
      </c>
      <c r="E97" s="20"/>
      <c r="F97" s="105">
        <f>'PU Wise OWE'!AQ39/10000</f>
        <v>14.552</v>
      </c>
      <c r="G97" s="185">
        <f t="shared" si="122"/>
        <v>1.7594003143513481E-3</v>
      </c>
      <c r="H97" s="109">
        <f>'PU Wise OWE'!AQ41/10000</f>
        <v>4.9427000000000003</v>
      </c>
      <c r="I97" s="105">
        <f>'PU Wise OWE'!AQ42/10000</f>
        <v>14.270899999999999</v>
      </c>
      <c r="J97" s="185">
        <f t="shared" si="123"/>
        <v>3.9682283686799449E-3</v>
      </c>
      <c r="K97" s="22">
        <f t="shared" ref="K97:K99" si="130">I97-H97</f>
        <v>9.3281999999999989</v>
      </c>
      <c r="L97" s="52">
        <f t="shared" ref="L97:L99" si="131">K97/H97</f>
        <v>1.8872680923381955</v>
      </c>
      <c r="M97" s="186">
        <f t="shared" si="124"/>
        <v>0.98068306761957114</v>
      </c>
      <c r="N97" s="191"/>
      <c r="O97" s="193"/>
    </row>
    <row r="98" spans="2:15" x14ac:dyDescent="0.25">
      <c r="B98" s="20" t="s">
        <v>267</v>
      </c>
      <c r="C98" s="20">
        <v>-0.3</v>
      </c>
      <c r="D98" s="66">
        <f t="shared" si="121"/>
        <v>-3.8372936335461326E-5</v>
      </c>
      <c r="E98" s="20"/>
      <c r="F98" s="105">
        <f>'PU Wise OWE'!AQ50/10000</f>
        <v>4.5999999999999999E-2</v>
      </c>
      <c r="G98" s="185">
        <f t="shared" si="122"/>
        <v>5.5616007737879333E-6</v>
      </c>
      <c r="H98" s="109">
        <f>'PU Wise OWE'!AQ52/10000</f>
        <v>7.7899999999999997E-2</v>
      </c>
      <c r="I98" s="109">
        <f>'PU Wise OWE'!AQ53/10000</f>
        <v>1.4746999999999999</v>
      </c>
      <c r="J98" s="185">
        <f t="shared" si="123"/>
        <v>4.100614800252482E-4</v>
      </c>
      <c r="K98" s="22">
        <f t="shared" si="130"/>
        <v>1.3967999999999998</v>
      </c>
      <c r="L98" s="52">
        <f t="shared" si="131"/>
        <v>17.930680359435172</v>
      </c>
      <c r="M98" s="186">
        <v>0</v>
      </c>
      <c r="N98" s="191"/>
      <c r="O98" s="193"/>
    </row>
    <row r="99" spans="2:15" x14ac:dyDescent="0.25">
      <c r="B99" s="59" t="s">
        <v>260</v>
      </c>
      <c r="C99" s="27">
        <f>SUM(C96:C98)</f>
        <v>12.879999999999999</v>
      </c>
      <c r="D99" s="67">
        <f t="shared" si="121"/>
        <v>1.6474780666691394E-3</v>
      </c>
      <c r="E99" s="27">
        <f t="shared" ref="E99" si="132">SUM(E96:E97)</f>
        <v>0</v>
      </c>
      <c r="F99" s="104">
        <f>SUM(F96:F98)</f>
        <v>14.597999999999999</v>
      </c>
      <c r="G99" s="187">
        <f t="shared" si="122"/>
        <v>1.7649619151251358E-3</v>
      </c>
      <c r="H99" s="104">
        <v>4.9400000000000004</v>
      </c>
      <c r="I99" s="104">
        <v>13.13</v>
      </c>
      <c r="J99" s="187">
        <f t="shared" si="123"/>
        <v>3.6509847648548924E-3</v>
      </c>
      <c r="K99" s="26">
        <f t="shared" si="130"/>
        <v>8.1900000000000013</v>
      </c>
      <c r="L99" s="55">
        <f t="shared" si="131"/>
        <v>1.6578947368421053</v>
      </c>
      <c r="M99" s="188">
        <f t="shared" si="124"/>
        <v>0.89943827921633113</v>
      </c>
      <c r="N99" s="191"/>
      <c r="O99" s="194"/>
    </row>
    <row r="100" spans="2:15" x14ac:dyDescent="0.25">
      <c r="B100" s="20" t="s">
        <v>261</v>
      </c>
      <c r="C100" s="105">
        <v>24.12</v>
      </c>
      <c r="D100" s="66">
        <f t="shared" si="121"/>
        <v>3.0851840813710908E-3</v>
      </c>
      <c r="E100" s="20"/>
      <c r="F100" s="105">
        <f>'PU Wise OWE'!AC28/10000</f>
        <v>17.599599999999999</v>
      </c>
      <c r="G100" s="185">
        <f t="shared" si="122"/>
        <v>2.1278684560512634E-3</v>
      </c>
      <c r="H100" s="109">
        <f>'PU Wise OWE'!AC30/10000</f>
        <v>2.5508999999999999</v>
      </c>
      <c r="I100" s="105">
        <f>'PU Wise OWE'!AC31/10000</f>
        <v>4.7601000000000004</v>
      </c>
      <c r="J100" s="185">
        <f t="shared" si="123"/>
        <v>1.3236140578206986E-3</v>
      </c>
      <c r="K100" s="22">
        <f>I100-H100</f>
        <v>2.2092000000000005</v>
      </c>
      <c r="L100" s="52">
        <f>K100/H100</f>
        <v>0.86604727743149501</v>
      </c>
      <c r="M100" s="186">
        <f t="shared" si="124"/>
        <v>0.27046637423577813</v>
      </c>
      <c r="N100" s="191"/>
      <c r="O100" s="193"/>
    </row>
    <row r="101" spans="2:15" x14ac:dyDescent="0.25">
      <c r="B101" s="20" t="s">
        <v>262</v>
      </c>
      <c r="C101" s="20">
        <v>145.66</v>
      </c>
      <c r="D101" s="66">
        <f t="shared" si="121"/>
        <v>1.8631339688744322E-2</v>
      </c>
      <c r="E101" s="20"/>
      <c r="F101" s="105">
        <f>'PU Wise OWE'!AC39/10000</f>
        <v>115.5805</v>
      </c>
      <c r="G101" s="185">
        <f t="shared" si="122"/>
        <v>1.3974186918147745E-2</v>
      </c>
      <c r="H101" s="109">
        <f>'PU Wise OWE'!AC41/10000</f>
        <v>44.576500000000003</v>
      </c>
      <c r="I101" s="105">
        <f>'PU Wise OWE'!AC42/10000</f>
        <v>53.292700000000004</v>
      </c>
      <c r="J101" s="185">
        <f t="shared" si="123"/>
        <v>1.481879937379911E-2</v>
      </c>
      <c r="K101" s="22">
        <f t="shared" ref="K101:K102" si="133">I101-H101</f>
        <v>8.7162000000000006</v>
      </c>
      <c r="L101" s="52">
        <f t="shared" ref="L101:L102" si="134">K101/H101</f>
        <v>0.19553352102565252</v>
      </c>
      <c r="M101" s="186">
        <f t="shared" si="124"/>
        <v>0.46108729413698679</v>
      </c>
      <c r="N101" s="191"/>
      <c r="O101" s="193"/>
    </row>
    <row r="102" spans="2:15" x14ac:dyDescent="0.25">
      <c r="B102" s="59" t="s">
        <v>263</v>
      </c>
      <c r="C102" s="27">
        <f t="shared" ref="C102:I102" si="135">SUM(C100:C101)</f>
        <v>169.78</v>
      </c>
      <c r="D102" s="67">
        <f t="shared" si="121"/>
        <v>2.1716523770115414E-2</v>
      </c>
      <c r="E102" s="27">
        <f t="shared" si="135"/>
        <v>0</v>
      </c>
      <c r="F102" s="104">
        <f>F100+F101</f>
        <v>133.18010000000001</v>
      </c>
      <c r="G102" s="187">
        <f t="shared" si="122"/>
        <v>1.6102055374199009E-2</v>
      </c>
      <c r="H102" s="104">
        <f t="shared" ref="H102" si="136">SUM(H100:H101)</f>
        <v>47.127400000000002</v>
      </c>
      <c r="I102" s="104">
        <f t="shared" si="135"/>
        <v>58.052800000000005</v>
      </c>
      <c r="J102" s="187">
        <f t="shared" si="123"/>
        <v>1.6142413431619811E-2</v>
      </c>
      <c r="K102" s="22">
        <f t="shared" si="133"/>
        <v>10.925400000000003</v>
      </c>
      <c r="L102" s="52">
        <f t="shared" si="134"/>
        <v>0.23182692022050871</v>
      </c>
      <c r="M102" s="188">
        <f t="shared" si="124"/>
        <v>0.43589695457504535</v>
      </c>
      <c r="N102" s="191"/>
      <c r="O102" s="194"/>
    </row>
    <row r="103" spans="2:15" x14ac:dyDescent="0.25">
      <c r="B103" s="20" t="s">
        <v>264</v>
      </c>
      <c r="C103" s="105">
        <v>12.31</v>
      </c>
      <c r="D103" s="66">
        <f t="shared" si="121"/>
        <v>1.5745694876317631E-3</v>
      </c>
      <c r="E103" s="20"/>
      <c r="F103" s="105">
        <f>'PU Wise OWE'!BB28/10000</f>
        <v>11.169600000000001</v>
      </c>
      <c r="G103" s="185">
        <f t="shared" si="122"/>
        <v>1.3504533913674284E-3</v>
      </c>
      <c r="H103" s="109">
        <f>'PU Wise OWE'!BB30/10000</f>
        <v>8.8449000000000009</v>
      </c>
      <c r="I103" s="105">
        <f>'PU Wise OWE'!BB31/10000</f>
        <v>11.4084</v>
      </c>
      <c r="J103" s="185">
        <f t="shared" si="123"/>
        <v>3.1722691996474146E-3</v>
      </c>
      <c r="K103" s="22">
        <f>I103-H103</f>
        <v>2.5634999999999994</v>
      </c>
      <c r="L103" s="52">
        <f>K103/H103</f>
        <v>0.28982803649560757</v>
      </c>
      <c r="M103" s="186">
        <f t="shared" si="124"/>
        <v>1.0213794585302964</v>
      </c>
      <c r="N103" s="191"/>
      <c r="O103" s="193"/>
    </row>
    <row r="104" spans="2:15" x14ac:dyDescent="0.25">
      <c r="B104" s="20" t="s">
        <v>265</v>
      </c>
      <c r="C104" s="105">
        <v>101.34</v>
      </c>
      <c r="D104" s="66">
        <f t="shared" si="121"/>
        <v>1.2962377894118835E-2</v>
      </c>
      <c r="E104" s="20"/>
      <c r="F104" s="105">
        <f>'PU Wise OWE'!BB39/10000</f>
        <v>65.030299999999997</v>
      </c>
      <c r="G104" s="185">
        <f t="shared" si="122"/>
        <v>7.8624471043404667E-3</v>
      </c>
      <c r="H104" s="109">
        <f>'PU Wise OWE'!BB41/10000</f>
        <v>23.4557</v>
      </c>
      <c r="I104" s="105">
        <f>'PU Wise OWE'!BB42/10000</f>
        <v>46.360700000000001</v>
      </c>
      <c r="J104" s="185">
        <f t="shared" si="123"/>
        <v>1.2891257379132385E-2</v>
      </c>
      <c r="K104" s="22">
        <f t="shared" ref="K104:K105" si="137">I104-H104</f>
        <v>22.905000000000001</v>
      </c>
      <c r="L104" s="52">
        <f t="shared" ref="L104:L105" si="138">K104/H104</f>
        <v>0.97652169835050762</v>
      </c>
      <c r="M104" s="186">
        <f t="shared" si="124"/>
        <v>0.71290921308989819</v>
      </c>
      <c r="N104" s="191"/>
      <c r="O104" s="193"/>
    </row>
    <row r="105" spans="2:15" x14ac:dyDescent="0.25">
      <c r="B105" s="59" t="s">
        <v>295</v>
      </c>
      <c r="C105" s="104">
        <f>SUM(C103:C104)</f>
        <v>113.65</v>
      </c>
      <c r="D105" s="67">
        <f t="shared" si="121"/>
        <v>1.45369473817506E-2</v>
      </c>
      <c r="E105" s="27">
        <f t="shared" ref="E105:F105" si="139">SUM(E103:E104)</f>
        <v>0</v>
      </c>
      <c r="F105" s="104">
        <f t="shared" si="139"/>
        <v>76.1999</v>
      </c>
      <c r="G105" s="187">
        <f t="shared" si="122"/>
        <v>9.2129004957078944E-3</v>
      </c>
      <c r="H105" s="104">
        <f t="shared" ref="H105" si="140">SUM(H103:H104)</f>
        <v>32.300600000000003</v>
      </c>
      <c r="I105" s="104">
        <v>48.2</v>
      </c>
      <c r="J105" s="187">
        <f t="shared" si="123"/>
        <v>1.3402701116984449E-2</v>
      </c>
      <c r="K105" s="26">
        <f t="shared" si="137"/>
        <v>15.8994</v>
      </c>
      <c r="L105" s="55">
        <f t="shared" si="138"/>
        <v>0.49223234243326747</v>
      </c>
      <c r="M105" s="188">
        <f t="shared" si="124"/>
        <v>0.63254676187239089</v>
      </c>
      <c r="N105" s="191"/>
      <c r="O105" s="194"/>
    </row>
    <row r="106" spans="2:15" x14ac:dyDescent="0.25">
      <c r="B106" s="178"/>
      <c r="C106" s="178"/>
      <c r="D106" s="178"/>
      <c r="E106" s="178"/>
      <c r="F106" s="178"/>
      <c r="G106" s="178"/>
      <c r="H106" s="137"/>
      <c r="I106" s="178"/>
      <c r="J106" s="178"/>
      <c r="K106" s="178"/>
      <c r="L106" s="178"/>
      <c r="M106" s="178"/>
      <c r="N106" s="191"/>
      <c r="O106" s="192"/>
    </row>
    <row r="107" spans="2:15" ht="15" customHeight="1" x14ac:dyDescent="0.25">
      <c r="B107" s="256"/>
      <c r="C107" s="296" t="s">
        <v>303</v>
      </c>
      <c r="D107" s="296" t="s">
        <v>173</v>
      </c>
      <c r="E107" s="296"/>
      <c r="F107" s="300" t="str">
        <f>'PU Wise OWE'!$B$5</f>
        <v xml:space="preserve">OBG(SL) 2021-22 </v>
      </c>
      <c r="G107" s="296" t="s">
        <v>311</v>
      </c>
      <c r="H107" s="300" t="str">
        <f>'PU Wise OWE'!$B$7</f>
        <v>Actuals upto Aug' 20</v>
      </c>
      <c r="I107" s="300" t="s">
        <v>331</v>
      </c>
      <c r="J107" s="296" t="s">
        <v>205</v>
      </c>
      <c r="K107" s="308" t="s">
        <v>147</v>
      </c>
      <c r="L107" s="308"/>
      <c r="M107" s="309" t="s">
        <v>307</v>
      </c>
      <c r="N107" s="191"/>
      <c r="O107" s="196"/>
    </row>
    <row r="108" spans="2:15" ht="30" x14ac:dyDescent="0.25">
      <c r="B108" s="78" t="s">
        <v>191</v>
      </c>
      <c r="C108" s="297"/>
      <c r="D108" s="297"/>
      <c r="E108" s="297"/>
      <c r="F108" s="297"/>
      <c r="G108" s="297"/>
      <c r="H108" s="297"/>
      <c r="I108" s="301"/>
      <c r="J108" s="297"/>
      <c r="K108" s="79" t="s">
        <v>145</v>
      </c>
      <c r="L108" s="79" t="s">
        <v>146</v>
      </c>
      <c r="M108" s="309"/>
      <c r="N108" s="191"/>
      <c r="O108" s="196"/>
    </row>
    <row r="109" spans="2:15" x14ac:dyDescent="0.25">
      <c r="B109" s="20" t="s">
        <v>218</v>
      </c>
      <c r="C109" s="20">
        <v>305.92</v>
      </c>
      <c r="D109" s="66">
        <f t="shared" ref="D109:D112" si="141">C109/$C$7</f>
        <v>3.9130162279147764E-2</v>
      </c>
      <c r="E109" s="20"/>
      <c r="F109" s="20">
        <v>115.89</v>
      </c>
      <c r="G109" s="185">
        <f t="shared" ref="G109:G112" si="142">F109/$F$7</f>
        <v>1.4011606819006166E-2</v>
      </c>
      <c r="H109" s="257">
        <v>102.49099731445313</v>
      </c>
      <c r="I109" s="257">
        <v>195.00239562988281</v>
      </c>
      <c r="J109" s="185">
        <f t="shared" ref="J109:J112" si="143">I109/$I$7</f>
        <v>5.4223212151935138E-2</v>
      </c>
      <c r="K109" s="105">
        <f t="shared" ref="K109" si="144">I109-H109</f>
        <v>92.511398315429688</v>
      </c>
      <c r="L109" s="186">
        <f t="shared" ref="L109" si="145">K109/H109</f>
        <v>0.90262950639064443</v>
      </c>
      <c r="M109" s="186">
        <f t="shared" ref="M109:M112" si="146">I109/F109</f>
        <v>1.6826507518326241</v>
      </c>
      <c r="N109" s="191"/>
      <c r="O109" s="193"/>
    </row>
    <row r="110" spans="2:15" x14ac:dyDescent="0.25">
      <c r="B110" s="20" t="s">
        <v>217</v>
      </c>
      <c r="C110" s="20">
        <v>266.58999999999997</v>
      </c>
      <c r="D110" s="66">
        <f t="shared" si="141"/>
        <v>3.409947032556878E-2</v>
      </c>
      <c r="E110" s="20"/>
      <c r="F110" s="105">
        <v>750</v>
      </c>
      <c r="G110" s="185">
        <f t="shared" si="142"/>
        <v>9.0678273485672839E-2</v>
      </c>
      <c r="H110" s="257">
        <v>299.57769775390625</v>
      </c>
      <c r="I110" s="257">
        <v>202.27890014648438</v>
      </c>
      <c r="J110" s="185">
        <f t="shared" si="143"/>
        <v>5.6246548567130121E-2</v>
      </c>
      <c r="K110" s="105">
        <f>I110-H110</f>
        <v>-97.298797607421875</v>
      </c>
      <c r="L110" s="186">
        <f>K110/H110</f>
        <v>-0.32478651894624616</v>
      </c>
      <c r="M110" s="186">
        <f t="shared" si="146"/>
        <v>0.26970520019531252</v>
      </c>
      <c r="N110" s="191"/>
      <c r="O110" s="193"/>
    </row>
    <row r="111" spans="2:15" x14ac:dyDescent="0.25">
      <c r="B111" s="258" t="s">
        <v>216</v>
      </c>
      <c r="C111" s="20">
        <v>544.78</v>
      </c>
      <c r="D111" s="66">
        <f t="shared" si="141"/>
        <v>6.9682694189442063E-2</v>
      </c>
      <c r="E111" s="20"/>
      <c r="F111" s="105">
        <v>676.5</v>
      </c>
      <c r="G111" s="185">
        <f t="shared" si="142"/>
        <v>8.1791802684076889E-2</v>
      </c>
      <c r="H111" s="257">
        <v>277.3599853515625</v>
      </c>
      <c r="I111" s="257">
        <v>301.260009765625</v>
      </c>
      <c r="J111" s="185">
        <f t="shared" si="143"/>
        <v>8.3769665340010124E-2</v>
      </c>
      <c r="K111" s="105">
        <f t="shared" ref="K111" si="147">I111-H111</f>
        <v>23.9000244140625</v>
      </c>
      <c r="L111" s="186">
        <f t="shared" ref="L111" si="148">K111/H111</f>
        <v>8.6169691650972893E-2</v>
      </c>
      <c r="M111" s="186">
        <f t="shared" si="146"/>
        <v>0.44532152219604582</v>
      </c>
      <c r="N111" s="191"/>
      <c r="O111" s="193"/>
    </row>
    <row r="112" spans="2:15" x14ac:dyDescent="0.25">
      <c r="B112" s="27" t="s">
        <v>130</v>
      </c>
      <c r="C112" s="27">
        <f>SUM(C109:C111)</f>
        <v>1117.29</v>
      </c>
      <c r="D112" s="67">
        <f t="shared" si="141"/>
        <v>0.14291232679415861</v>
      </c>
      <c r="E112" s="27"/>
      <c r="F112" s="139">
        <f>+F109+F110+F111</f>
        <v>1542.3899999999999</v>
      </c>
      <c r="G112" s="187">
        <f t="shared" si="142"/>
        <v>0.18648168298875589</v>
      </c>
      <c r="H112" s="139">
        <f>+H109+H110+H111</f>
        <v>679.42868041992188</v>
      </c>
      <c r="I112" s="104">
        <f>SUM(I109:I111)</f>
        <v>698.54130554199219</v>
      </c>
      <c r="J112" s="187">
        <f t="shared" si="143"/>
        <v>0.19423942605907538</v>
      </c>
      <c r="K112" s="104">
        <f t="shared" ref="K112" si="149">I112-H112</f>
        <v>19.112625122070313</v>
      </c>
      <c r="L112" s="188">
        <f t="shared" ref="L112" si="150">K112/H112</f>
        <v>2.8130436163303744E-2</v>
      </c>
      <c r="M112" s="188">
        <f t="shared" si="146"/>
        <v>0.45289538024882958</v>
      </c>
      <c r="N112" s="191"/>
      <c r="O112" s="194"/>
    </row>
    <row r="113" spans="2:15" x14ac:dyDescent="0.25">
      <c r="B113" s="178"/>
      <c r="C113" s="178"/>
      <c r="D113" s="178"/>
      <c r="E113" s="178"/>
      <c r="F113" s="178"/>
      <c r="G113" s="178"/>
      <c r="H113" s="137"/>
      <c r="I113" s="178"/>
      <c r="J113" s="178"/>
      <c r="K113" s="178"/>
      <c r="L113" s="178"/>
      <c r="M113" s="178"/>
      <c r="N113" s="191"/>
      <c r="O113" s="192"/>
    </row>
    <row r="114" spans="2:15" x14ac:dyDescent="0.25">
      <c r="B114" s="202" t="s">
        <v>219</v>
      </c>
      <c r="C114" s="32"/>
      <c r="D114" s="32"/>
      <c r="E114" s="32"/>
      <c r="F114" s="32"/>
      <c r="G114" s="32"/>
      <c r="H114" s="259"/>
      <c r="I114" s="32"/>
      <c r="J114" s="32"/>
      <c r="K114" s="32"/>
      <c r="L114" s="32"/>
      <c r="M114" s="32"/>
      <c r="N114" s="191"/>
      <c r="O114" s="192"/>
    </row>
    <row r="115" spans="2:15" x14ac:dyDescent="0.25">
      <c r="B115" s="20" t="s">
        <v>220</v>
      </c>
      <c r="C115" s="105">
        <v>28.7</v>
      </c>
      <c r="D115" s="66">
        <f t="shared" ref="D115:D118" si="151">C115/$C$7</f>
        <v>3.6710109094258E-3</v>
      </c>
      <c r="E115" s="20"/>
      <c r="F115" s="105">
        <v>24.43</v>
      </c>
      <c r="G115" s="185">
        <f t="shared" ref="G115:G118" si="152">F115/$F$7</f>
        <v>2.9536936283399832E-3</v>
      </c>
      <c r="H115" s="109">
        <v>11.7</v>
      </c>
      <c r="I115" s="20">
        <v>11.35</v>
      </c>
      <c r="J115" s="185">
        <f t="shared" ref="J115:J118" si="153">I115/$I$7</f>
        <v>3.1560302422774583E-3</v>
      </c>
      <c r="K115" s="105">
        <f t="shared" ref="K115" si="154">I115-H115</f>
        <v>-0.34999999999999964</v>
      </c>
      <c r="L115" s="186">
        <f t="shared" ref="L115" si="155">K115/H115</f>
        <v>-2.9914529914529885E-2</v>
      </c>
      <c r="M115" s="186">
        <f t="shared" ref="M115:M118" si="156">I115/F115</f>
        <v>0.46459271387638151</v>
      </c>
      <c r="N115" s="191"/>
      <c r="O115" s="193"/>
    </row>
    <row r="116" spans="2:15" x14ac:dyDescent="0.25">
      <c r="B116" s="20" t="s">
        <v>221</v>
      </c>
      <c r="C116" s="105">
        <v>38.6</v>
      </c>
      <c r="D116" s="66">
        <f t="shared" si="151"/>
        <v>4.9373178084960237E-3</v>
      </c>
      <c r="E116" s="20"/>
      <c r="F116" s="20">
        <v>33.74</v>
      </c>
      <c r="G116" s="185">
        <f t="shared" si="152"/>
        <v>4.0793132632088022E-3</v>
      </c>
      <c r="H116" s="81">
        <v>17.13</v>
      </c>
      <c r="I116" s="105">
        <v>13.16</v>
      </c>
      <c r="J116" s="185">
        <f t="shared" si="153"/>
        <v>3.6593266950106919E-3</v>
      </c>
      <c r="K116" s="105">
        <f>I116-H116</f>
        <v>-3.9699999999999989</v>
      </c>
      <c r="L116" s="186">
        <f>K116/H116</f>
        <v>-0.23175715119673082</v>
      </c>
      <c r="M116" s="186">
        <f t="shared" si="156"/>
        <v>0.39004149377593361</v>
      </c>
      <c r="N116" s="191"/>
      <c r="O116" s="193"/>
    </row>
    <row r="117" spans="2:15" x14ac:dyDescent="0.25">
      <c r="B117" s="258" t="s">
        <v>222</v>
      </c>
      <c r="C117" s="20">
        <v>33.31</v>
      </c>
      <c r="D117" s="66">
        <f t="shared" si="151"/>
        <v>4.260675031114056E-3</v>
      </c>
      <c r="E117" s="20"/>
      <c r="F117" s="20">
        <v>35.04</v>
      </c>
      <c r="G117" s="185">
        <f t="shared" si="152"/>
        <v>4.2364889372506348E-3</v>
      </c>
      <c r="H117" s="109">
        <v>14.4</v>
      </c>
      <c r="I117" s="105">
        <v>14.57</v>
      </c>
      <c r="J117" s="185">
        <f t="shared" si="153"/>
        <v>4.0513974123332656E-3</v>
      </c>
      <c r="K117" s="105">
        <f t="shared" ref="K117" si="157">I117-H117</f>
        <v>0.16999999999999993</v>
      </c>
      <c r="L117" s="186">
        <f t="shared" ref="L117" si="158">K117/H117</f>
        <v>1.180555555555555E-2</v>
      </c>
      <c r="M117" s="186">
        <f t="shared" si="156"/>
        <v>0.41581050228310507</v>
      </c>
      <c r="N117" s="191"/>
      <c r="O117" s="193"/>
    </row>
    <row r="118" spans="2:15" x14ac:dyDescent="0.25">
      <c r="B118" s="27" t="s">
        <v>130</v>
      </c>
      <c r="C118" s="104">
        <f>SUM(C115:C117)</f>
        <v>100.61</v>
      </c>
      <c r="D118" s="67">
        <f t="shared" si="151"/>
        <v>1.2869003749035879E-2</v>
      </c>
      <c r="E118" s="27"/>
      <c r="F118" s="27">
        <f>SUM(F115:F117)</f>
        <v>93.210000000000008</v>
      </c>
      <c r="G118" s="187">
        <f t="shared" si="152"/>
        <v>1.1269495828799421E-2</v>
      </c>
      <c r="H118" s="146">
        <f>SUM(H115:H117)</f>
        <v>43.23</v>
      </c>
      <c r="I118" s="27">
        <f>SUM(I115:I117)</f>
        <v>39.08</v>
      </c>
      <c r="J118" s="187">
        <f t="shared" si="153"/>
        <v>1.0866754349621414E-2</v>
      </c>
      <c r="K118" s="104">
        <f t="shared" ref="K118" si="159">I118-H118</f>
        <v>-4.1499999999999986</v>
      </c>
      <c r="L118" s="188">
        <f t="shared" ref="L118" si="160">K118/H118</f>
        <v>-9.5998149433263916E-2</v>
      </c>
      <c r="M118" s="188">
        <f t="shared" si="156"/>
        <v>0.41926831884990873</v>
      </c>
      <c r="N118" s="191"/>
      <c r="O118" s="194"/>
    </row>
    <row r="121" spans="2:15" x14ac:dyDescent="0.25">
      <c r="C121" s="34"/>
    </row>
    <row r="122" spans="2:15" x14ac:dyDescent="0.25">
      <c r="C122" s="31"/>
    </row>
    <row r="123" spans="2:15" x14ac:dyDescent="0.25">
      <c r="C123" s="31"/>
    </row>
    <row r="124" spans="2:15" x14ac:dyDescent="0.2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1" priority="4" operator="greaterThan">
      <formula>0.5</formula>
    </cfRule>
  </conditionalFormatting>
  <conditionalFormatting sqref="O92:O105">
    <cfRule type="cellIs" dxfId="20" priority="3" operator="greaterThan">
      <formula>0.85</formula>
    </cfRule>
  </conditionalFormatting>
  <conditionalFormatting sqref="M109:M112 M115:M118">
    <cfRule type="cellIs" dxfId="19" priority="2" operator="greaterThan">
      <formula>0.5</formula>
    </cfRule>
  </conditionalFormatting>
  <conditionalFormatting sqref="M92:M105">
    <cfRule type="cellIs" dxfId="18"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zoomScaleSheetLayoutView="100" workbookViewId="0">
      <selection activeCell="N93" sqref="N93"/>
    </sheetView>
  </sheetViews>
  <sheetFormatPr defaultRowHeight="15" x14ac:dyDescent="0.25"/>
  <cols>
    <col min="2" max="2" width="27" customWidth="1"/>
    <col min="3" max="3" width="10" style="179" customWidth="1"/>
    <col min="4" max="4" width="11.7109375" style="69"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280</v>
      </c>
      <c r="C1" s="36"/>
    </row>
    <row r="2" spans="1:14" x14ac:dyDescent="0.25">
      <c r="K2" s="36" t="s">
        <v>150</v>
      </c>
    </row>
    <row r="3" spans="1:14" s="36" customFormat="1" ht="15" customHeight="1" x14ac:dyDescent="0.25">
      <c r="B3" s="278" t="s">
        <v>151</v>
      </c>
      <c r="C3" s="277" t="s">
        <v>303</v>
      </c>
      <c r="D3" s="275" t="str">
        <f>'PU Wise OWE'!$B$7</f>
        <v>Actuals upto Aug' 20</v>
      </c>
      <c r="E3" s="277" t="s">
        <v>173</v>
      </c>
      <c r="F3" s="277"/>
      <c r="G3" s="324" t="str">
        <f>'PU Wise OWE'!$B$5</f>
        <v xml:space="preserve">OBG(SL) 2021-22 </v>
      </c>
      <c r="H3" s="277" t="s">
        <v>310</v>
      </c>
      <c r="I3" s="275" t="str">
        <f>'PU Wise OWE'!B8</f>
        <v>Actuals upto Aug' 21</v>
      </c>
      <c r="J3" s="277" t="s">
        <v>205</v>
      </c>
      <c r="K3" s="274" t="s">
        <v>147</v>
      </c>
      <c r="L3" s="274"/>
      <c r="M3" s="298" t="s">
        <v>315</v>
      </c>
      <c r="N3" s="327"/>
    </row>
    <row r="4" spans="1:14" ht="15.6" customHeight="1" x14ac:dyDescent="0.25">
      <c r="A4" s="31"/>
      <c r="B4" s="279"/>
      <c r="C4" s="276"/>
      <c r="D4" s="276"/>
      <c r="E4" s="276"/>
      <c r="F4" s="276"/>
      <c r="G4" s="279"/>
      <c r="H4" s="276"/>
      <c r="I4" s="276"/>
      <c r="J4" s="276"/>
      <c r="K4" s="19" t="s">
        <v>145</v>
      </c>
      <c r="L4" s="18" t="s">
        <v>146</v>
      </c>
      <c r="M4" s="298"/>
      <c r="N4" s="327"/>
    </row>
    <row r="5" spans="1:14" x14ac:dyDescent="0.25">
      <c r="A5" s="31"/>
      <c r="B5" s="61" t="s">
        <v>148</v>
      </c>
      <c r="C5" s="22">
        <v>4575.6000000000004</v>
      </c>
      <c r="D5" s="70">
        <f>ROUND('PU Wise OWE'!$AD$128/10000,2)</f>
        <v>1894.92</v>
      </c>
      <c r="E5" s="66">
        <f>D5/D7</f>
        <v>0.55310466816697179</v>
      </c>
      <c r="F5" s="66"/>
      <c r="G5" s="22">
        <f>ROUND('PU Wise OWE'!$AD$126/10000,2)</f>
        <v>4962.2700000000004</v>
      </c>
      <c r="H5" s="66">
        <f>G5/G7</f>
        <v>0.59996010155966639</v>
      </c>
      <c r="I5" s="23">
        <f>ROUND('PU Wise OWE'!$AD$129/10000,2)</f>
        <v>2065.64</v>
      </c>
      <c r="J5" s="24">
        <f>I5/$I$7</f>
        <v>0.53796210690800184</v>
      </c>
      <c r="K5" s="22">
        <f>I5-D5</f>
        <v>170.7199999999998</v>
      </c>
      <c r="L5" s="52">
        <f>K5/D5</f>
        <v>9.0093513182614465E-2</v>
      </c>
      <c r="M5" s="52">
        <f>I5/G5</f>
        <v>0.41626916713520218</v>
      </c>
    </row>
    <row r="6" spans="1:14" x14ac:dyDescent="0.25">
      <c r="A6" s="31"/>
      <c r="B6" s="78" t="s">
        <v>144</v>
      </c>
      <c r="C6" s="21">
        <v>3242.41</v>
      </c>
      <c r="D6" s="70">
        <f>D7-D5</f>
        <v>1531.0499999999997</v>
      </c>
      <c r="E6" s="66">
        <f>D6/D7</f>
        <v>0.44689533183302826</v>
      </c>
      <c r="F6" s="66"/>
      <c r="G6" s="21">
        <f t="shared" ref="G6:I6" si="0">G7-G5</f>
        <v>3308.7299999999996</v>
      </c>
      <c r="H6" s="66">
        <f>G6/G7</f>
        <v>0.40003989844033366</v>
      </c>
      <c r="I6" s="21">
        <f t="shared" si="0"/>
        <v>1774.1100000000001</v>
      </c>
      <c r="J6" s="24">
        <f t="shared" ref="J6:J7" si="1">I6/$I$7</f>
        <v>0.46203789309199822</v>
      </c>
      <c r="K6" s="22">
        <f>I6-D6</f>
        <v>243.0600000000004</v>
      </c>
      <c r="L6" s="52">
        <f>K6/D6</f>
        <v>0.15875379641422582</v>
      </c>
      <c r="M6" s="52">
        <f>I6/G6</f>
        <v>0.53619062298827658</v>
      </c>
    </row>
    <row r="7" spans="1:14" x14ac:dyDescent="0.25">
      <c r="A7" s="31"/>
      <c r="B7" s="27" t="s">
        <v>171</v>
      </c>
      <c r="C7" s="104">
        <f>SUM(C5:C6)</f>
        <v>7818.01</v>
      </c>
      <c r="D7" s="71">
        <f>ROUND('PU Wise OWE'!BK128/10000,2)</f>
        <v>3425.97</v>
      </c>
      <c r="E7" s="67">
        <f>SUM(E5:E6)</f>
        <v>1</v>
      </c>
      <c r="F7" s="67"/>
      <c r="G7" s="26">
        <f>ROUND('PU Wise OWE'!BK126/10000,2)</f>
        <v>8271</v>
      </c>
      <c r="H7" s="67">
        <f>SUM(H5:H6)</f>
        <v>1</v>
      </c>
      <c r="I7" s="25">
        <f>ROUND('PU Wise OWE'!BK129/10000,2)</f>
        <v>3839.75</v>
      </c>
      <c r="J7" s="54">
        <f t="shared" si="1"/>
        <v>1</v>
      </c>
      <c r="K7" s="26">
        <f>I7-D7</f>
        <v>413.7800000000002</v>
      </c>
      <c r="L7" s="55">
        <f>K7/D7</f>
        <v>0.12077747324115512</v>
      </c>
      <c r="M7" s="52">
        <f>I7/G7</f>
        <v>0.464242534155483</v>
      </c>
    </row>
    <row r="8" spans="1:14" x14ac:dyDescent="0.25">
      <c r="A8" s="31"/>
      <c r="B8" s="32"/>
      <c r="C8" s="32"/>
      <c r="D8" s="72"/>
      <c r="E8" s="33"/>
      <c r="F8" s="33"/>
      <c r="G8" s="34"/>
      <c r="H8" s="34"/>
      <c r="I8" s="31"/>
      <c r="J8" s="31"/>
      <c r="K8" s="34"/>
      <c r="L8" s="31"/>
    </row>
    <row r="9" spans="1:14" ht="14.45" customHeight="1" x14ac:dyDescent="0.25">
      <c r="A9" s="31"/>
      <c r="D9" s="72"/>
      <c r="E9" s="33"/>
      <c r="F9" s="33"/>
      <c r="G9" s="34"/>
      <c r="H9" s="34"/>
      <c r="I9" s="31"/>
      <c r="J9" s="31"/>
      <c r="K9" s="34"/>
      <c r="L9" s="31"/>
    </row>
    <row r="10" spans="1:14" x14ac:dyDescent="0.25">
      <c r="A10" s="31"/>
      <c r="B10" s="62" t="s">
        <v>172</v>
      </c>
      <c r="C10" s="62"/>
      <c r="D10" s="73"/>
      <c r="E10" s="63"/>
      <c r="F10" s="63"/>
      <c r="G10" s="63"/>
      <c r="H10" s="63"/>
      <c r="I10" s="63"/>
      <c r="J10" s="63"/>
      <c r="K10" s="36" t="s">
        <v>150</v>
      </c>
    </row>
    <row r="11" spans="1:14" ht="15" customHeight="1" x14ac:dyDescent="0.25">
      <c r="A11" s="31"/>
      <c r="B11" s="284"/>
      <c r="C11" s="284" t="s">
        <v>303</v>
      </c>
      <c r="D11" s="282" t="str">
        <f>'PU Wise OWE'!$B$7</f>
        <v>Actuals upto Aug' 20</v>
      </c>
      <c r="E11" s="284" t="s">
        <v>173</v>
      </c>
      <c r="F11" s="284"/>
      <c r="G11" s="325" t="str">
        <f>'PU Wise OWE'!$B$5</f>
        <v xml:space="preserve">OBG(SL) 2021-22 </v>
      </c>
      <c r="H11" s="284" t="s">
        <v>310</v>
      </c>
      <c r="I11" s="282" t="str">
        <f>'PU Wise OWE'!B8</f>
        <v>Actuals upto Aug' 21</v>
      </c>
      <c r="J11" s="284" t="s">
        <v>205</v>
      </c>
      <c r="K11" s="285" t="s">
        <v>147</v>
      </c>
      <c r="L11" s="285"/>
      <c r="M11" s="299" t="s">
        <v>315</v>
      </c>
      <c r="N11" s="327" t="s">
        <v>209</v>
      </c>
    </row>
    <row r="12" spans="1:14" ht="17.25" customHeight="1" x14ac:dyDescent="0.25">
      <c r="A12" s="31"/>
      <c r="B12" s="283"/>
      <c r="C12" s="283"/>
      <c r="D12" s="283"/>
      <c r="E12" s="283"/>
      <c r="F12" s="283"/>
      <c r="G12" s="326"/>
      <c r="H12" s="283"/>
      <c r="I12" s="283"/>
      <c r="J12" s="283"/>
      <c r="K12" s="64" t="s">
        <v>145</v>
      </c>
      <c r="L12" s="65" t="s">
        <v>146</v>
      </c>
      <c r="M12" s="299"/>
      <c r="N12" s="327"/>
    </row>
    <row r="13" spans="1:14" x14ac:dyDescent="0.25">
      <c r="A13" s="31"/>
      <c r="B13" s="20" t="s">
        <v>152</v>
      </c>
      <c r="C13" s="105">
        <v>2522.8000000000002</v>
      </c>
      <c r="D13" s="70">
        <f>ROUND('PU Wise OWE'!$C$128/10000,2)</f>
        <v>1045.8</v>
      </c>
      <c r="E13" s="66">
        <f>D13/$D$7</f>
        <v>0.30525661345545935</v>
      </c>
      <c r="F13" s="21"/>
      <c r="G13" s="22">
        <f>ROUND('PU Wise OWE'!$C$126/10000,2)</f>
        <v>2509.4499999999998</v>
      </c>
      <c r="H13" s="24">
        <f>G13/$G$7</f>
        <v>0.30340345786482892</v>
      </c>
      <c r="I13" s="23">
        <f>ROUND('PU Wise OWE'!$C$129/10000,2)</f>
        <v>1075.4100000000001</v>
      </c>
      <c r="J13" s="24">
        <f>I13/$I$7</f>
        <v>0.28007292141415457</v>
      </c>
      <c r="K13" s="22">
        <f t="shared" ref="K13:K28" si="2">I13-D13</f>
        <v>29.610000000000127</v>
      </c>
      <c r="L13" s="52">
        <f t="shared" ref="L13:L28" si="3">K13/D13</f>
        <v>2.8313253012048317E-2</v>
      </c>
      <c r="M13" s="52">
        <f>I13/G13</f>
        <v>0.42854410328956549</v>
      </c>
    </row>
    <row r="14" spans="1:14" x14ac:dyDescent="0.25">
      <c r="A14" s="31"/>
      <c r="B14" s="20" t="s">
        <v>153</v>
      </c>
      <c r="C14" s="105">
        <v>441.91</v>
      </c>
      <c r="D14" s="70">
        <f>ROUND('PU Wise OWE'!$D$128/10000,2)</f>
        <v>183.41</v>
      </c>
      <c r="E14" s="66">
        <f t="shared" ref="E14:E27" si="4">D14/$D$7</f>
        <v>5.3535203168737618E-2</v>
      </c>
      <c r="F14" s="21"/>
      <c r="G14" s="22">
        <f>ROUND('PU Wise OWE'!$D$126/10000,2)</f>
        <v>755.98</v>
      </c>
      <c r="H14" s="24">
        <f t="shared" ref="H14:H27" si="5">G14/$G$7</f>
        <v>9.1401281586265259E-2</v>
      </c>
      <c r="I14" s="23">
        <f>ROUND('PU Wise OWE'!$D$129/10000,2)</f>
        <v>239.04</v>
      </c>
      <c r="J14" s="24">
        <f t="shared" ref="J14:J28" si="6">I14/$I$7</f>
        <v>6.225405299824207E-2</v>
      </c>
      <c r="K14" s="22">
        <f t="shared" si="2"/>
        <v>55.629999999999995</v>
      </c>
      <c r="L14" s="52">
        <f t="shared" si="3"/>
        <v>0.30330952510768222</v>
      </c>
      <c r="M14" s="52">
        <f t="shared" ref="M14:M27" si="7">I14/G14</f>
        <v>0.31619884123918618</v>
      </c>
    </row>
    <row r="15" spans="1:14" x14ac:dyDescent="0.25">
      <c r="B15" s="23" t="s">
        <v>174</v>
      </c>
      <c r="C15" s="22">
        <v>98.2</v>
      </c>
      <c r="D15" s="70">
        <f>ROUND('PU Wise OWE'!$E$128/10000,2)</f>
        <v>0.62</v>
      </c>
      <c r="E15" s="66">
        <f t="shared" si="4"/>
        <v>1.8097064481008298E-4</v>
      </c>
      <c r="F15" s="21"/>
      <c r="G15" s="22">
        <f>ROUND('PU Wise OWE'!$E$126/10000,2)</f>
        <v>99.13</v>
      </c>
      <c r="H15" s="24">
        <f t="shared" si="5"/>
        <v>1.1985249667512996E-2</v>
      </c>
      <c r="I15" s="23">
        <f>ROUND('PU Wise OWE'!$E$129/10000,2)</f>
        <v>0.28000000000000003</v>
      </c>
      <c r="J15" s="24">
        <f t="shared" si="6"/>
        <v>7.2921414154567359E-5</v>
      </c>
      <c r="K15" s="22">
        <f t="shared" si="2"/>
        <v>-0.33999999999999997</v>
      </c>
      <c r="L15" s="52">
        <f t="shared" si="3"/>
        <v>-0.54838709677419351</v>
      </c>
      <c r="M15" s="52">
        <f t="shared" si="7"/>
        <v>2.8245737919903161E-3</v>
      </c>
    </row>
    <row r="16" spans="1:14" x14ac:dyDescent="0.25">
      <c r="B16" s="23" t="s">
        <v>175</v>
      </c>
      <c r="C16" s="22">
        <v>264.85000000000002</v>
      </c>
      <c r="D16" s="70">
        <f>ROUND('PU Wise OWE'!$F$128/10000,2)</f>
        <v>109.21</v>
      </c>
      <c r="E16" s="66">
        <f t="shared" si="4"/>
        <v>3.1877103418885749E-2</v>
      </c>
      <c r="F16" s="21"/>
      <c r="G16" s="22">
        <f>ROUND('PU Wise OWE'!$F$126/10000,2)</f>
        <v>286.05</v>
      </c>
      <c r="H16" s="24">
        <f t="shared" si="5"/>
        <v>3.4584693507435621E-2</v>
      </c>
      <c r="I16" s="23">
        <f>ROUND('PU Wise OWE'!$F$129/10000,2)</f>
        <v>119.81</v>
      </c>
      <c r="J16" s="24">
        <f t="shared" si="6"/>
        <v>3.1202552249495412E-2</v>
      </c>
      <c r="K16" s="22">
        <f t="shared" si="2"/>
        <v>10.600000000000009</v>
      </c>
      <c r="L16" s="52">
        <f t="shared" si="3"/>
        <v>9.7060708726307204E-2</v>
      </c>
      <c r="M16" s="52">
        <f t="shared" si="7"/>
        <v>0.41884285963992307</v>
      </c>
    </row>
    <row r="17" spans="1:14" x14ac:dyDescent="0.25">
      <c r="B17" s="23" t="s">
        <v>176</v>
      </c>
      <c r="C17" s="22">
        <v>134.78</v>
      </c>
      <c r="D17" s="70">
        <f>ROUND('PU Wise OWE'!$G$128/10000,2)</f>
        <v>56.25</v>
      </c>
      <c r="E17" s="66">
        <f t="shared" si="4"/>
        <v>1.6418707694463176E-2</v>
      </c>
      <c r="F17" s="21"/>
      <c r="G17" s="22">
        <f>ROUND('PU Wise OWE'!$G$126/10000,2)</f>
        <v>148.21</v>
      </c>
      <c r="H17" s="24">
        <f t="shared" si="5"/>
        <v>1.7919235884415428E-2</v>
      </c>
      <c r="I17" s="23">
        <f>ROUND('PU Wise OWE'!$G$129/10000,2)</f>
        <v>60.23</v>
      </c>
      <c r="J17" s="24">
        <f t="shared" si="6"/>
        <v>1.5685917051891398E-2</v>
      </c>
      <c r="K17" s="22">
        <f t="shared" si="2"/>
        <v>3.9799999999999969</v>
      </c>
      <c r="L17" s="52">
        <f t="shared" si="3"/>
        <v>7.0755555555555502E-2</v>
      </c>
      <c r="M17" s="52">
        <f t="shared" si="7"/>
        <v>0.40638283516631801</v>
      </c>
    </row>
    <row r="18" spans="1:14" x14ac:dyDescent="0.25">
      <c r="A18" s="31"/>
      <c r="B18" s="20" t="s">
        <v>154</v>
      </c>
      <c r="C18" s="105">
        <v>247.05</v>
      </c>
      <c r="D18" s="70">
        <f>ROUND('PU Wise OWE'!$H$128/10000,2)</f>
        <v>121.32</v>
      </c>
      <c r="E18" s="66">
        <f t="shared" si="4"/>
        <v>3.5411868755418172E-2</v>
      </c>
      <c r="F18" s="21"/>
      <c r="G18" s="22">
        <f>ROUND('PU Wise OWE'!$H$126/10000,2)</f>
        <v>289.98</v>
      </c>
      <c r="H18" s="24">
        <f t="shared" si="5"/>
        <v>3.5059847660500548E-2</v>
      </c>
      <c r="I18" s="23">
        <f>ROUND('PU Wise OWE'!$H$129/10000,2)</f>
        <v>133.65</v>
      </c>
      <c r="J18" s="24">
        <f t="shared" si="6"/>
        <v>3.4806953577706884E-2</v>
      </c>
      <c r="K18" s="22">
        <f t="shared" si="2"/>
        <v>12.330000000000013</v>
      </c>
      <c r="L18" s="52">
        <f t="shared" si="3"/>
        <v>0.10163204747774492</v>
      </c>
      <c r="M18" s="52">
        <f t="shared" si="7"/>
        <v>0.46089385474860334</v>
      </c>
    </row>
    <row r="19" spans="1:14" ht="45" customHeight="1" x14ac:dyDescent="0.25">
      <c r="A19" s="31"/>
      <c r="B19" s="56" t="s">
        <v>155</v>
      </c>
      <c r="C19" s="106">
        <v>188.24</v>
      </c>
      <c r="D19" s="70">
        <f>ROUND('PU Wise OWE'!$J$128/10000,2)</f>
        <v>73.09</v>
      </c>
      <c r="E19" s="66">
        <f t="shared" si="4"/>
        <v>2.1334103918014463E-2</v>
      </c>
      <c r="F19" s="21"/>
      <c r="G19" s="22">
        <f>ROUND('PU Wise OWE'!$J$126/10000,2)</f>
        <v>198.27</v>
      </c>
      <c r="H19" s="24">
        <f t="shared" si="5"/>
        <v>2.397170837867247E-2</v>
      </c>
      <c r="I19" s="23">
        <f>ROUND('PU Wise OWE'!$J$129/10000,2)</f>
        <v>91.57</v>
      </c>
      <c r="J19" s="24">
        <f t="shared" si="6"/>
        <v>2.3847906764763328E-2</v>
      </c>
      <c r="K19" s="22">
        <f t="shared" si="2"/>
        <v>18.47999999999999</v>
      </c>
      <c r="L19" s="52">
        <f t="shared" si="3"/>
        <v>0.25283896565877667</v>
      </c>
      <c r="M19" s="52">
        <f t="shared" si="7"/>
        <v>0.46184495889443683</v>
      </c>
      <c r="N19" s="69"/>
    </row>
    <row r="20" spans="1:14" x14ac:dyDescent="0.25">
      <c r="A20" s="31"/>
      <c r="B20" s="20" t="s">
        <v>156</v>
      </c>
      <c r="C20" s="105">
        <v>12.03</v>
      </c>
      <c r="D20" s="70">
        <f>ROUND('PU Wise OWE'!$K$128/10000,2)</f>
        <v>2.95</v>
      </c>
      <c r="E20" s="66">
        <f t="shared" si="4"/>
        <v>8.610700035318466E-4</v>
      </c>
      <c r="F20" s="21"/>
      <c r="G20" s="22">
        <f>ROUND('PU Wise OWE'!$K$126/10000,2)</f>
        <v>11.75</v>
      </c>
      <c r="H20" s="24">
        <f t="shared" si="5"/>
        <v>1.4206262846088744E-3</v>
      </c>
      <c r="I20" s="23">
        <f>ROUND('PU Wise OWE'!$K$129/10000,2)</f>
        <v>0.76</v>
      </c>
      <c r="J20" s="24">
        <f t="shared" si="6"/>
        <v>1.9792955270525424E-4</v>
      </c>
      <c r="K20" s="22">
        <f t="shared" si="2"/>
        <v>-2.1900000000000004</v>
      </c>
      <c r="L20" s="52">
        <f t="shared" si="3"/>
        <v>-0.74237288135593227</v>
      </c>
      <c r="M20" s="52">
        <f t="shared" si="7"/>
        <v>6.4680851063829786E-2</v>
      </c>
    </row>
    <row r="21" spans="1:14" x14ac:dyDescent="0.25">
      <c r="A21" s="31"/>
      <c r="B21" s="20" t="s">
        <v>157</v>
      </c>
      <c r="C21" s="105">
        <v>48.93</v>
      </c>
      <c r="D21" s="70">
        <f>ROUND('PU Wise OWE'!$L$128/10000,2)</f>
        <v>24.53</v>
      </c>
      <c r="E21" s="66">
        <f t="shared" si="4"/>
        <v>7.1600159954698971E-3</v>
      </c>
      <c r="F21" s="21"/>
      <c r="G21" s="22">
        <f>ROUND('PU Wise OWE'!$L$126/10000,2)</f>
        <v>52.98</v>
      </c>
      <c r="H21" s="24">
        <f t="shared" si="5"/>
        <v>6.4055132390279284E-3</v>
      </c>
      <c r="I21" s="23">
        <f>ROUND('PU Wise OWE'!$L$129/10000,2)</f>
        <v>16.22</v>
      </c>
      <c r="J21" s="24">
        <f t="shared" si="6"/>
        <v>4.2242333485252945E-3</v>
      </c>
      <c r="K21" s="22">
        <f t="shared" si="2"/>
        <v>-8.3100000000000023</v>
      </c>
      <c r="L21" s="52">
        <f t="shared" si="3"/>
        <v>-0.3387688544639218</v>
      </c>
      <c r="M21" s="52">
        <f t="shared" si="7"/>
        <v>0.30615326538316345</v>
      </c>
      <c r="N21" s="69"/>
    </row>
    <row r="22" spans="1:14" x14ac:dyDescent="0.25">
      <c r="A22" s="31"/>
      <c r="B22" s="20" t="s">
        <v>179</v>
      </c>
      <c r="C22" s="105">
        <v>120.4</v>
      </c>
      <c r="D22" s="70">
        <f>ROUND('PU Wise OWE'!$M$128/10000,2)</f>
        <v>65.489999999999995</v>
      </c>
      <c r="E22" s="66">
        <f t="shared" si="4"/>
        <v>1.9115754078406991E-2</v>
      </c>
      <c r="F22" s="21"/>
      <c r="G22" s="22">
        <f>ROUND('PU Wise OWE'!$M$126/10000,2)</f>
        <v>149.94999999999999</v>
      </c>
      <c r="H22" s="24">
        <f t="shared" si="5"/>
        <v>1.8129609478902187E-2</v>
      </c>
      <c r="I22" s="23">
        <f>ROUND('PU Wise OWE'!$M$129/10000,2)</f>
        <v>71.37</v>
      </c>
      <c r="J22" s="24">
        <f t="shared" si="6"/>
        <v>1.858714760075526E-2</v>
      </c>
      <c r="K22" s="22">
        <f t="shared" si="2"/>
        <v>5.8800000000000097</v>
      </c>
      <c r="L22" s="52">
        <f t="shared" si="3"/>
        <v>8.9784699954191638E-2</v>
      </c>
      <c r="M22" s="52">
        <f t="shared" si="7"/>
        <v>0.47595865288429484</v>
      </c>
      <c r="N22" s="69"/>
    </row>
    <row r="23" spans="1:14" x14ac:dyDescent="0.25">
      <c r="A23" s="31"/>
      <c r="B23" s="56" t="s">
        <v>158</v>
      </c>
      <c r="C23" s="106">
        <v>88.73</v>
      </c>
      <c r="D23" s="70">
        <f>ROUND('PU Wise OWE'!$P$128/10000,2)</f>
        <v>45.07</v>
      </c>
      <c r="E23" s="66">
        <f t="shared" si="4"/>
        <v>1.3155398325145872E-2</v>
      </c>
      <c r="F23" s="21"/>
      <c r="G23" s="22">
        <f>ROUND('PU Wise OWE'!$P$126/10000,2)</f>
        <v>92.29</v>
      </c>
      <c r="H23" s="24">
        <f t="shared" si="5"/>
        <v>1.1158263813323662E-2</v>
      </c>
      <c r="I23" s="23">
        <f>ROUND('PU Wise OWE'!$P$129/10000,2)</f>
        <v>49.39</v>
      </c>
      <c r="J23" s="24">
        <f t="shared" si="6"/>
        <v>1.286281658962172E-2</v>
      </c>
      <c r="K23" s="22">
        <f t="shared" si="2"/>
        <v>4.32</v>
      </c>
      <c r="L23" s="52">
        <f t="shared" si="3"/>
        <v>9.5850898602174398E-2</v>
      </c>
      <c r="M23" s="52">
        <f t="shared" si="7"/>
        <v>0.53516090584028597</v>
      </c>
    </row>
    <row r="24" spans="1:14" x14ac:dyDescent="0.25">
      <c r="B24" s="56" t="s">
        <v>159</v>
      </c>
      <c r="C24" s="106">
        <v>81.78</v>
      </c>
      <c r="D24" s="70">
        <f>ROUND('PU Wise OWE'!$S$128/10000,2)</f>
        <v>56.52</v>
      </c>
      <c r="E24" s="66">
        <f t="shared" si="4"/>
        <v>1.64975174913966E-2</v>
      </c>
      <c r="F24" s="21"/>
      <c r="G24" s="22">
        <f>ROUND('PU Wise OWE'!$S$126/10000,2)</f>
        <v>89.03</v>
      </c>
      <c r="H24" s="24">
        <f t="shared" si="5"/>
        <v>1.0764115584572603E-2</v>
      </c>
      <c r="I24" s="23">
        <f>ROUND('PU Wise OWE'!$S$129/10000,2)</f>
        <v>67.989999999999995</v>
      </c>
      <c r="J24" s="24">
        <f t="shared" si="6"/>
        <v>1.7706881958460836E-2</v>
      </c>
      <c r="K24" s="22">
        <f t="shared" si="2"/>
        <v>11.469999999999992</v>
      </c>
      <c r="L24" s="52">
        <f t="shared" si="3"/>
        <v>0.20293701344656742</v>
      </c>
      <c r="M24" s="52">
        <f t="shared" si="7"/>
        <v>0.76367516567449167</v>
      </c>
      <c r="N24" s="69"/>
    </row>
    <row r="25" spans="1:14" x14ac:dyDescent="0.25">
      <c r="B25" s="56" t="s">
        <v>160</v>
      </c>
      <c r="C25" s="106">
        <v>90.5</v>
      </c>
      <c r="D25" s="70">
        <f>ROUND('PU Wise OWE'!$T$128/10000,2)</f>
        <v>38.49</v>
      </c>
      <c r="E25" s="66">
        <f t="shared" si="4"/>
        <v>1.1234774385064669E-2</v>
      </c>
      <c r="F25" s="21"/>
      <c r="G25" s="22">
        <f>ROUND('PU Wise OWE'!$T$126/10000,2)</f>
        <v>83.15</v>
      </c>
      <c r="H25" s="24">
        <f t="shared" si="5"/>
        <v>1.0053197920444928E-2</v>
      </c>
      <c r="I25" s="23">
        <f>ROUND('PU Wise OWE'!$T$129/10000,2)</f>
        <v>49.39</v>
      </c>
      <c r="J25" s="24">
        <f t="shared" si="6"/>
        <v>1.286281658962172E-2</v>
      </c>
      <c r="K25" s="22">
        <f t="shared" si="2"/>
        <v>10.899999999999999</v>
      </c>
      <c r="L25" s="52">
        <f t="shared" si="3"/>
        <v>0.2831904390750844</v>
      </c>
      <c r="M25" s="52">
        <f t="shared" si="7"/>
        <v>0.59398677089597107</v>
      </c>
    </row>
    <row r="26" spans="1:14" x14ac:dyDescent="0.25">
      <c r="B26" s="56" t="s">
        <v>178</v>
      </c>
      <c r="C26" s="106">
        <v>41.07</v>
      </c>
      <c r="D26" s="70">
        <f>ROUND('PU Wise OWE'!$V$128/10000,2)</f>
        <v>18.190000000000001</v>
      </c>
      <c r="E26" s="66">
        <f t="shared" si="4"/>
        <v>5.3094452082184029E-3</v>
      </c>
      <c r="F26" s="22"/>
      <c r="G26" s="22">
        <f>ROUND('PU Wise OWE'!$V$126/10000,2)</f>
        <v>34.5</v>
      </c>
      <c r="H26" s="24">
        <f t="shared" si="5"/>
        <v>4.1712005803409506E-3</v>
      </c>
      <c r="I26" s="23">
        <f>ROUND('PU Wise OWE'!$V$129/10000,2)</f>
        <v>18.09</v>
      </c>
      <c r="J26" s="24">
        <f t="shared" si="6"/>
        <v>4.7112442216290119E-3</v>
      </c>
      <c r="K26" s="22">
        <f t="shared" si="2"/>
        <v>-0.10000000000000142</v>
      </c>
      <c r="L26" s="52">
        <f t="shared" si="3"/>
        <v>-5.4975261132491158E-3</v>
      </c>
      <c r="M26" s="52">
        <f t="shared" si="7"/>
        <v>0.52434782608695651</v>
      </c>
      <c r="N26" s="69"/>
    </row>
    <row r="27" spans="1:14" x14ac:dyDescent="0.25">
      <c r="B27" s="56" t="s">
        <v>177</v>
      </c>
      <c r="C27" s="106">
        <v>169.78</v>
      </c>
      <c r="D27" s="70">
        <f>ROUND('PU Wise OWE'!$AC$128/10000,2)</f>
        <v>47.13</v>
      </c>
      <c r="E27" s="66">
        <f t="shared" si="4"/>
        <v>1.3756687886934214E-2</v>
      </c>
      <c r="F27" s="22"/>
      <c r="G27" s="22">
        <f>ROUND('PU Wise OWE'!$AC$126/10000,2)</f>
        <v>133.18</v>
      </c>
      <c r="H27" s="24">
        <f t="shared" si="5"/>
        <v>1.6102043283762545E-2</v>
      </c>
      <c r="I27" s="23">
        <f>ROUND('PU Wise OWE'!$AC$129/10000,2)</f>
        <v>58.05</v>
      </c>
      <c r="J27" s="24">
        <f t="shared" si="6"/>
        <v>1.5118171755973695E-2</v>
      </c>
      <c r="K27" s="22">
        <f t="shared" si="2"/>
        <v>10.919999999999995</v>
      </c>
      <c r="L27" s="52">
        <f t="shared" si="3"/>
        <v>0.23169955442393367</v>
      </c>
      <c r="M27" s="52">
        <f t="shared" si="7"/>
        <v>0.43587625769635074</v>
      </c>
    </row>
    <row r="28" spans="1:14" x14ac:dyDescent="0.25">
      <c r="B28" s="25" t="s">
        <v>149</v>
      </c>
      <c r="C28" s="26">
        <f>SUM(C13:C27)</f>
        <v>4551.0499999999993</v>
      </c>
      <c r="D28" s="74">
        <f>SUM(D13:D27)</f>
        <v>1888.07</v>
      </c>
      <c r="E28" s="54">
        <f>SUM(E13:E27)</f>
        <v>0.55110523442995707</v>
      </c>
      <c r="F28" s="26"/>
      <c r="G28" s="26">
        <f>G5</f>
        <v>4962.2700000000004</v>
      </c>
      <c r="H28" s="54">
        <f t="shared" ref="H28:I28" si="8">SUM(H13:H27)</f>
        <v>0.59653004473461491</v>
      </c>
      <c r="I28" s="26">
        <f t="shared" si="8"/>
        <v>2051.2500000000005</v>
      </c>
      <c r="J28" s="54">
        <f t="shared" si="6"/>
        <v>0.53421446708770115</v>
      </c>
      <c r="K28" s="26">
        <f t="shared" si="2"/>
        <v>163.18000000000052</v>
      </c>
      <c r="L28" s="55">
        <f t="shared" si="3"/>
        <v>8.6426880359308983E-2</v>
      </c>
    </row>
    <row r="29" spans="1:14" x14ac:dyDescent="0.25">
      <c r="I29" s="68"/>
      <c r="J29" s="68"/>
    </row>
    <row r="31" spans="1:14" x14ac:dyDescent="0.25">
      <c r="B31" s="75" t="s">
        <v>180</v>
      </c>
      <c r="C31" s="75"/>
      <c r="D31" s="76"/>
      <c r="E31" s="77"/>
      <c r="K31" t="s">
        <v>150</v>
      </c>
    </row>
    <row r="32" spans="1:14" ht="15" customHeight="1" x14ac:dyDescent="0.25">
      <c r="B32" s="292"/>
      <c r="C32" s="291" t="s">
        <v>303</v>
      </c>
      <c r="D32" s="288" t="str">
        <f>'PU Wise OWE'!$B$7</f>
        <v>Actuals upto Aug' 20</v>
      </c>
      <c r="E32" s="291" t="s">
        <v>173</v>
      </c>
      <c r="F32" s="291"/>
      <c r="G32" s="322" t="str">
        <f>'PU Wise OWE'!$B$5</f>
        <v xml:space="preserve">OBG(SL) 2021-22 </v>
      </c>
      <c r="H32" s="291" t="s">
        <v>310</v>
      </c>
      <c r="I32" s="288" t="str">
        <f>'PU Wise OWE'!B8</f>
        <v>Actuals upto Aug' 21</v>
      </c>
      <c r="J32" s="291" t="s">
        <v>205</v>
      </c>
      <c r="K32" s="290" t="s">
        <v>147</v>
      </c>
      <c r="L32" s="290"/>
      <c r="M32" s="292" t="s">
        <v>315</v>
      </c>
      <c r="N32" s="327" t="s">
        <v>209</v>
      </c>
    </row>
    <row r="33" spans="2:14" ht="17.25" customHeight="1" x14ac:dyDescent="0.25">
      <c r="B33" s="292"/>
      <c r="C33" s="289"/>
      <c r="D33" s="289"/>
      <c r="E33" s="289"/>
      <c r="F33" s="289"/>
      <c r="G33" s="323"/>
      <c r="H33" s="289"/>
      <c r="I33" s="289"/>
      <c r="J33" s="289"/>
      <c r="K33" s="79" t="s">
        <v>145</v>
      </c>
      <c r="L33" s="80" t="s">
        <v>146</v>
      </c>
      <c r="M33" s="292"/>
      <c r="N33" s="327"/>
    </row>
    <row r="34" spans="2:14" x14ac:dyDescent="0.25">
      <c r="B34" s="84" t="s">
        <v>181</v>
      </c>
      <c r="C34" s="107">
        <v>10.44</v>
      </c>
      <c r="D34" s="70">
        <f>ROUND(('PU Wise OWE'!$AE$128+'PU Wise OWE'!$AF$128)/10000,2)</f>
        <v>4.97</v>
      </c>
      <c r="E34" s="85">
        <f>D34/$D$7</f>
        <v>1.4506840398485685E-3</v>
      </c>
      <c r="F34" s="21"/>
      <c r="G34" s="22">
        <f>ROUND(('PU Wise OWE'!$AE$126+'PU Wise OWE'!$AF$126)/10000,2)</f>
        <v>9.56</v>
      </c>
      <c r="H34" s="24">
        <f t="shared" ref="H34:H37" si="9">G34/$G$7</f>
        <v>1.1558457260307097E-3</v>
      </c>
      <c r="I34" s="23">
        <f>ROUND(('PU Wise OWE'!$AE$129+'PU Wise OWE'!$AF$129)/10000,2)</f>
        <v>3.16</v>
      </c>
      <c r="J34" s="24">
        <f t="shared" ref="J34:J37" si="10">I34/$I$7</f>
        <v>8.2297024545868876E-4</v>
      </c>
      <c r="K34" s="22">
        <f>I34-D34</f>
        <v>-1.8099999999999996</v>
      </c>
      <c r="L34" s="52">
        <f>K34/D34</f>
        <v>-0.36418511066398385</v>
      </c>
      <c r="M34" s="52">
        <f t="shared" ref="M34:M37" si="11">I34/G34</f>
        <v>0.33054393305439328</v>
      </c>
      <c r="N34" s="328"/>
    </row>
    <row r="35" spans="2:14" ht="16.5" customHeight="1" x14ac:dyDescent="0.25">
      <c r="B35" s="84" t="s">
        <v>182</v>
      </c>
      <c r="C35" s="107">
        <v>21.76</v>
      </c>
      <c r="D35" s="70">
        <f>ROUND('PU Wise OWE'!$AG$128/10000,2)</f>
        <v>9.92</v>
      </c>
      <c r="E35" s="85">
        <f t="shared" ref="E35:E37" si="12">D35/$D$7</f>
        <v>2.8955303169613277E-3</v>
      </c>
      <c r="F35" s="21"/>
      <c r="G35" s="22">
        <f>ROUND('PU Wise OWE'!$AG$126/10000,2)</f>
        <v>7.15</v>
      </c>
      <c r="H35" s="24">
        <f t="shared" si="9"/>
        <v>8.6446620723008101E-4</v>
      </c>
      <c r="I35" s="23">
        <f>ROUND('PU Wise OWE'!$AG$129/10000,2)</f>
        <v>8.14</v>
      </c>
      <c r="J35" s="24">
        <f t="shared" si="10"/>
        <v>2.1199296829220652E-3</v>
      </c>
      <c r="K35" s="22">
        <f>I35-D35</f>
        <v>-1.7799999999999994</v>
      </c>
      <c r="L35" s="52">
        <f>K35/D35</f>
        <v>-0.17943548387096767</v>
      </c>
      <c r="M35" s="52">
        <f t="shared" si="11"/>
        <v>1.1384615384615384</v>
      </c>
      <c r="N35" s="328"/>
    </row>
    <row r="36" spans="2:14" ht="15.75" customHeight="1" x14ac:dyDescent="0.25">
      <c r="B36" s="84" t="s">
        <v>183</v>
      </c>
      <c r="C36" s="107">
        <v>2.42</v>
      </c>
      <c r="D36" s="70">
        <f>ROUND('PU Wise OWE'!$AJ$128/10000,2)</f>
        <v>1.1200000000000001</v>
      </c>
      <c r="E36" s="85">
        <f t="shared" si="12"/>
        <v>3.2691471320531125E-4</v>
      </c>
      <c r="F36" s="21"/>
      <c r="G36" s="22">
        <f>ROUND('PU Wise OWE'!$AJ$126/10000,2)</f>
        <v>2.23</v>
      </c>
      <c r="H36" s="24">
        <f t="shared" si="9"/>
        <v>2.6961673316406725E-4</v>
      </c>
      <c r="I36" s="23">
        <f>ROUND('PU Wise OWE'!$AJ$129/10000,2)</f>
        <v>0.88</v>
      </c>
      <c r="J36" s="24">
        <f t="shared" si="10"/>
        <v>2.2918158734292596E-4</v>
      </c>
      <c r="K36" s="22">
        <f>I36-D36</f>
        <v>-0.2400000000000001</v>
      </c>
      <c r="L36" s="52">
        <f>K36/D36</f>
        <v>-0.21428571428571436</v>
      </c>
      <c r="M36" s="52">
        <f t="shared" si="11"/>
        <v>0.39461883408071752</v>
      </c>
      <c r="N36" s="328"/>
    </row>
    <row r="37" spans="2:14" x14ac:dyDescent="0.25">
      <c r="B37" s="25" t="s">
        <v>149</v>
      </c>
      <c r="C37" s="26">
        <v>34.619999999999997</v>
      </c>
      <c r="D37" s="74">
        <f>SUM(D34:D36)</f>
        <v>16.010000000000002</v>
      </c>
      <c r="E37" s="86">
        <f t="shared" si="12"/>
        <v>4.6731290700152079E-3</v>
      </c>
      <c r="F37" s="26"/>
      <c r="G37" s="74">
        <f t="shared" ref="G37:I37" si="13">SUM(G34:G36)</f>
        <v>18.940000000000001</v>
      </c>
      <c r="H37" s="54">
        <f t="shared" si="9"/>
        <v>2.2899286664248581E-3</v>
      </c>
      <c r="I37" s="74">
        <f t="shared" si="13"/>
        <v>12.180000000000001</v>
      </c>
      <c r="J37" s="54">
        <f t="shared" si="10"/>
        <v>3.1720815157236801E-3</v>
      </c>
      <c r="K37" s="26">
        <f>I37-D37</f>
        <v>-3.83</v>
      </c>
      <c r="L37" s="55">
        <f>K37/D37</f>
        <v>-0.2392254840724547</v>
      </c>
      <c r="M37" s="52">
        <f t="shared" si="11"/>
        <v>0.64308342133051744</v>
      </c>
    </row>
    <row r="39" spans="2:14" x14ac:dyDescent="0.25">
      <c r="B39" s="82"/>
      <c r="C39" s="82"/>
      <c r="D39" s="83"/>
      <c r="E39" s="82"/>
      <c r="K39" t="s">
        <v>150</v>
      </c>
    </row>
    <row r="40" spans="2:14" ht="15" customHeight="1" x14ac:dyDescent="0.25">
      <c r="B40" s="292" t="s">
        <v>164</v>
      </c>
      <c r="C40" s="291" t="s">
        <v>303</v>
      </c>
      <c r="D40" s="288" t="str">
        <f>'PU Wise OWE'!$B$7</f>
        <v>Actuals upto Aug' 20</v>
      </c>
      <c r="E40" s="291" t="s">
        <v>173</v>
      </c>
      <c r="F40" s="291"/>
      <c r="G40" s="322" t="str">
        <f>'PU Wise OWE'!$B$5</f>
        <v xml:space="preserve">OBG(SL) 2021-22 </v>
      </c>
      <c r="H40" s="291" t="s">
        <v>300</v>
      </c>
      <c r="I40" s="288" t="str">
        <f>'PU Wise OWE'!B8</f>
        <v>Actuals upto Aug' 21</v>
      </c>
      <c r="J40" s="291" t="s">
        <v>205</v>
      </c>
      <c r="K40" s="290" t="s">
        <v>147</v>
      </c>
      <c r="L40" s="290"/>
      <c r="M40" s="292" t="s">
        <v>315</v>
      </c>
      <c r="N40" s="327" t="s">
        <v>209</v>
      </c>
    </row>
    <row r="41" spans="2:14" x14ac:dyDescent="0.25">
      <c r="B41" s="292"/>
      <c r="C41" s="289"/>
      <c r="D41" s="289"/>
      <c r="E41" s="289"/>
      <c r="F41" s="289"/>
      <c r="G41" s="323"/>
      <c r="H41" s="289"/>
      <c r="I41" s="289"/>
      <c r="J41" s="289"/>
      <c r="K41" s="79" t="s">
        <v>145</v>
      </c>
      <c r="L41" s="80" t="s">
        <v>146</v>
      </c>
      <c r="M41" s="292"/>
      <c r="N41" s="327"/>
    </row>
    <row r="42" spans="2:14" x14ac:dyDescent="0.25">
      <c r="B42" s="27" t="s">
        <v>165</v>
      </c>
      <c r="C42" s="104">
        <v>273.47000000000003</v>
      </c>
      <c r="D42" s="70">
        <f>SUM(D43:D47)</f>
        <v>118.19</v>
      </c>
      <c r="E42" s="85">
        <f t="shared" ref="E42:E49" si="14">D42/$D$7</f>
        <v>3.4498258887264044E-2</v>
      </c>
      <c r="F42" s="97"/>
      <c r="G42" s="21">
        <f>SUM(G43:G47)</f>
        <v>213.87</v>
      </c>
      <c r="H42" s="24">
        <f t="shared" ref="H42:H49" si="15">G42/$G$7</f>
        <v>2.5857816467174465E-2</v>
      </c>
      <c r="I42" s="21">
        <f>SUM(I43:I47)</f>
        <v>196.72</v>
      </c>
      <c r="J42" s="24">
        <f t="shared" ref="J42:J49" si="16">I42/$I$7</f>
        <v>5.1232502116023176E-2</v>
      </c>
      <c r="K42" s="22">
        <f t="shared" ref="K42:K49" si="17">I42-D42</f>
        <v>78.53</v>
      </c>
      <c r="L42" s="52">
        <f t="shared" ref="L42:L49" si="18">K42/D42</f>
        <v>0.66443861578813779</v>
      </c>
      <c r="M42" s="52">
        <f t="shared" ref="M42:M49" si="19">I42/G42</f>
        <v>0.91981110020105672</v>
      </c>
    </row>
    <row r="43" spans="2:14" x14ac:dyDescent="0.25">
      <c r="B43" s="57" t="s">
        <v>161</v>
      </c>
      <c r="C43" s="21">
        <v>19.690000000000001</v>
      </c>
      <c r="D43" s="70">
        <f>ROUND('PU Wise OWE'!$AK$85/10000,2)</f>
        <v>5.18</v>
      </c>
      <c r="E43" s="85">
        <f t="shared" si="14"/>
        <v>1.5119805485745643E-3</v>
      </c>
      <c r="F43" s="97"/>
      <c r="G43" s="21">
        <f>ROUND('PU Wise OWE'!$AK$83/10000,2)</f>
        <v>14.25</v>
      </c>
      <c r="H43" s="24">
        <f t="shared" si="15"/>
        <v>1.7228871962277838E-3</v>
      </c>
      <c r="I43" s="21">
        <f>ROUND('PU Wise OWE'!$AK$86/10000,2)</f>
        <v>20.89</v>
      </c>
      <c r="J43" s="24">
        <f t="shared" si="16"/>
        <v>5.4404583631746861E-3</v>
      </c>
      <c r="K43" s="22">
        <f t="shared" si="17"/>
        <v>15.71</v>
      </c>
      <c r="L43" s="52">
        <f t="shared" si="18"/>
        <v>3.0328185328185331</v>
      </c>
      <c r="M43" s="52">
        <f t="shared" si="19"/>
        <v>1.4659649122807017</v>
      </c>
    </row>
    <row r="44" spans="2:14" x14ac:dyDescent="0.25">
      <c r="B44" s="58" t="s">
        <v>168</v>
      </c>
      <c r="C44" s="108">
        <v>114.4</v>
      </c>
      <c r="D44" s="70">
        <f>ROUND('PU Wise OWE'!$AR$85/10000,2)</f>
        <v>49.17</v>
      </c>
      <c r="E44" s="85">
        <f t="shared" si="14"/>
        <v>1.4352139685986743E-2</v>
      </c>
      <c r="F44" s="97"/>
      <c r="G44" s="21">
        <f>ROUND('PU Wise OWE'!$AR$83/10000,2)</f>
        <v>78.95</v>
      </c>
      <c r="H44" s="24">
        <f t="shared" si="15"/>
        <v>9.5453995889251599E-3</v>
      </c>
      <c r="I44" s="21">
        <f>ROUND('PU Wise OWE'!$AR$86/10000,2)</f>
        <v>26.3</v>
      </c>
      <c r="J44" s="24">
        <f t="shared" si="16"/>
        <v>6.8494042580897196E-3</v>
      </c>
      <c r="K44" s="22">
        <f t="shared" si="17"/>
        <v>-22.87</v>
      </c>
      <c r="L44" s="52">
        <f t="shared" si="18"/>
        <v>-0.46512100874516982</v>
      </c>
      <c r="M44" s="52">
        <f t="shared" si="19"/>
        <v>0.33312222925902468</v>
      </c>
    </row>
    <row r="45" spans="2:14" x14ac:dyDescent="0.25">
      <c r="B45" s="58" t="s">
        <v>169</v>
      </c>
      <c r="C45" s="108">
        <v>46.69</v>
      </c>
      <c r="D45" s="70">
        <f>ROUND('PU Wise OWE'!$AU$85/10000,2)</f>
        <v>18.61</v>
      </c>
      <c r="E45" s="85">
        <f t="shared" si="14"/>
        <v>5.432038225670394E-3</v>
      </c>
      <c r="F45" s="97"/>
      <c r="G45" s="21">
        <f>ROUND('PU Wise OWE'!$AU$83/10000,2)</f>
        <v>34.83</v>
      </c>
      <c r="H45" s="24">
        <f t="shared" si="15"/>
        <v>4.2110990206746463E-3</v>
      </c>
      <c r="I45" s="21">
        <f>ROUND('PU Wise OWE'!$AU$86/10000,2)</f>
        <v>11.1</v>
      </c>
      <c r="J45" s="24">
        <f t="shared" si="16"/>
        <v>2.8908132039846342E-3</v>
      </c>
      <c r="K45" s="22">
        <f t="shared" si="17"/>
        <v>-7.51</v>
      </c>
      <c r="L45" s="52">
        <f t="shared" si="18"/>
        <v>-0.40354648038688878</v>
      </c>
      <c r="M45" s="52">
        <f t="shared" si="19"/>
        <v>0.31869078380706289</v>
      </c>
    </row>
    <row r="46" spans="2:14" x14ac:dyDescent="0.25">
      <c r="B46" s="57" t="s">
        <v>166</v>
      </c>
      <c r="C46" s="21">
        <v>54.55</v>
      </c>
      <c r="D46" s="70">
        <f>ROUND('PU Wise OWE'!$AZ$85/10000,2)</f>
        <v>12.5</v>
      </c>
      <c r="E46" s="85">
        <f t="shared" si="14"/>
        <v>3.6486017098807054E-3</v>
      </c>
      <c r="F46" s="97"/>
      <c r="G46" s="21">
        <f>ROUND('PU Wise OWE'!$AZ$83/10000,2)</f>
        <v>31.73</v>
      </c>
      <c r="H46" s="24">
        <f t="shared" si="15"/>
        <v>3.8362954902671988E-3</v>
      </c>
      <c r="I46" s="21">
        <f>ROUND('PU Wise OWE'!$AZ$86/10000,2)</f>
        <v>47.51</v>
      </c>
      <c r="J46" s="24">
        <f t="shared" si="16"/>
        <v>1.2373201380298196E-2</v>
      </c>
      <c r="K46" s="22">
        <f t="shared" si="17"/>
        <v>35.01</v>
      </c>
      <c r="L46" s="52">
        <f t="shared" si="18"/>
        <v>2.8007999999999997</v>
      </c>
      <c r="M46" s="52">
        <f t="shared" si="19"/>
        <v>1.4973211471793255</v>
      </c>
    </row>
    <row r="47" spans="2:14" x14ac:dyDescent="0.25">
      <c r="B47" s="58" t="s">
        <v>167</v>
      </c>
      <c r="C47" s="108">
        <v>38.14</v>
      </c>
      <c r="D47" s="70">
        <f>ROUND('PU Wise OWE'!$BA$85/10000,2)</f>
        <v>32.729999999999997</v>
      </c>
      <c r="E47" s="85">
        <f t="shared" si="14"/>
        <v>9.553498717151639E-3</v>
      </c>
      <c r="F47" s="97"/>
      <c r="G47" s="21">
        <f>ROUND('PU Wise OWE'!$BA$83/10000,2)</f>
        <v>54.11</v>
      </c>
      <c r="H47" s="24">
        <f t="shared" si="15"/>
        <v>6.5421351710796757E-3</v>
      </c>
      <c r="I47" s="21">
        <f>ROUND('PU Wise OWE'!$BA$86/10000,2)</f>
        <v>90.92</v>
      </c>
      <c r="J47" s="24">
        <f t="shared" si="16"/>
        <v>2.3678624910475943E-2</v>
      </c>
      <c r="K47" s="22">
        <f t="shared" si="17"/>
        <v>58.190000000000005</v>
      </c>
      <c r="L47" s="52">
        <f t="shared" si="18"/>
        <v>1.7778796211426828</v>
      </c>
      <c r="M47" s="52">
        <f t="shared" si="19"/>
        <v>1.680280909258917</v>
      </c>
    </row>
    <row r="48" spans="2:14" x14ac:dyDescent="0.25">
      <c r="B48" s="59" t="s">
        <v>170</v>
      </c>
      <c r="C48" s="103">
        <v>663.48</v>
      </c>
      <c r="D48" s="70">
        <f>ROUND('PU Wise OWE'!$AM$85/10000,2)-ROUND('PU Wise OWE'!$BJ$85/10000,2)</f>
        <v>256.52999999999997</v>
      </c>
      <c r="E48" s="85">
        <f t="shared" si="14"/>
        <v>7.4878063730855787E-2</v>
      </c>
      <c r="F48" s="97"/>
      <c r="G48" s="21">
        <f>ROUND('PU Wise OWE'!$AM$83/10000,2)-ROUND('PU Wise OWE'!$BJ$83/10000,2)</f>
        <v>637.38</v>
      </c>
      <c r="H48" s="24">
        <f t="shared" si="15"/>
        <v>7.7062023939064195E-2</v>
      </c>
      <c r="I48" s="21">
        <f>ROUND('PU Wise OWE'!$AM$86/10000,2)-ROUND('PU Wise OWE'!$BJ$86/10000,2)</f>
        <v>379</v>
      </c>
      <c r="J48" s="24">
        <f t="shared" si="16"/>
        <v>9.870434273064653E-2</v>
      </c>
      <c r="K48" s="22">
        <f t="shared" si="17"/>
        <v>122.47000000000003</v>
      </c>
      <c r="L48" s="52">
        <f t="shared" si="18"/>
        <v>0.47741004950688043</v>
      </c>
      <c r="M48" s="52">
        <f t="shared" si="19"/>
        <v>0.59462173271831564</v>
      </c>
    </row>
    <row r="49" spans="2:14" s="36" customFormat="1" x14ac:dyDescent="0.25">
      <c r="B49" s="60" t="s">
        <v>130</v>
      </c>
      <c r="C49" s="74">
        <f>C42+C48</f>
        <v>936.95</v>
      </c>
      <c r="D49" s="74">
        <f>D42+D48</f>
        <v>374.71999999999997</v>
      </c>
      <c r="E49" s="86">
        <f t="shared" si="14"/>
        <v>0.10937632261811983</v>
      </c>
      <c r="F49" s="98"/>
      <c r="G49" s="26">
        <f>G42+G48</f>
        <v>851.25</v>
      </c>
      <c r="H49" s="54">
        <f t="shared" si="15"/>
        <v>0.10291984040623867</v>
      </c>
      <c r="I49" s="26">
        <f>I42+I48</f>
        <v>575.72</v>
      </c>
      <c r="J49" s="54">
        <f t="shared" si="16"/>
        <v>0.14993684484666972</v>
      </c>
      <c r="K49" s="26">
        <f t="shared" si="17"/>
        <v>201.00000000000006</v>
      </c>
      <c r="L49" s="55">
        <f t="shared" si="18"/>
        <v>0.53640051238257913</v>
      </c>
      <c r="M49" s="52">
        <f t="shared" si="19"/>
        <v>0.6763230543318649</v>
      </c>
    </row>
    <row r="51" spans="2:14" x14ac:dyDescent="0.25">
      <c r="B51" s="75" t="s">
        <v>184</v>
      </c>
      <c r="C51" s="75"/>
    </row>
    <row r="52" spans="2:14" ht="48" customHeight="1" x14ac:dyDescent="0.25">
      <c r="B52" s="81" t="s">
        <v>185</v>
      </c>
      <c r="C52" s="109">
        <v>188.88</v>
      </c>
      <c r="D52" s="70">
        <f>ROUND('PU Wise OWE'!$AK$128/10000,2)-D43</f>
        <v>63.82</v>
      </c>
      <c r="E52" s="85">
        <f t="shared" ref="E52:E56" si="20">D52/$D$7</f>
        <v>1.862830088996693E-2</v>
      </c>
      <c r="F52" s="305"/>
      <c r="G52" s="22">
        <f>ROUND('PU Wise OWE'!$AK$126/10000,2)-G43</f>
        <v>121.82</v>
      </c>
      <c r="H52" s="24">
        <f t="shared" ref="H52:H54" si="21">G52/$G$7</f>
        <v>1.4728569701366219E-2</v>
      </c>
      <c r="I52" s="22">
        <f>ROUND('PU Wise OWE'!$AK$129/10000,2)-I43</f>
        <v>54.94</v>
      </c>
      <c r="J52" s="24">
        <f t="shared" ref="J52:J56" si="22">I52/$I$7</f>
        <v>1.4308223191614037E-2</v>
      </c>
      <c r="K52" s="22">
        <f>I52-D52</f>
        <v>-8.8800000000000026</v>
      </c>
      <c r="L52" s="52">
        <f>K52/D52</f>
        <v>-0.13914133500470077</v>
      </c>
      <c r="M52" s="52">
        <f t="shared" ref="M52:M54" si="23">I52/G52</f>
        <v>0.45099326875718271</v>
      </c>
    </row>
    <row r="53" spans="2:14" x14ac:dyDescent="0.25">
      <c r="B53" s="20" t="s">
        <v>162</v>
      </c>
      <c r="C53" s="105">
        <v>121.46</v>
      </c>
      <c r="D53" s="70">
        <f>ROUND('PU Wise OWE'!$AL$128/10000,2)</f>
        <v>49.04</v>
      </c>
      <c r="E53" s="85">
        <f t="shared" si="20"/>
        <v>1.4314194228203984E-2</v>
      </c>
      <c r="F53" s="306"/>
      <c r="G53" s="22">
        <f>ROUND('PU Wise OWE'!$AL$126/10000,2)</f>
        <v>109.58</v>
      </c>
      <c r="H53" s="24">
        <f t="shared" si="21"/>
        <v>1.3248700278080039E-2</v>
      </c>
      <c r="I53" s="23">
        <f>ROUND('PU Wise OWE'!$AL$129/10000,2)</f>
        <v>35.659999999999997</v>
      </c>
      <c r="J53" s="24">
        <f t="shared" si="22"/>
        <v>9.2870629598281133E-3</v>
      </c>
      <c r="K53" s="22">
        <f>I53-D53</f>
        <v>-13.380000000000003</v>
      </c>
      <c r="L53" s="52">
        <f>K53/D53</f>
        <v>-0.27283849918433939</v>
      </c>
      <c r="M53" s="52">
        <f t="shared" si="23"/>
        <v>0.32542434750866944</v>
      </c>
    </row>
    <row r="54" spans="2:14" s="36" customFormat="1" x14ac:dyDescent="0.25">
      <c r="B54" s="25" t="s">
        <v>130</v>
      </c>
      <c r="C54" s="26">
        <f>C52+C53</f>
        <v>310.33999999999997</v>
      </c>
      <c r="D54" s="74">
        <f>SUM(D52:D53)</f>
        <v>112.86</v>
      </c>
      <c r="E54" s="86">
        <f t="shared" si="20"/>
        <v>3.2942495118170913E-2</v>
      </c>
      <c r="F54" s="307"/>
      <c r="G54" s="74">
        <f t="shared" ref="G54:I54" si="24">SUM(G52:G53)</f>
        <v>231.39999999999998</v>
      </c>
      <c r="H54" s="54">
        <f t="shared" si="21"/>
        <v>2.7977269979446256E-2</v>
      </c>
      <c r="I54" s="74">
        <f t="shared" si="24"/>
        <v>90.6</v>
      </c>
      <c r="J54" s="54">
        <f t="shared" si="22"/>
        <v>2.3595286151442151E-2</v>
      </c>
      <c r="K54" s="26">
        <f>I54-D54</f>
        <v>-22.260000000000005</v>
      </c>
      <c r="L54" s="102">
        <f>K54/D54</f>
        <v>-0.19723551302498676</v>
      </c>
      <c r="M54" s="52">
        <f t="shared" si="23"/>
        <v>0.39152981849611063</v>
      </c>
    </row>
    <row r="56" spans="2:14" s="36" customFormat="1" x14ac:dyDescent="0.25">
      <c r="B56" s="78" t="s">
        <v>163</v>
      </c>
      <c r="C56" s="110">
        <v>348.19</v>
      </c>
      <c r="D56" s="71">
        <f>ROUND('PU Wise OWE'!$AO$128/10000,2)</f>
        <v>151.16</v>
      </c>
      <c r="E56" s="86">
        <f t="shared" si="20"/>
        <v>4.4121810757245396E-2</v>
      </c>
      <c r="F56" s="53"/>
      <c r="G56" s="26">
        <f>ROUND('PU Wise OWE'!$AO$126/10000,2)</f>
        <v>304.54000000000002</v>
      </c>
      <c r="H56" s="54">
        <f t="shared" ref="H56" si="25">G56/$G$7</f>
        <v>3.6820215209769074E-2</v>
      </c>
      <c r="I56" s="25">
        <f>ROUND('PU Wise OWE'!$AO$129/10000,2)</f>
        <v>141.69</v>
      </c>
      <c r="J56" s="54">
        <f t="shared" si="22"/>
        <v>3.690083989843089E-2</v>
      </c>
      <c r="K56" s="26">
        <f>I56-D56</f>
        <v>-9.4699999999999989</v>
      </c>
      <c r="L56" s="55">
        <f>K56/D56</f>
        <v>-6.2648848901825871E-2</v>
      </c>
      <c r="M56" s="52">
        <f t="shared" ref="M56" si="26">I56/G56</f>
        <v>0.46525907926709131</v>
      </c>
      <c r="N56" s="118"/>
    </row>
    <row r="57" spans="2:14" s="36" customFormat="1" x14ac:dyDescent="0.25">
      <c r="B57" s="116"/>
      <c r="C57" s="117"/>
      <c r="D57" s="113"/>
      <c r="E57" s="114"/>
      <c r="F57" s="115"/>
      <c r="G57" s="91"/>
      <c r="H57" s="90"/>
      <c r="I57" s="88"/>
      <c r="J57" s="90"/>
      <c r="K57" s="26"/>
      <c r="L57" s="55"/>
      <c r="M57" s="100"/>
    </row>
    <row r="58" spans="2:14" x14ac:dyDescent="0.25">
      <c r="C58" s="291" t="s">
        <v>303</v>
      </c>
      <c r="D58" s="288" t="str">
        <f>'PU Wise OWE'!$B$7</f>
        <v>Actuals upto Aug' 20</v>
      </c>
      <c r="E58" s="291" t="s">
        <v>173</v>
      </c>
      <c r="F58" s="291"/>
      <c r="G58" s="322" t="str">
        <f>'PU Wise OWE'!$B$5</f>
        <v xml:space="preserve">OBG(SL) 2021-22 </v>
      </c>
      <c r="H58" s="291" t="s">
        <v>300</v>
      </c>
      <c r="I58" s="288" t="str">
        <f>'PU Wise OWE'!B8</f>
        <v>Actuals upto Aug' 21</v>
      </c>
      <c r="J58" s="291" t="s">
        <v>205</v>
      </c>
      <c r="K58" s="290" t="s">
        <v>147</v>
      </c>
      <c r="L58" s="290"/>
      <c r="M58" s="292" t="s">
        <v>315</v>
      </c>
      <c r="N58" s="327" t="s">
        <v>209</v>
      </c>
    </row>
    <row r="59" spans="2:14" x14ac:dyDescent="0.25">
      <c r="B59" s="75" t="s">
        <v>186</v>
      </c>
      <c r="C59" s="289"/>
      <c r="D59" s="289"/>
      <c r="E59" s="289"/>
      <c r="F59" s="289"/>
      <c r="G59" s="323"/>
      <c r="H59" s="289"/>
      <c r="I59" s="289"/>
      <c r="J59" s="289"/>
      <c r="K59" s="79" t="s">
        <v>145</v>
      </c>
      <c r="L59" s="80" t="s">
        <v>146</v>
      </c>
      <c r="M59" s="292"/>
      <c r="N59" s="327"/>
    </row>
    <row r="60" spans="2:14" x14ac:dyDescent="0.25">
      <c r="B60" s="23" t="s">
        <v>187</v>
      </c>
      <c r="C60" s="22">
        <v>80.099999999999994</v>
      </c>
      <c r="D60" s="70">
        <f>ROUND('PU Wise OWE'!$AM$63/10000,2)</f>
        <v>32.619999999999997</v>
      </c>
      <c r="E60" s="85">
        <f t="shared" ref="E60:E64" si="27">D60/$D$7</f>
        <v>9.5213910221046884E-3</v>
      </c>
      <c r="F60" s="302"/>
      <c r="G60" s="22">
        <f>ROUND('PU Wise OWE'!$AM$61/10000,2)</f>
        <v>67.81</v>
      </c>
      <c r="H60" s="24" t="b">
        <f>H58=G60/$G$7</f>
        <v>0</v>
      </c>
      <c r="I60" s="23">
        <f>ROUND('PU Wise OWE'!$AM$64/10000,2)</f>
        <v>36.61</v>
      </c>
      <c r="J60" s="94">
        <f t="shared" ref="J60:J64" si="28">I60/$I$7</f>
        <v>9.5344749007096816E-3</v>
      </c>
      <c r="K60" s="22">
        <f>I60-D60</f>
        <v>3.990000000000002</v>
      </c>
      <c r="L60" s="52">
        <f>K60/D60</f>
        <v>0.12231759656652368</v>
      </c>
      <c r="M60" s="52">
        <f t="shared" ref="M60:M64" si="29">I60/G60</f>
        <v>0.5398908715528683</v>
      </c>
      <c r="N60" s="69"/>
    </row>
    <row r="61" spans="2:14" x14ac:dyDescent="0.25">
      <c r="B61" s="23" t="s">
        <v>188</v>
      </c>
      <c r="C61" s="22">
        <v>21.26</v>
      </c>
      <c r="D61" s="70">
        <f>ROUND('PU Wise OWE'!$AM$96/10000,2)</f>
        <v>7.44</v>
      </c>
      <c r="E61" s="85">
        <f t="shared" si="27"/>
        <v>2.1716477377209959E-3</v>
      </c>
      <c r="F61" s="303"/>
      <c r="G61" s="22">
        <f>ROUND('PU Wise OWE'!$AM$94/10000,2)</f>
        <v>16.309999999999999</v>
      </c>
      <c r="H61" s="24">
        <f t="shared" ref="H61:H64" si="30">G61/$G$7</f>
        <v>1.9719501874017652E-3</v>
      </c>
      <c r="I61" s="23">
        <f>ROUND('PU Wise OWE'!$AM$97/10000,2)</f>
        <v>7.02</v>
      </c>
      <c r="J61" s="94">
        <f t="shared" si="28"/>
        <v>1.8282440263037956E-3</v>
      </c>
      <c r="K61" s="22">
        <f>I61-D61</f>
        <v>-0.42000000000000082</v>
      </c>
      <c r="L61" s="52">
        <f>K61/D61</f>
        <v>-5.6451612903225916E-2</v>
      </c>
      <c r="M61" s="52">
        <f t="shared" si="29"/>
        <v>0.43041079092581241</v>
      </c>
    </row>
    <row r="62" spans="2:14" x14ac:dyDescent="0.25">
      <c r="B62" s="23" t="s">
        <v>189</v>
      </c>
      <c r="C62" s="22">
        <v>9.89</v>
      </c>
      <c r="D62" s="70">
        <f>ROUND('PU Wise OWE'!$AN$18/10000,2)</f>
        <v>6.38</v>
      </c>
      <c r="E62" s="85">
        <f t="shared" si="27"/>
        <v>1.8622463127231121E-3</v>
      </c>
      <c r="F62" s="303"/>
      <c r="G62" s="22">
        <f>ROUND('PU Wise OWE'!$AN$16/10000,2)</f>
        <v>10.1</v>
      </c>
      <c r="H62" s="24">
        <f>G62/$G$7</f>
        <v>1.2211340829403942E-3</v>
      </c>
      <c r="I62" s="23">
        <f>ROUND('PU Wise OWE'!$AN$19/10000,2)</f>
        <v>7.54</v>
      </c>
      <c r="J62" s="94">
        <f t="shared" si="28"/>
        <v>1.9636695097337066E-3</v>
      </c>
      <c r="K62" s="22">
        <f>I62-D62</f>
        <v>1.1600000000000001</v>
      </c>
      <c r="L62" s="52">
        <f>K62/D62</f>
        <v>0.18181818181818185</v>
      </c>
      <c r="M62" s="52">
        <f t="shared" si="29"/>
        <v>0.74653465346534653</v>
      </c>
      <c r="N62" s="69"/>
    </row>
    <row r="63" spans="2:14" x14ac:dyDescent="0.25">
      <c r="B63" s="23" t="s">
        <v>190</v>
      </c>
      <c r="C63" s="22">
        <v>1.64</v>
      </c>
      <c r="D63" s="70">
        <f>ROUND('PU Wise OWE'!$AN$63/10000,2)</f>
        <v>0.48</v>
      </c>
      <c r="E63" s="85">
        <f t="shared" si="27"/>
        <v>1.4010630565941908E-4</v>
      </c>
      <c r="F63" s="303"/>
      <c r="G63" s="22">
        <f>ROUND('PU Wise OWE'!$AN$61/10000,2)</f>
        <v>1.46</v>
      </c>
      <c r="H63" s="24">
        <f>G63/$G$7</f>
        <v>1.7652037238544312E-4</v>
      </c>
      <c r="I63" s="23">
        <f>ROUND('PU Wise OWE'!$AN$64/10000,2)</f>
        <v>1.63</v>
      </c>
      <c r="J63" s="94">
        <f t="shared" si="28"/>
        <v>4.245068038283742E-4</v>
      </c>
      <c r="K63" s="22">
        <f>I63-D63</f>
        <v>1.1499999999999999</v>
      </c>
      <c r="L63" s="52">
        <f>K63/D63</f>
        <v>2.395833333333333</v>
      </c>
      <c r="M63" s="52">
        <f t="shared" si="29"/>
        <v>1.1164383561643836</v>
      </c>
    </row>
    <row r="64" spans="2:14" s="36" customFormat="1" x14ac:dyDescent="0.25">
      <c r="B64" s="25" t="s">
        <v>130</v>
      </c>
      <c r="C64" s="26">
        <f>C60+C61+C62+C63</f>
        <v>112.89</v>
      </c>
      <c r="D64" s="74">
        <f>SUM(D60:D63)</f>
        <v>46.919999999999995</v>
      </c>
      <c r="E64" s="86">
        <f t="shared" si="27"/>
        <v>1.3695391378208214E-2</v>
      </c>
      <c r="F64" s="304"/>
      <c r="G64" s="26">
        <f>SUM(G60:G63)</f>
        <v>95.679999999999993</v>
      </c>
      <c r="H64" s="54">
        <f t="shared" si="30"/>
        <v>1.1568129609478901E-2</v>
      </c>
      <c r="I64" s="26">
        <f>SUM(I60:I63)</f>
        <v>52.8</v>
      </c>
      <c r="J64" s="54">
        <f t="shared" si="28"/>
        <v>1.3750895240575557E-2</v>
      </c>
      <c r="K64" s="26">
        <f>I64-D64</f>
        <v>5.8800000000000026</v>
      </c>
      <c r="L64" s="55">
        <f>K64/D64</f>
        <v>0.12531969309462923</v>
      </c>
      <c r="M64" s="52">
        <f t="shared" si="29"/>
        <v>0.55183946488294311</v>
      </c>
    </row>
    <row r="66" spans="2:13" x14ac:dyDescent="0.25">
      <c r="B66" s="75" t="s">
        <v>191</v>
      </c>
      <c r="C66" s="75"/>
    </row>
    <row r="67" spans="2:13" x14ac:dyDescent="0.25">
      <c r="B67" s="23" t="s">
        <v>192</v>
      </c>
      <c r="C67" s="22">
        <v>1117.51</v>
      </c>
      <c r="D67" s="70">
        <f>ROUND('PU Wise OWE'!$AP$74/10000,2)</f>
        <v>679.64</v>
      </c>
      <c r="E67" s="85">
        <f t="shared" ref="E67:E69" si="31">D67/$D$7</f>
        <v>0.19837885328826582</v>
      </c>
      <c r="F67" s="23"/>
      <c r="G67" s="22">
        <f>ROUND('PU Wise OWE'!$AP$72/10000,2)</f>
        <v>1543.31</v>
      </c>
      <c r="H67" s="24">
        <f t="shared" ref="H67:H69" si="32">G67/$G$7</f>
        <v>0.18659291500423164</v>
      </c>
      <c r="I67" s="23">
        <f>ROUND('PU Wise OWE'!$AP$75/10000,2)</f>
        <v>698.64</v>
      </c>
      <c r="J67" s="94">
        <f t="shared" ref="J67:J69" si="33">I67/$I$7</f>
        <v>0.18194934566052476</v>
      </c>
      <c r="K67" s="22">
        <f>I67-D67</f>
        <v>19</v>
      </c>
      <c r="L67" s="52">
        <f>K67/D67</f>
        <v>2.795597669354364E-2</v>
      </c>
      <c r="M67" s="52">
        <f t="shared" ref="M67:M68" si="34">I67/G67</f>
        <v>0.45268934951500345</v>
      </c>
    </row>
    <row r="68" spans="2:13" x14ac:dyDescent="0.25">
      <c r="B68" s="87" t="s">
        <v>193</v>
      </c>
      <c r="C68" s="111">
        <v>38.520000000000003</v>
      </c>
      <c r="D68" s="70">
        <f>ROUND('PU Wise OWE'!$AP$128/10000,2)-D67</f>
        <v>21.690000000000055</v>
      </c>
      <c r="E68" s="85">
        <f t="shared" si="31"/>
        <v>6.3310536869850163E-3</v>
      </c>
      <c r="F68" s="23"/>
      <c r="G68" s="22">
        <f>ROUND('PU Wise OWE'!$AP$126/10000,2)-G67</f>
        <v>35.230000000000018</v>
      </c>
      <c r="H68" s="24">
        <f t="shared" si="32"/>
        <v>4.2594607665336738E-3</v>
      </c>
      <c r="I68" s="23">
        <f>ROUND('PU Wise OWE'!$AP$129/10000,2)-I67</f>
        <v>85.639999999999986</v>
      </c>
      <c r="J68" s="94">
        <f t="shared" si="33"/>
        <v>2.2303535386418383E-2</v>
      </c>
      <c r="K68" s="22">
        <f>I68-D68</f>
        <v>63.949999999999932</v>
      </c>
      <c r="L68" s="52">
        <f>K68/D68</f>
        <v>2.948363301060386</v>
      </c>
      <c r="M68" s="52">
        <f t="shared" si="34"/>
        <v>2.4308827703661637</v>
      </c>
    </row>
    <row r="69" spans="2:13" s="36" customFormat="1" x14ac:dyDescent="0.25">
      <c r="B69" s="25" t="s">
        <v>130</v>
      </c>
      <c r="C69" s="26">
        <f>C67+C68</f>
        <v>1156.03</v>
      </c>
      <c r="D69" s="74">
        <f>SUM(D67:D68)</f>
        <v>701.33</v>
      </c>
      <c r="E69" s="86">
        <f t="shared" si="31"/>
        <v>0.20470990697525082</v>
      </c>
      <c r="F69" s="88"/>
      <c r="G69" s="89">
        <f>SUM(G67:G68)</f>
        <v>1578.54</v>
      </c>
      <c r="H69" s="90">
        <f t="shared" si="32"/>
        <v>0.19085237577076533</v>
      </c>
      <c r="I69" s="89">
        <f>SUM(I67:I68)</f>
        <v>784.28</v>
      </c>
      <c r="J69" s="54">
        <f t="shared" si="33"/>
        <v>0.20425288104694314</v>
      </c>
      <c r="K69" s="91">
        <f>I69-D69</f>
        <v>82.949999999999932</v>
      </c>
      <c r="L69" s="101">
        <f>K69/D69</f>
        <v>0.11827527697374977</v>
      </c>
    </row>
    <row r="70" spans="2:13" x14ac:dyDescent="0.25">
      <c r="F70" s="31"/>
      <c r="G70" s="34"/>
      <c r="H70" s="34"/>
      <c r="I70" s="31"/>
      <c r="J70" s="31"/>
      <c r="K70" s="34"/>
      <c r="L70" s="92"/>
    </row>
    <row r="71" spans="2:13" x14ac:dyDescent="0.25">
      <c r="B71" s="75" t="s">
        <v>195</v>
      </c>
      <c r="C71" s="75"/>
      <c r="F71" s="31"/>
      <c r="G71" s="34"/>
      <c r="H71" s="34"/>
      <c r="I71" s="31"/>
      <c r="J71" s="31"/>
      <c r="K71" s="34"/>
      <c r="L71" s="92"/>
    </row>
    <row r="72" spans="2:13" x14ac:dyDescent="0.25">
      <c r="B72" s="23" t="s">
        <v>194</v>
      </c>
      <c r="C72" s="22">
        <v>12.31</v>
      </c>
      <c r="D72" s="70">
        <f>ROUND('PU Wise OWE'!$AQ$30/10000,2)+ROUND('PU Wise OWE'!$BB$30/10000,2)</f>
        <v>8.84</v>
      </c>
      <c r="E72" s="85">
        <f t="shared" ref="E72:E74" si="35">D72/$D$7</f>
        <v>2.5802911292276349E-3</v>
      </c>
      <c r="F72" s="23"/>
      <c r="G72" s="70">
        <f>ROUND('PU Wise OWE'!$AQ$28/10000,2)+ROUND('PU Wise OWE'!$BB$28/10000,2)</f>
        <v>11.17</v>
      </c>
      <c r="H72" s="24">
        <f t="shared" ref="H72:H74" si="36">G72/$G$7</f>
        <v>1.3505017531132873E-3</v>
      </c>
      <c r="I72" s="70">
        <f>ROUND('PU Wise OWE'!$AQ$31/10000,2)+ROUND('PU Wise OWE'!$BB$31/10000,2)</f>
        <v>11.41</v>
      </c>
      <c r="J72" s="94">
        <f t="shared" ref="J72:J74" si="37">I72/$I$7</f>
        <v>2.9715476267986197E-3</v>
      </c>
      <c r="K72" s="22">
        <f>I72-D72</f>
        <v>2.5700000000000003</v>
      </c>
      <c r="L72" s="52">
        <f>K72/D72</f>
        <v>0.29072398190045251</v>
      </c>
      <c r="M72" s="52">
        <f t="shared" ref="M72:M73" si="38">I72/G72</f>
        <v>1.0214861235452104</v>
      </c>
    </row>
    <row r="73" spans="2:13" x14ac:dyDescent="0.25">
      <c r="B73" s="23" t="s">
        <v>196</v>
      </c>
      <c r="C73" s="22">
        <v>114.52</v>
      </c>
      <c r="D73" s="70">
        <f>ROUND('PU Wise OWE'!$AQ$41/10000,2)+ROUND('PU Wise OWE'!$BB$41/10000,2)</f>
        <v>28.400000000000002</v>
      </c>
      <c r="E73" s="85">
        <f t="shared" si="35"/>
        <v>8.2896230848489641E-3</v>
      </c>
      <c r="F73" s="23"/>
      <c r="G73" s="70">
        <f>ROUND('PU Wise OWE'!$AQ$39/10000,2)+ROUND('PU Wise OWE'!$BB$39/10000,2)</f>
        <v>79.58</v>
      </c>
      <c r="H73" s="24">
        <f t="shared" si="36"/>
        <v>9.6215693386531246E-3</v>
      </c>
      <c r="I73" s="70">
        <f>ROUND('PU Wise OWE'!$AQ$42/10000,2)+ROUND('PU Wise OWE'!$BB$42/10000,2)</f>
        <v>60.629999999999995</v>
      </c>
      <c r="J73" s="94">
        <f t="shared" si="37"/>
        <v>1.5790090500683637E-2</v>
      </c>
      <c r="K73" s="22">
        <f>I73-D73</f>
        <v>32.22999999999999</v>
      </c>
      <c r="L73" s="52">
        <f>K73/D73</f>
        <v>1.134859154929577</v>
      </c>
      <c r="M73" s="52">
        <f t="shared" si="38"/>
        <v>0.76187484292535812</v>
      </c>
    </row>
    <row r="74" spans="2:13" s="36" customFormat="1" x14ac:dyDescent="0.25">
      <c r="B74" s="25" t="s">
        <v>130</v>
      </c>
      <c r="C74" s="26">
        <f>C72+C73</f>
        <v>126.83</v>
      </c>
      <c r="D74" s="74">
        <f>SUM(D72:D73)</f>
        <v>37.24</v>
      </c>
      <c r="E74" s="86">
        <f t="shared" si="35"/>
        <v>1.0869914214076598E-2</v>
      </c>
      <c r="F74" s="25"/>
      <c r="G74" s="74">
        <f>SUM(G72:G73)</f>
        <v>90.75</v>
      </c>
      <c r="H74" s="54">
        <f t="shared" si="36"/>
        <v>1.0972071091766412E-2</v>
      </c>
      <c r="I74" s="74">
        <f t="shared" ref="I74" si="39">SUM(I72:I73)</f>
        <v>72.039999999999992</v>
      </c>
      <c r="J74" s="54">
        <f t="shared" si="37"/>
        <v>1.8761638127482255E-2</v>
      </c>
      <c r="K74" s="26">
        <f>I74-D74</f>
        <v>34.79999999999999</v>
      </c>
      <c r="L74" s="55">
        <f>K74/D74</f>
        <v>0.93447905477980631</v>
      </c>
    </row>
    <row r="75" spans="2:13" x14ac:dyDescent="0.25">
      <c r="E75" s="31"/>
      <c r="F75" s="31"/>
      <c r="G75" s="34"/>
      <c r="H75" s="34"/>
      <c r="I75" s="31"/>
      <c r="J75" s="31"/>
      <c r="K75" s="34"/>
      <c r="L75" s="92"/>
    </row>
    <row r="76" spans="2:13" x14ac:dyDescent="0.25">
      <c r="B76" s="75" t="s">
        <v>197</v>
      </c>
      <c r="C76" s="75"/>
      <c r="E76" s="31"/>
      <c r="F76" s="31"/>
      <c r="G76" s="34"/>
      <c r="H76" s="34"/>
      <c r="I76" s="31"/>
      <c r="J76" s="31"/>
      <c r="K76" s="34"/>
      <c r="L76" s="92"/>
    </row>
    <row r="77" spans="2:13" x14ac:dyDescent="0.25">
      <c r="B77" s="23" t="s">
        <v>199</v>
      </c>
      <c r="C77" s="22">
        <v>2</v>
      </c>
      <c r="D77" s="70">
        <f>ROUND('PU Wise OWE'!$AW$128/10000,2)</f>
        <v>0.6</v>
      </c>
      <c r="E77" s="85">
        <f t="shared" ref="E77:E83" si="40">D77/$D$7</f>
        <v>1.7513288207427386E-4</v>
      </c>
      <c r="F77" s="23"/>
      <c r="G77" s="22">
        <f>ROUND('PU Wise OWE'!$AW$126/10000,2)</f>
        <v>2.65</v>
      </c>
      <c r="H77" s="24">
        <f t="shared" ref="H77:H83" si="41">G77/$G$7</f>
        <v>3.20396566316044E-4</v>
      </c>
      <c r="I77" s="23">
        <f>ROUND('PU Wise OWE'!$AW$129/10000,2)</f>
        <v>0.65</v>
      </c>
      <c r="J77" s="94">
        <f t="shared" ref="J77:J85" si="42">I77/$I$7</f>
        <v>1.6928185428738852E-4</v>
      </c>
      <c r="K77" s="22">
        <f t="shared" ref="K77:K83" si="43">I77-D77</f>
        <v>5.0000000000000044E-2</v>
      </c>
      <c r="L77" s="52">
        <f t="shared" ref="L77:L83" si="44">K77/D77</f>
        <v>8.3333333333333412E-2</v>
      </c>
      <c r="M77" s="52">
        <f t="shared" ref="M77:M82" si="45">I77/G77</f>
        <v>0.24528301886792456</v>
      </c>
    </row>
    <row r="78" spans="2:13" x14ac:dyDescent="0.25">
      <c r="B78" s="23" t="s">
        <v>198</v>
      </c>
      <c r="C78" s="22">
        <v>1.66</v>
      </c>
      <c r="D78" s="70">
        <f>ROUND('PU Wise OWE'!$AX$128/10000,2)</f>
        <v>0.67</v>
      </c>
      <c r="E78" s="85">
        <f t="shared" si="40"/>
        <v>1.9556505164960582E-4</v>
      </c>
      <c r="F78" s="23"/>
      <c r="G78" s="22">
        <f>ROUND('PU Wise OWE'!$AX$126/10000,2)</f>
        <v>1.81</v>
      </c>
      <c r="H78" s="24">
        <f t="shared" si="41"/>
        <v>2.1883690001209044E-4</v>
      </c>
      <c r="I78" s="23">
        <f>ROUND('PU Wise OWE'!$AX$129/10000,2)</f>
        <v>0.72</v>
      </c>
      <c r="J78" s="94">
        <f t="shared" si="42"/>
        <v>1.8751220782603034E-4</v>
      </c>
      <c r="K78" s="22">
        <f t="shared" si="43"/>
        <v>4.9999999999999933E-2</v>
      </c>
      <c r="L78" s="52">
        <f t="shared" si="44"/>
        <v>7.4626865671641687E-2</v>
      </c>
      <c r="M78" s="52">
        <f t="shared" si="45"/>
        <v>0.39779005524861877</v>
      </c>
    </row>
    <row r="79" spans="2:13" x14ac:dyDescent="0.25">
      <c r="B79" s="23" t="s">
        <v>200</v>
      </c>
      <c r="C79" s="22">
        <v>16.940000000000001</v>
      </c>
      <c r="D79" s="70">
        <f>ROUND('PU Wise OWE'!$BC$128/10000,2)</f>
        <v>7.21</v>
      </c>
      <c r="E79" s="85">
        <f t="shared" si="40"/>
        <v>2.1045134662591911E-3</v>
      </c>
      <c r="F79" s="23"/>
      <c r="G79" s="22">
        <f>ROUND('PU Wise OWE'!$BC$126/10000,2)</f>
        <v>14.88</v>
      </c>
      <c r="H79" s="24">
        <f t="shared" si="41"/>
        <v>1.7990569459557491E-3</v>
      </c>
      <c r="I79" s="23">
        <f>ROUND('PU Wise OWE'!$BC$129/10000,2)</f>
        <v>6.82</v>
      </c>
      <c r="J79" s="94">
        <f t="shared" si="42"/>
        <v>1.7761573019076764E-3</v>
      </c>
      <c r="K79" s="22">
        <f t="shared" si="43"/>
        <v>-0.38999999999999968</v>
      </c>
      <c r="L79" s="52">
        <f t="shared" si="44"/>
        <v>-5.4091539528432687E-2</v>
      </c>
      <c r="M79" s="52">
        <f t="shared" si="45"/>
        <v>0.45833333333333331</v>
      </c>
    </row>
    <row r="80" spans="2:13" x14ac:dyDescent="0.25">
      <c r="B80" s="23" t="s">
        <v>201</v>
      </c>
      <c r="C80" s="22">
        <v>16.95</v>
      </c>
      <c r="D80" s="70">
        <f>ROUND('PU Wise OWE'!$BD$128/10000,2)</f>
        <v>7.21</v>
      </c>
      <c r="E80" s="85">
        <f t="shared" si="40"/>
        <v>2.1045134662591911E-3</v>
      </c>
      <c r="F80" s="23"/>
      <c r="G80" s="22">
        <f>ROUND('PU Wise OWE'!$BD$126/10000,2)</f>
        <v>14.88</v>
      </c>
      <c r="H80" s="24">
        <f t="shared" si="41"/>
        <v>1.7990569459557491E-3</v>
      </c>
      <c r="I80" s="23">
        <f>ROUND('PU Wise OWE'!$BD$129/10000,2)</f>
        <v>6.79</v>
      </c>
      <c r="J80" s="94">
        <f t="shared" si="42"/>
        <v>1.7683442932482584E-3</v>
      </c>
      <c r="K80" s="22">
        <f t="shared" si="43"/>
        <v>-0.41999999999999993</v>
      </c>
      <c r="L80" s="52">
        <f t="shared" si="44"/>
        <v>-5.8252427184466007E-2</v>
      </c>
      <c r="M80" s="52">
        <f t="shared" si="45"/>
        <v>0.45631720430107525</v>
      </c>
    </row>
    <row r="81" spans="2:13" x14ac:dyDescent="0.25">
      <c r="B81" s="23" t="s">
        <v>202</v>
      </c>
      <c r="C81" s="22">
        <v>17.329999999999998</v>
      </c>
      <c r="D81" s="70">
        <f>ROUND('PU Wise OWE'!$BF$128/10000,2)</f>
        <v>7.42</v>
      </c>
      <c r="E81" s="85">
        <f t="shared" si="40"/>
        <v>2.1658099749851866E-3</v>
      </c>
      <c r="F81" s="23"/>
      <c r="G81" s="22">
        <f>ROUND('PU Wise OWE'!$BF$126/10000,2)</f>
        <v>12.96</v>
      </c>
      <c r="H81" s="24">
        <f t="shared" si="41"/>
        <v>1.5669205658324266E-3</v>
      </c>
      <c r="I81" s="23">
        <f>ROUND('PU Wise OWE'!$BF$129/10000,2)</f>
        <v>7.22</v>
      </c>
      <c r="J81" s="94">
        <f t="shared" si="42"/>
        <v>1.8803307506999154E-3</v>
      </c>
      <c r="K81" s="22">
        <f t="shared" si="43"/>
        <v>-0.20000000000000018</v>
      </c>
      <c r="L81" s="52">
        <f t="shared" si="44"/>
        <v>-2.695417789757415E-2</v>
      </c>
      <c r="M81" s="52">
        <f t="shared" si="45"/>
        <v>0.55709876543209869</v>
      </c>
    </row>
    <row r="82" spans="2:13" x14ac:dyDescent="0.25">
      <c r="B82" s="23" t="s">
        <v>203</v>
      </c>
      <c r="C82" s="22">
        <v>166.71</v>
      </c>
      <c r="D82" s="70">
        <f>ROUND('PU Wise OWE'!$BG$128/10000,2)-ROUND('PU Wise OWE'!$BG$117/10000,2)</f>
        <v>67.929999999999836</v>
      </c>
      <c r="E82" s="85">
        <f t="shared" si="40"/>
        <v>1.9827961132175657E-2</v>
      </c>
      <c r="F82" s="23"/>
      <c r="G82" s="22">
        <f>ROUND('PU Wise OWE'!$BG$126/10000,2)-ROUND('PU Wise OWE'!$BG$115/10000,2)</f>
        <v>127.09000000000015</v>
      </c>
      <c r="H82" s="24">
        <f t="shared" si="41"/>
        <v>1.5365735703058898E-2</v>
      </c>
      <c r="I82" s="23">
        <f>ROUND('PU Wise OWE'!$BG$129/10000,2)-ROUND('PU Wise OWE'!$BG$118/10000,2)</f>
        <v>33.070000000000164</v>
      </c>
      <c r="J82" s="94">
        <f t="shared" si="42"/>
        <v>8.6125398788984078E-3</v>
      </c>
      <c r="K82" s="22">
        <f t="shared" si="43"/>
        <v>-34.859999999999673</v>
      </c>
      <c r="L82" s="52">
        <f t="shared" si="44"/>
        <v>-0.51317532754305539</v>
      </c>
      <c r="M82" s="52">
        <f t="shared" si="45"/>
        <v>0.26020930049571267</v>
      </c>
    </row>
    <row r="83" spans="2:13" s="36" customFormat="1" x14ac:dyDescent="0.25">
      <c r="B83" s="25" t="s">
        <v>130</v>
      </c>
      <c r="C83" s="26">
        <f>C77+C78+C79+C80+C81+C82</f>
        <v>221.59</v>
      </c>
      <c r="D83" s="74">
        <f>SUM(D77:D82)</f>
        <v>91.039999999999836</v>
      </c>
      <c r="E83" s="86">
        <f t="shared" si="40"/>
        <v>2.6573495973403107E-2</v>
      </c>
      <c r="F83" s="25"/>
      <c r="G83" s="74">
        <f>SUM(G77:G82)</f>
        <v>174.27000000000015</v>
      </c>
      <c r="H83" s="54">
        <f t="shared" si="41"/>
        <v>2.1070003627130959E-2</v>
      </c>
      <c r="I83" s="74">
        <f>SUM(I77:I82)</f>
        <v>55.270000000000167</v>
      </c>
      <c r="J83" s="54">
        <f t="shared" si="42"/>
        <v>1.4394166286867679E-2</v>
      </c>
      <c r="K83" s="26">
        <f t="shared" si="43"/>
        <v>-35.769999999999669</v>
      </c>
      <c r="L83" s="55">
        <f t="shared" si="44"/>
        <v>-0.39290421792618335</v>
      </c>
      <c r="M83" s="25"/>
    </row>
    <row r="85" spans="2:13" s="36" customFormat="1" ht="31.5" customHeight="1" x14ac:dyDescent="0.25">
      <c r="B85" s="93" t="s">
        <v>204</v>
      </c>
      <c r="C85" s="112">
        <v>3247.44</v>
      </c>
      <c r="D85" s="74">
        <f>D37+D49+D54+D56+D64+D69+D74+D83</f>
        <v>1531.2799999999997</v>
      </c>
      <c r="E85" s="86">
        <f t="shared" ref="E85" si="46">D85/$D$7</f>
        <v>0.44696246610449009</v>
      </c>
      <c r="F85" s="25"/>
      <c r="G85" s="74">
        <f>G37+G49+G54+G56+G64+G69+G74+G83</f>
        <v>3345.3700000000003</v>
      </c>
      <c r="H85" s="54">
        <f t="shared" ref="H85" si="47">G85/$G$7</f>
        <v>0.40446983436102046</v>
      </c>
      <c r="I85" s="74">
        <f>I37+I49+I54+I56+I64+I69+I74+I83</f>
        <v>1784.5800000000002</v>
      </c>
      <c r="J85" s="54">
        <f t="shared" si="42"/>
        <v>0.46476463311413507</v>
      </c>
      <c r="K85" s="26">
        <f>I85-D85</f>
        <v>253.30000000000041</v>
      </c>
      <c r="L85" s="55">
        <f>K85/D85</f>
        <v>0.16541716733713002</v>
      </c>
      <c r="M85" s="52">
        <f t="shared" ref="M85" si="48">I85/G85</f>
        <v>0.53344772028206144</v>
      </c>
    </row>
    <row r="86" spans="2:13" x14ac:dyDescent="0.25">
      <c r="B86" s="178"/>
      <c r="C86" s="178"/>
      <c r="D86" s="137"/>
      <c r="E86" s="178"/>
      <c r="F86" s="178"/>
      <c r="G86" s="178"/>
      <c r="H86" s="178"/>
      <c r="I86" s="178"/>
      <c r="J86" s="178"/>
      <c r="K86" s="178"/>
      <c r="L86" s="178"/>
      <c r="M86" s="178"/>
    </row>
    <row r="87" spans="2:13" s="147" customFormat="1" ht="16.5" customHeight="1" x14ac:dyDescent="0.25">
      <c r="B87" s="250"/>
      <c r="C87" s="314" t="s">
        <v>303</v>
      </c>
      <c r="D87" s="316" t="s">
        <v>304</v>
      </c>
      <c r="E87" s="314" t="s">
        <v>173</v>
      </c>
      <c r="F87" s="314"/>
      <c r="G87" s="320" t="s">
        <v>308</v>
      </c>
      <c r="H87" s="314" t="s">
        <v>310</v>
      </c>
      <c r="I87" s="316" t="s">
        <v>305</v>
      </c>
      <c r="J87" s="314" t="s">
        <v>205</v>
      </c>
      <c r="K87" s="318" t="s">
        <v>147</v>
      </c>
      <c r="L87" s="318"/>
      <c r="M87" s="319" t="s">
        <v>307</v>
      </c>
    </row>
    <row r="88" spans="2:13" s="147" customFormat="1" x14ac:dyDescent="0.25">
      <c r="B88" s="236" t="s">
        <v>254</v>
      </c>
      <c r="C88" s="315"/>
      <c r="D88" s="315"/>
      <c r="E88" s="315"/>
      <c r="F88" s="315"/>
      <c r="G88" s="321"/>
      <c r="H88" s="315"/>
      <c r="I88" s="317"/>
      <c r="J88" s="315"/>
      <c r="K88" s="237" t="s">
        <v>145</v>
      </c>
      <c r="L88" s="237" t="s">
        <v>146</v>
      </c>
      <c r="M88" s="319"/>
    </row>
    <row r="89" spans="2:13" s="147" customFormat="1" ht="15" customHeight="1" x14ac:dyDescent="0.25">
      <c r="B89" s="238" t="s">
        <v>255</v>
      </c>
      <c r="C89" s="238">
        <v>17</v>
      </c>
      <c r="D89" s="243">
        <v>0</v>
      </c>
      <c r="E89" s="251">
        <f t="shared" ref="E89:E102" si="49">D89/$D$7</f>
        <v>0</v>
      </c>
      <c r="F89" s="238"/>
      <c r="G89" s="241">
        <v>0.69</v>
      </c>
      <c r="H89" s="239">
        <f t="shared" ref="H89:H102" si="50">G89/$G$7</f>
        <v>8.3424011606819001E-5</v>
      </c>
      <c r="I89" s="238">
        <v>0</v>
      </c>
      <c r="J89" s="239">
        <f t="shared" ref="J89:J102" si="51">I89/$I$7</f>
        <v>0</v>
      </c>
      <c r="K89" s="241">
        <f>I89-D89</f>
        <v>0</v>
      </c>
      <c r="L89" s="242">
        <v>0</v>
      </c>
      <c r="M89" s="242">
        <f t="shared" ref="M89:M102" si="52">I89/G89</f>
        <v>0</v>
      </c>
    </row>
    <row r="90" spans="2:13" s="147" customFormat="1" x14ac:dyDescent="0.25">
      <c r="B90" s="238" t="s">
        <v>256</v>
      </c>
      <c r="C90" s="238">
        <v>33.630000000000003</v>
      </c>
      <c r="D90" s="240">
        <v>1.86</v>
      </c>
      <c r="E90" s="251">
        <f t="shared" si="49"/>
        <v>5.4291193443024898E-4</v>
      </c>
      <c r="F90" s="238"/>
      <c r="G90" s="241">
        <v>33.28</v>
      </c>
      <c r="H90" s="239">
        <f t="shared" si="50"/>
        <v>4.0236972554709228E-3</v>
      </c>
      <c r="I90" s="241">
        <v>2.77</v>
      </c>
      <c r="J90" s="239">
        <f t="shared" si="51"/>
        <v>7.2140113288625559E-4</v>
      </c>
      <c r="K90" s="241">
        <f t="shared" ref="K90:K102" si="53">I90-D90</f>
        <v>0.90999999999999992</v>
      </c>
      <c r="L90" s="242">
        <f t="shared" ref="L90:L102" si="54">K90/D90</f>
        <v>0.48924731182795694</v>
      </c>
      <c r="M90" s="242">
        <f t="shared" si="52"/>
        <v>8.3233173076923073E-2</v>
      </c>
    </row>
    <row r="91" spans="2:13" s="147" customFormat="1" x14ac:dyDescent="0.25">
      <c r="B91" s="238" t="s">
        <v>266</v>
      </c>
      <c r="C91" s="238">
        <v>7.44</v>
      </c>
      <c r="D91" s="240">
        <v>0.04</v>
      </c>
      <c r="E91" s="251">
        <f t="shared" si="49"/>
        <v>1.1675525471618259E-5</v>
      </c>
      <c r="F91" s="238"/>
      <c r="G91" s="241">
        <v>0.53</v>
      </c>
      <c r="H91" s="239">
        <f t="shared" si="50"/>
        <v>6.4079313263208811E-5</v>
      </c>
      <c r="I91" s="241">
        <v>0</v>
      </c>
      <c r="J91" s="239">
        <f t="shared" si="51"/>
        <v>0</v>
      </c>
      <c r="K91" s="241">
        <f t="shared" si="53"/>
        <v>-0.04</v>
      </c>
      <c r="L91" s="242">
        <f t="shared" si="54"/>
        <v>-1</v>
      </c>
      <c r="M91" s="242">
        <f t="shared" si="52"/>
        <v>0</v>
      </c>
    </row>
    <row r="92" spans="2:13" s="147" customFormat="1" x14ac:dyDescent="0.25">
      <c r="B92" s="252" t="s">
        <v>257</v>
      </c>
      <c r="C92" s="245">
        <f>SUM(C89:C91)</f>
        <v>58.07</v>
      </c>
      <c r="D92" s="248">
        <f>SUM(D89:D91)</f>
        <v>1.9000000000000001</v>
      </c>
      <c r="E92" s="253">
        <f t="shared" si="49"/>
        <v>5.5458745990186729E-4</v>
      </c>
      <c r="F92" s="245">
        <f t="shared" ref="F92:G92" si="55">SUM(F89:F90)</f>
        <v>0</v>
      </c>
      <c r="G92" s="248">
        <f t="shared" si="55"/>
        <v>33.97</v>
      </c>
      <c r="H92" s="247">
        <f t="shared" si="50"/>
        <v>4.107121267077741E-3</v>
      </c>
      <c r="I92" s="248">
        <f>SUM(I89:I91)</f>
        <v>2.77</v>
      </c>
      <c r="J92" s="247">
        <f t="shared" si="51"/>
        <v>7.2140113288625559E-4</v>
      </c>
      <c r="K92" s="248">
        <f t="shared" si="53"/>
        <v>0.86999999999999988</v>
      </c>
      <c r="L92" s="249">
        <f t="shared" si="54"/>
        <v>0.45789473684210519</v>
      </c>
      <c r="M92" s="249">
        <f t="shared" si="52"/>
        <v>8.1542537533117465E-2</v>
      </c>
    </row>
    <row r="93" spans="2:13" s="147" customFormat="1" x14ac:dyDescent="0.25">
      <c r="B93" s="238" t="s">
        <v>258</v>
      </c>
      <c r="C93" s="238">
        <v>0</v>
      </c>
      <c r="D93" s="243">
        <v>0</v>
      </c>
      <c r="E93" s="251">
        <f t="shared" si="49"/>
        <v>0</v>
      </c>
      <c r="F93" s="238"/>
      <c r="G93" s="241">
        <v>0</v>
      </c>
      <c r="H93" s="239">
        <f t="shared" si="50"/>
        <v>0</v>
      </c>
      <c r="I93" s="241">
        <v>0</v>
      </c>
      <c r="J93" s="239">
        <f t="shared" si="51"/>
        <v>0</v>
      </c>
      <c r="K93" s="241">
        <f t="shared" si="53"/>
        <v>0</v>
      </c>
      <c r="L93" s="242">
        <v>0</v>
      </c>
      <c r="M93" s="242">
        <v>0</v>
      </c>
    </row>
    <row r="94" spans="2:13" s="147" customFormat="1" x14ac:dyDescent="0.25">
      <c r="B94" s="238" t="s">
        <v>259</v>
      </c>
      <c r="C94" s="238">
        <v>13.17</v>
      </c>
      <c r="D94" s="240">
        <v>0.17</v>
      </c>
      <c r="E94" s="251">
        <f t="shared" si="49"/>
        <v>4.9620983254377599E-5</v>
      </c>
      <c r="F94" s="238"/>
      <c r="G94" s="241">
        <v>14.55</v>
      </c>
      <c r="H94" s="239">
        <f t="shared" si="50"/>
        <v>1.7591585056220529E-3</v>
      </c>
      <c r="I94" s="241">
        <v>3.38</v>
      </c>
      <c r="J94" s="239">
        <f t="shared" si="51"/>
        <v>8.8026564229442021E-4</v>
      </c>
      <c r="K94" s="241">
        <f t="shared" si="53"/>
        <v>3.21</v>
      </c>
      <c r="L94" s="242">
        <f t="shared" si="54"/>
        <v>18.882352941176467</v>
      </c>
      <c r="M94" s="242">
        <f t="shared" si="52"/>
        <v>0.23230240549828177</v>
      </c>
    </row>
    <row r="95" spans="2:13" s="147" customFormat="1" x14ac:dyDescent="0.25">
      <c r="B95" s="238" t="s">
        <v>267</v>
      </c>
      <c r="C95" s="238">
        <v>-0.3</v>
      </c>
      <c r="D95" s="240">
        <v>0</v>
      </c>
      <c r="E95" s="251">
        <f t="shared" si="49"/>
        <v>0</v>
      </c>
      <c r="F95" s="238"/>
      <c r="G95" s="241">
        <v>0.05</v>
      </c>
      <c r="H95" s="239">
        <f t="shared" si="50"/>
        <v>6.0452182323781894E-6</v>
      </c>
      <c r="I95" s="241">
        <v>0</v>
      </c>
      <c r="J95" s="239">
        <f t="shared" si="51"/>
        <v>0</v>
      </c>
      <c r="K95" s="241">
        <f t="shared" si="53"/>
        <v>0</v>
      </c>
      <c r="L95" s="242">
        <v>0</v>
      </c>
      <c r="M95" s="242">
        <v>0</v>
      </c>
    </row>
    <row r="96" spans="2:13" s="147" customFormat="1" x14ac:dyDescent="0.25">
      <c r="B96" s="252" t="s">
        <v>260</v>
      </c>
      <c r="C96" s="245">
        <f>SUM(C93:C95)</f>
        <v>12.87</v>
      </c>
      <c r="D96" s="245">
        <f>SUM(D93:D95)</f>
        <v>0.17</v>
      </c>
      <c r="E96" s="253">
        <f t="shared" si="49"/>
        <v>4.9620983254377599E-5</v>
      </c>
      <c r="F96" s="245">
        <f t="shared" ref="F96" si="56">SUM(F93:F94)</f>
        <v>0</v>
      </c>
      <c r="G96" s="248">
        <f>SUM(G93:G95)</f>
        <v>14.600000000000001</v>
      </c>
      <c r="H96" s="247">
        <f t="shared" si="50"/>
        <v>1.7652037238544314E-3</v>
      </c>
      <c r="I96" s="248">
        <f>SUM(I93:I95)</f>
        <v>3.38</v>
      </c>
      <c r="J96" s="247">
        <f t="shared" si="51"/>
        <v>8.8026564229442021E-4</v>
      </c>
      <c r="K96" s="248">
        <f t="shared" si="53"/>
        <v>3.21</v>
      </c>
      <c r="L96" s="249">
        <f t="shared" si="54"/>
        <v>18.882352941176467</v>
      </c>
      <c r="M96" s="249">
        <f t="shared" si="52"/>
        <v>0.23150684931506846</v>
      </c>
    </row>
    <row r="97" spans="2:13" s="147" customFormat="1" x14ac:dyDescent="0.25">
      <c r="B97" s="238" t="s">
        <v>261</v>
      </c>
      <c r="C97" s="241">
        <v>24.12</v>
      </c>
      <c r="D97" s="240">
        <v>1.61</v>
      </c>
      <c r="E97" s="251">
        <f t="shared" si="49"/>
        <v>4.6993990023263491E-4</v>
      </c>
      <c r="F97" s="238"/>
      <c r="G97" s="241">
        <v>17.600000000000001</v>
      </c>
      <c r="H97" s="239">
        <f t="shared" si="50"/>
        <v>2.1279168177971227E-3</v>
      </c>
      <c r="I97" s="241">
        <v>0.15</v>
      </c>
      <c r="J97" s="239">
        <f t="shared" si="51"/>
        <v>3.9065043297089654E-5</v>
      </c>
      <c r="K97" s="241">
        <f t="shared" si="53"/>
        <v>-1.4600000000000002</v>
      </c>
      <c r="L97" s="242">
        <f t="shared" si="54"/>
        <v>-0.90683229813664601</v>
      </c>
      <c r="M97" s="242">
        <f t="shared" si="52"/>
        <v>8.5227272727272721E-3</v>
      </c>
    </row>
    <row r="98" spans="2:13" s="147" customFormat="1" x14ac:dyDescent="0.25">
      <c r="B98" s="238" t="s">
        <v>262</v>
      </c>
      <c r="C98" s="238">
        <v>145.66</v>
      </c>
      <c r="D98" s="240">
        <v>4.3499999999999996</v>
      </c>
      <c r="E98" s="251">
        <f t="shared" si="49"/>
        <v>1.2697133950384854E-3</v>
      </c>
      <c r="F98" s="238"/>
      <c r="G98" s="241">
        <v>11.56</v>
      </c>
      <c r="H98" s="239">
        <f t="shared" si="50"/>
        <v>1.3976544553258373E-3</v>
      </c>
      <c r="I98" s="241">
        <v>6.27</v>
      </c>
      <c r="J98" s="239">
        <f t="shared" si="51"/>
        <v>1.6329188098183475E-3</v>
      </c>
      <c r="K98" s="241">
        <f t="shared" si="53"/>
        <v>1.92</v>
      </c>
      <c r="L98" s="242">
        <f t="shared" si="54"/>
        <v>0.44137931034482758</v>
      </c>
      <c r="M98" s="242">
        <f t="shared" si="52"/>
        <v>0.54238754325259508</v>
      </c>
    </row>
    <row r="99" spans="2:13" s="147" customFormat="1" x14ac:dyDescent="0.25">
      <c r="B99" s="252" t="s">
        <v>263</v>
      </c>
      <c r="C99" s="245">
        <f t="shared" ref="C99" si="57">SUM(C97:C98)</f>
        <v>169.78</v>
      </c>
      <c r="D99" s="248">
        <f t="shared" ref="D99:I99" si="58">SUM(D97:D98)</f>
        <v>5.96</v>
      </c>
      <c r="E99" s="253">
        <f t="shared" si="49"/>
        <v>1.7396532952711203E-3</v>
      </c>
      <c r="F99" s="245">
        <f t="shared" si="58"/>
        <v>0</v>
      </c>
      <c r="G99" s="248">
        <f t="shared" si="58"/>
        <v>29.160000000000004</v>
      </c>
      <c r="H99" s="247">
        <f t="shared" si="50"/>
        <v>3.5255712731229604E-3</v>
      </c>
      <c r="I99" s="248">
        <f t="shared" si="58"/>
        <v>6.42</v>
      </c>
      <c r="J99" s="247">
        <f t="shared" si="51"/>
        <v>1.6719838531154372E-3</v>
      </c>
      <c r="K99" s="248">
        <f t="shared" si="53"/>
        <v>0.45999999999999996</v>
      </c>
      <c r="L99" s="249">
        <f t="shared" si="54"/>
        <v>7.7181208053691275E-2</v>
      </c>
      <c r="M99" s="249">
        <f t="shared" si="52"/>
        <v>0.22016460905349791</v>
      </c>
    </row>
    <row r="100" spans="2:13" s="147" customFormat="1" x14ac:dyDescent="0.25">
      <c r="B100" s="238" t="s">
        <v>264</v>
      </c>
      <c r="C100" s="241">
        <v>12.31</v>
      </c>
      <c r="D100" s="240">
        <v>4.28</v>
      </c>
      <c r="E100" s="251">
        <f t="shared" si="49"/>
        <v>1.2492812254631537E-3</v>
      </c>
      <c r="F100" s="238"/>
      <c r="G100" s="241">
        <v>13.17</v>
      </c>
      <c r="H100" s="239">
        <f t="shared" si="50"/>
        <v>1.5923104824084149E-3</v>
      </c>
      <c r="I100" s="241">
        <v>1.93</v>
      </c>
      <c r="J100" s="239">
        <f t="shared" si="51"/>
        <v>5.026368904225535E-4</v>
      </c>
      <c r="K100" s="241">
        <f t="shared" si="53"/>
        <v>-2.3500000000000005</v>
      </c>
      <c r="L100" s="242">
        <f t="shared" si="54"/>
        <v>-0.54906542056074781</v>
      </c>
      <c r="M100" s="242">
        <f t="shared" si="52"/>
        <v>0.14654517843583903</v>
      </c>
    </row>
    <row r="101" spans="2:13" s="147" customFormat="1" x14ac:dyDescent="0.25">
      <c r="B101" s="238" t="s">
        <v>265</v>
      </c>
      <c r="C101" s="241">
        <v>101.34</v>
      </c>
      <c r="D101" s="240">
        <v>1.64</v>
      </c>
      <c r="E101" s="251">
        <f t="shared" si="49"/>
        <v>4.7869654433634854E-4</v>
      </c>
      <c r="F101" s="238"/>
      <c r="G101" s="241">
        <v>65.03</v>
      </c>
      <c r="H101" s="239">
        <f t="shared" si="50"/>
        <v>7.8624108330310732E-3</v>
      </c>
      <c r="I101" s="241">
        <v>5.95</v>
      </c>
      <c r="J101" s="239">
        <f t="shared" si="51"/>
        <v>1.5495800507845563E-3</v>
      </c>
      <c r="K101" s="241">
        <f t="shared" si="53"/>
        <v>4.3100000000000005</v>
      </c>
      <c r="L101" s="242">
        <f t="shared" si="54"/>
        <v>2.6280487804878052</v>
      </c>
      <c r="M101" s="242">
        <f t="shared" si="52"/>
        <v>9.1496232508073191E-2</v>
      </c>
    </row>
    <row r="102" spans="2:13" s="147" customFormat="1" x14ac:dyDescent="0.25">
      <c r="B102" s="252" t="s">
        <v>295</v>
      </c>
      <c r="C102" s="248">
        <f>SUM(C100:C101)</f>
        <v>113.65</v>
      </c>
      <c r="D102" s="248">
        <f t="shared" ref="D102:I102" si="59">SUM(D100:D101)</f>
        <v>5.92</v>
      </c>
      <c r="E102" s="253">
        <f t="shared" si="49"/>
        <v>1.727977769799502E-3</v>
      </c>
      <c r="F102" s="245">
        <f t="shared" si="59"/>
        <v>0</v>
      </c>
      <c r="G102" s="248">
        <f t="shared" si="59"/>
        <v>78.2</v>
      </c>
      <c r="H102" s="247">
        <f t="shared" si="50"/>
        <v>9.454721315439488E-3</v>
      </c>
      <c r="I102" s="248">
        <f t="shared" si="59"/>
        <v>7.88</v>
      </c>
      <c r="J102" s="247">
        <f t="shared" si="51"/>
        <v>2.05221694120711E-3</v>
      </c>
      <c r="K102" s="248">
        <f t="shared" si="53"/>
        <v>1.96</v>
      </c>
      <c r="L102" s="249">
        <f t="shared" si="54"/>
        <v>0.33108108108108109</v>
      </c>
      <c r="M102" s="249">
        <f t="shared" si="52"/>
        <v>0.10076726342710997</v>
      </c>
    </row>
    <row r="103" spans="2:13" x14ac:dyDescent="0.25">
      <c r="B103" s="41"/>
      <c r="C103" s="41"/>
      <c r="D103" s="254"/>
      <c r="E103" s="41"/>
      <c r="F103" s="41"/>
      <c r="G103" s="41"/>
      <c r="H103" s="41"/>
      <c r="I103" s="41"/>
      <c r="J103" s="41"/>
      <c r="K103" s="41"/>
      <c r="L103" s="41"/>
      <c r="M103" s="41"/>
    </row>
    <row r="104" spans="2:13" ht="15" customHeight="1" x14ac:dyDescent="0.25">
      <c r="B104" s="235"/>
      <c r="C104" s="314" t="s">
        <v>303</v>
      </c>
      <c r="D104" s="316" t="str">
        <f>'PU Wise OWE'!$B$7</f>
        <v>Actuals upto Aug' 20</v>
      </c>
      <c r="E104" s="314" t="s">
        <v>173</v>
      </c>
      <c r="F104" s="314"/>
      <c r="G104" s="320" t="str">
        <f>'PU Wise OWE'!$B$5</f>
        <v xml:space="preserve">OBG(SL) 2021-22 </v>
      </c>
      <c r="H104" s="314" t="s">
        <v>311</v>
      </c>
      <c r="I104" s="316" t="str">
        <f>I40</f>
        <v>Actuals upto Aug' 21</v>
      </c>
      <c r="J104" s="314" t="s">
        <v>205</v>
      </c>
      <c r="K104" s="318" t="s">
        <v>147</v>
      </c>
      <c r="L104" s="318"/>
      <c r="M104" s="319" t="s">
        <v>307</v>
      </c>
    </row>
    <row r="105" spans="2:13" x14ac:dyDescent="0.25">
      <c r="B105" s="236" t="s">
        <v>191</v>
      </c>
      <c r="C105" s="315"/>
      <c r="D105" s="315"/>
      <c r="E105" s="315"/>
      <c r="F105" s="315"/>
      <c r="G105" s="321"/>
      <c r="H105" s="315"/>
      <c r="I105" s="315"/>
      <c r="J105" s="315"/>
      <c r="K105" s="237" t="s">
        <v>145</v>
      </c>
      <c r="L105" s="237" t="s">
        <v>146</v>
      </c>
      <c r="M105" s="319"/>
    </row>
    <row r="106" spans="2:13" x14ac:dyDescent="0.25">
      <c r="B106" s="238" t="s">
        <v>218</v>
      </c>
      <c r="C106" s="238">
        <v>305.92</v>
      </c>
      <c r="D106" s="240">
        <v>19.18</v>
      </c>
      <c r="E106" s="251">
        <f t="shared" ref="E106:E109" si="60">D106/$D$7</f>
        <v>5.5984144636409541E-3</v>
      </c>
      <c r="F106" s="238"/>
      <c r="G106" s="238">
        <v>115.89</v>
      </c>
      <c r="H106" s="239">
        <f t="shared" ref="H106:H109" si="61">G106/$G$7</f>
        <v>1.4011606819006166E-2</v>
      </c>
      <c r="I106" s="241">
        <v>28.26</v>
      </c>
      <c r="J106" s="239">
        <f t="shared" ref="J106:J109" si="62">I106/$I$7</f>
        <v>7.3598541571716913E-3</v>
      </c>
      <c r="K106" s="241">
        <f>I106-D106</f>
        <v>9.0800000000000018</v>
      </c>
      <c r="L106" s="242">
        <f>K106/D106</f>
        <v>0.47340980187695525</v>
      </c>
      <c r="M106" s="242">
        <f t="shared" ref="M106:M109" si="63">I106/G106</f>
        <v>0.24385192855293814</v>
      </c>
    </row>
    <row r="107" spans="2:13" x14ac:dyDescent="0.25">
      <c r="B107" s="238" t="s">
        <v>217</v>
      </c>
      <c r="C107" s="238">
        <v>266.58999999999997</v>
      </c>
      <c r="D107" s="243">
        <v>27.95</v>
      </c>
      <c r="E107" s="251">
        <f t="shared" si="60"/>
        <v>8.158273423293257E-3</v>
      </c>
      <c r="F107" s="238"/>
      <c r="G107" s="241">
        <v>750</v>
      </c>
      <c r="H107" s="239">
        <f t="shared" si="61"/>
        <v>9.0678273485672839E-2</v>
      </c>
      <c r="I107" s="241">
        <v>40.58</v>
      </c>
      <c r="J107" s="239">
        <f t="shared" si="62"/>
        <v>1.0568396379972655E-2</v>
      </c>
      <c r="K107" s="241">
        <f t="shared" ref="K107:K109" si="64">I107-D107</f>
        <v>12.629999999999999</v>
      </c>
      <c r="L107" s="242">
        <f t="shared" ref="L107:L109" si="65">K107/D107</f>
        <v>0.45187835420393557</v>
      </c>
      <c r="M107" s="242">
        <f t="shared" si="63"/>
        <v>5.4106666666666664E-2</v>
      </c>
    </row>
    <row r="108" spans="2:13" ht="15.75" customHeight="1" x14ac:dyDescent="0.25">
      <c r="B108" s="244" t="s">
        <v>216</v>
      </c>
      <c r="C108" s="238">
        <v>544.78</v>
      </c>
      <c r="D108" s="243">
        <v>165.44</v>
      </c>
      <c r="E108" s="251">
        <f t="shared" si="60"/>
        <v>4.8289973350613115E-2</v>
      </c>
      <c r="F108" s="238"/>
      <c r="G108" s="241">
        <v>676.5</v>
      </c>
      <c r="H108" s="239">
        <f t="shared" si="61"/>
        <v>8.1791802684076889E-2</v>
      </c>
      <c r="I108" s="238">
        <v>301.26</v>
      </c>
      <c r="J108" s="239">
        <f t="shared" si="62"/>
        <v>7.8458232957874866E-2</v>
      </c>
      <c r="K108" s="241">
        <f t="shared" si="64"/>
        <v>135.82</v>
      </c>
      <c r="L108" s="242">
        <f t="shared" si="65"/>
        <v>0.82096228239845259</v>
      </c>
      <c r="M108" s="242">
        <f t="shared" si="63"/>
        <v>0.44532150776053214</v>
      </c>
    </row>
    <row r="109" spans="2:13" x14ac:dyDescent="0.25">
      <c r="B109" s="245" t="s">
        <v>130</v>
      </c>
      <c r="C109" s="245">
        <f>SUM(C106:C108)</f>
        <v>1117.29</v>
      </c>
      <c r="D109" s="246">
        <f>+D106+D107+D108</f>
        <v>212.57</v>
      </c>
      <c r="E109" s="253">
        <f t="shared" si="60"/>
        <v>6.2046661237547325E-2</v>
      </c>
      <c r="F109" s="245"/>
      <c r="G109" s="246">
        <f>+G106+G107+G108</f>
        <v>1542.3899999999999</v>
      </c>
      <c r="H109" s="247">
        <f t="shared" si="61"/>
        <v>0.18648168298875589</v>
      </c>
      <c r="I109" s="248">
        <f>SUM(I106:I108)</f>
        <v>370.1</v>
      </c>
      <c r="J109" s="247">
        <f t="shared" si="62"/>
        <v>9.6386483495019215E-2</v>
      </c>
      <c r="K109" s="248">
        <f t="shared" si="64"/>
        <v>157.53000000000003</v>
      </c>
      <c r="L109" s="249">
        <f t="shared" si="65"/>
        <v>0.74107352871995125</v>
      </c>
      <c r="M109" s="249">
        <f t="shared" si="63"/>
        <v>0.23995228184830039</v>
      </c>
    </row>
    <row r="110" spans="2:13" x14ac:dyDescent="0.25">
      <c r="B110" s="41"/>
      <c r="C110" s="41"/>
      <c r="D110" s="254"/>
      <c r="E110" s="41"/>
      <c r="F110" s="41"/>
      <c r="G110" s="41"/>
      <c r="H110" s="41"/>
      <c r="I110" s="41"/>
      <c r="J110" s="41"/>
      <c r="K110" s="41"/>
      <c r="L110" s="41"/>
      <c r="M110" s="41"/>
    </row>
    <row r="111" spans="2:13" x14ac:dyDescent="0.25">
      <c r="B111" s="236" t="s">
        <v>219</v>
      </c>
      <c r="C111" s="238"/>
      <c r="D111" s="243"/>
      <c r="E111" s="238"/>
      <c r="F111" s="238"/>
      <c r="G111" s="238"/>
      <c r="H111" s="238"/>
      <c r="I111" s="238"/>
      <c r="J111" s="238"/>
      <c r="K111" s="238"/>
      <c r="L111" s="238"/>
      <c r="M111" s="238"/>
    </row>
    <row r="112" spans="2:13" x14ac:dyDescent="0.25">
      <c r="B112" s="238" t="s">
        <v>220</v>
      </c>
      <c r="C112" s="241">
        <v>28.69</v>
      </c>
      <c r="D112" s="240">
        <v>5.63</v>
      </c>
      <c r="E112" s="251">
        <f t="shared" ref="E112:E115" si="66">D112/$D$7</f>
        <v>1.6433302101302697E-3</v>
      </c>
      <c r="F112" s="238"/>
      <c r="G112" s="241">
        <v>27.91</v>
      </c>
      <c r="H112" s="239">
        <f t="shared" ref="H112:H115" si="67">G112/$G$7</f>
        <v>3.3744408173135049E-3</v>
      </c>
      <c r="I112" s="238">
        <v>0.22</v>
      </c>
      <c r="J112" s="239">
        <f t="shared" ref="J112" si="68">I112/$I$7</f>
        <v>5.7295396835731491E-5</v>
      </c>
      <c r="K112" s="241">
        <f>I112-D112</f>
        <v>-5.41</v>
      </c>
      <c r="L112" s="242">
        <f>K112/D112</f>
        <v>-0.96092362344582594</v>
      </c>
      <c r="M112" s="242">
        <f t="shared" ref="M112" si="69">I112/G112</f>
        <v>7.8824793980652088E-3</v>
      </c>
    </row>
    <row r="113" spans="2:13" x14ac:dyDescent="0.25">
      <c r="B113" s="238" t="s">
        <v>221</v>
      </c>
      <c r="C113" s="241">
        <v>38.6</v>
      </c>
      <c r="D113" s="243">
        <v>2.54</v>
      </c>
      <c r="E113" s="251">
        <f t="shared" si="66"/>
        <v>7.413958674477594E-4</v>
      </c>
      <c r="F113" s="238"/>
      <c r="G113" s="238">
        <v>33.72</v>
      </c>
      <c r="H113" s="239">
        <f t="shared" si="67"/>
        <v>4.0768951759158501E-3</v>
      </c>
      <c r="I113" s="241">
        <v>0.11</v>
      </c>
      <c r="J113" s="239">
        <f t="shared" ref="J113:J115" si="70">I113/$I$7</f>
        <v>2.8647698417865745E-5</v>
      </c>
      <c r="K113" s="241">
        <f t="shared" ref="K113:K115" si="71">I113-D113</f>
        <v>-2.4300000000000002</v>
      </c>
      <c r="L113" s="242">
        <f t="shared" ref="L113:L115" si="72">K113/D113</f>
        <v>-0.95669291338582685</v>
      </c>
      <c r="M113" s="242">
        <f t="shared" ref="M113:M115" si="73">I113/G113</f>
        <v>3.2621589561091344E-3</v>
      </c>
    </row>
    <row r="114" spans="2:13" x14ac:dyDescent="0.25">
      <c r="B114" s="244" t="s">
        <v>222</v>
      </c>
      <c r="C114" s="238">
        <v>33.32</v>
      </c>
      <c r="D114" s="243">
        <v>2.81</v>
      </c>
      <c r="E114" s="251">
        <f t="shared" si="66"/>
        <v>8.2020566438118262E-4</v>
      </c>
      <c r="F114" s="238"/>
      <c r="G114" s="238">
        <v>33.19</v>
      </c>
      <c r="H114" s="239">
        <f t="shared" si="67"/>
        <v>4.0128158626526415E-3</v>
      </c>
      <c r="I114" s="241">
        <v>3.03</v>
      </c>
      <c r="J114" s="239">
        <f t="shared" si="70"/>
        <v>7.8911387460121093E-4</v>
      </c>
      <c r="K114" s="241">
        <f t="shared" si="71"/>
        <v>0.21999999999999975</v>
      </c>
      <c r="L114" s="242">
        <f t="shared" si="72"/>
        <v>7.8291814946619132E-2</v>
      </c>
      <c r="M114" s="242">
        <f t="shared" si="73"/>
        <v>9.1292557999397408E-2</v>
      </c>
    </row>
    <row r="115" spans="2:13" x14ac:dyDescent="0.25">
      <c r="B115" s="245" t="s">
        <v>130</v>
      </c>
      <c r="C115" s="248">
        <f>SUM(C112:C114)</f>
        <v>100.61000000000001</v>
      </c>
      <c r="D115" s="255">
        <f>SUM(D112:D114)</f>
        <v>10.98</v>
      </c>
      <c r="E115" s="253">
        <f t="shared" si="66"/>
        <v>3.2049317419592118E-3</v>
      </c>
      <c r="F115" s="245"/>
      <c r="G115" s="245">
        <f>SUM(G112:G114)</f>
        <v>94.82</v>
      </c>
      <c r="H115" s="247">
        <f t="shared" si="67"/>
        <v>1.1464151855881996E-2</v>
      </c>
      <c r="I115" s="245">
        <f>SUM(I112:I114)</f>
        <v>3.36</v>
      </c>
      <c r="J115" s="247">
        <f t="shared" si="70"/>
        <v>8.7505696985480826E-4</v>
      </c>
      <c r="K115" s="248">
        <f t="shared" si="71"/>
        <v>-7.620000000000001</v>
      </c>
      <c r="L115" s="249">
        <f t="shared" si="72"/>
        <v>-0.69398907103825147</v>
      </c>
      <c r="M115" s="249">
        <f t="shared" si="73"/>
        <v>3.543556211769669E-2</v>
      </c>
    </row>
    <row r="118" spans="2:13" x14ac:dyDescent="0.25">
      <c r="C118" s="34"/>
      <c r="D118" s="138"/>
      <c r="E118" s="31"/>
      <c r="F118" s="31"/>
      <c r="G118" s="31"/>
    </row>
    <row r="119" spans="2:13" x14ac:dyDescent="0.25">
      <c r="C119" s="31"/>
      <c r="D119" s="138"/>
      <c r="E119" s="31"/>
      <c r="F119" s="31"/>
      <c r="G119" s="31"/>
    </row>
    <row r="120" spans="2:13" x14ac:dyDescent="0.25">
      <c r="C120" s="31"/>
      <c r="D120" s="138"/>
      <c r="E120" s="31"/>
      <c r="F120" s="31"/>
      <c r="G120" s="31"/>
    </row>
    <row r="121" spans="2:13" x14ac:dyDescent="0.25">
      <c r="C121" s="31"/>
      <c r="D121" s="138"/>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7" priority="12" operator="greaterThan">
      <formula>0.42</formula>
    </cfRule>
  </conditionalFormatting>
  <conditionalFormatting sqref="M34:M37 M42:M49 M52:M54 M60:M64 M67:M68 M72:M73 M77:M82 M56 M106:M109 M112:M115">
    <cfRule type="cellIs" dxfId="16" priority="11" operator="greaterThan">
      <formula>0.5</formula>
    </cfRule>
  </conditionalFormatting>
  <conditionalFormatting sqref="M89:M102">
    <cfRule type="cellIs" dxfId="15"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x14ac:dyDescent="0.25">
      <c r="A1" s="131"/>
      <c r="B1" s="1"/>
      <c r="C1" s="272" t="s">
        <v>213</v>
      </c>
      <c r="D1" s="272"/>
      <c r="E1" s="272"/>
      <c r="F1" s="272"/>
      <c r="G1" s="272"/>
      <c r="H1" s="272"/>
      <c r="I1" s="272"/>
      <c r="J1" s="272"/>
      <c r="K1" s="272"/>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1"/>
      <c r="B2" s="1"/>
      <c r="C2" s="1"/>
      <c r="D2" s="1"/>
      <c r="E2" s="1"/>
      <c r="F2" s="1"/>
      <c r="G2" s="1"/>
      <c r="H2" s="1"/>
      <c r="I2" s="1"/>
      <c r="J2" s="1"/>
      <c r="K2" s="1"/>
      <c r="L2" s="1"/>
      <c r="M2" s="273" t="s">
        <v>69</v>
      </c>
      <c r="N2" s="273"/>
      <c r="O2" s="273"/>
      <c r="P2" s="1"/>
      <c r="Q2" s="1"/>
      <c r="R2" s="1"/>
      <c r="S2" s="1"/>
      <c r="T2" s="1"/>
      <c r="U2" s="1"/>
      <c r="V2" s="1"/>
      <c r="W2" s="1"/>
      <c r="X2" s="1"/>
      <c r="Y2" s="1"/>
      <c r="Z2" s="1"/>
      <c r="AA2" s="1"/>
      <c r="AB2" s="1"/>
      <c r="AC2" s="2"/>
      <c r="AD2" s="1"/>
      <c r="AE2" s="1"/>
      <c r="AF2" s="1"/>
      <c r="AG2" s="1"/>
      <c r="AH2" s="1"/>
      <c r="AI2" s="1"/>
      <c r="AJ2" s="1"/>
      <c r="AK2" s="1"/>
      <c r="AL2" s="1"/>
      <c r="AM2" s="1"/>
      <c r="AN2" s="1"/>
      <c r="AO2" s="1"/>
      <c r="AP2" s="273" t="s">
        <v>69</v>
      </c>
      <c r="AQ2" s="273"/>
      <c r="AR2" s="273"/>
      <c r="AS2" s="1"/>
      <c r="AT2" s="1"/>
      <c r="AU2" s="1"/>
      <c r="AV2" s="2"/>
      <c r="AW2" s="1"/>
      <c r="AX2" s="1"/>
      <c r="AY2" s="1"/>
      <c r="AZ2" s="1"/>
      <c r="BA2" s="1"/>
      <c r="BB2" s="1"/>
      <c r="BC2" s="1"/>
      <c r="BD2" s="1"/>
      <c r="BE2" s="1"/>
      <c r="BF2" s="1"/>
      <c r="BG2" s="2"/>
      <c r="BH2" s="273" t="s">
        <v>69</v>
      </c>
      <c r="BI2" s="273"/>
      <c r="BJ2" s="273"/>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75" x14ac:dyDescent="0.25">
      <c r="A4" s="128"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75" x14ac:dyDescent="0.25">
      <c r="A5" s="8" t="s">
        <v>131</v>
      </c>
      <c r="B5" s="11" t="s">
        <v>214</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x14ac:dyDescent="0.25">
      <c r="A6" s="128" t="s">
        <v>131</v>
      </c>
      <c r="B6" s="5" t="s">
        <v>211</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x14ac:dyDescent="0.25">
      <c r="A7" s="128"/>
      <c r="B7" s="132" t="s">
        <v>215</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x14ac:dyDescent="0.25">
      <c r="A8" s="128"/>
      <c r="B8" s="12" t="s">
        <v>212</v>
      </c>
      <c r="C8" s="9">
        <f>IF('Upto Month Current'!$B$4="",0,'Upto Month Current'!$B$4)</f>
        <v>1137009</v>
      </c>
      <c r="D8" s="9">
        <f>IF('Upto Month Current'!$B$5="",0,'Upto Month Current'!$B$5)</f>
        <v>237379</v>
      </c>
      <c r="E8" s="9">
        <f>IF('Upto Month Current'!$B$6="",0,'Upto Month Current'!$B$6)</f>
        <v>585</v>
      </c>
      <c r="F8" s="9">
        <f>IF('Upto Month Current'!$B$7="",0,'Upto Month Current'!$B$7)</f>
        <v>120828</v>
      </c>
      <c r="G8" s="9">
        <f>IF('Upto Month Current'!$B$8="",0,'Upto Month Current'!$B$8)</f>
        <v>47661</v>
      </c>
      <c r="H8" s="9">
        <f>IF('Upto Month Current'!$B$9="",0,'Upto Month Current'!$B$9)</f>
        <v>0</v>
      </c>
      <c r="I8" s="9">
        <f>IF('Upto Month Current'!$B$10="",0,'Upto Month Current'!$B$10)</f>
        <v>0</v>
      </c>
      <c r="J8" s="9">
        <f>IF('Upto Month Current'!$B$11="",0,'Upto Month Current'!$B$11)</f>
        <v>1113</v>
      </c>
      <c r="K8" s="9">
        <f>IF('Upto Month Current'!$B$12="",0,'Upto Month Current'!$B$12)</f>
        <v>0</v>
      </c>
      <c r="L8" s="9">
        <f>IF('Upto Month Current'!$B$13="",0,'Upto Month Current'!$B$13)</f>
        <v>761</v>
      </c>
      <c r="M8" s="9">
        <f>IF('Upto Month Current'!$B$14="",0,'Upto Month Current'!$B$14)</f>
        <v>5735</v>
      </c>
      <c r="N8" s="9">
        <f>IF('Upto Month Current'!$B$15="",0,'Upto Month Current'!$B$15)</f>
        <v>4221</v>
      </c>
      <c r="O8" s="9">
        <f>IF('Upto Month Current'!$B$16="",0,'Upto Month Current'!$B$16)</f>
        <v>6158</v>
      </c>
      <c r="P8" s="9">
        <f>IF('Upto Month Current'!$B$17="",0,'Upto Month Current'!$B$17)</f>
        <v>30099</v>
      </c>
      <c r="Q8" s="9">
        <f>IF('Upto Month Current'!$B$18="",0,'Upto Month Current'!$B$18)</f>
        <v>0</v>
      </c>
      <c r="R8" s="9">
        <f>IF('Upto Month Current'!$B$21="",0,'Upto Month Current'!$B$21)</f>
        <v>3984</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7288</v>
      </c>
      <c r="Z8" s="9">
        <f>IF('Upto Month Current'!$B$43="",0,'Upto Month Current'!$B$43)</f>
        <v>1019</v>
      </c>
      <c r="AA8" s="9">
        <f>IF('Upto Month Current'!$B$44="",0,'Upto Month Current'!$B$44)</f>
        <v>2765</v>
      </c>
      <c r="AB8" s="9">
        <f>IF('Upto Month Current'!$B$51="",0,'Upto Month Current'!$B$51)</f>
        <v>0</v>
      </c>
      <c r="AC8" s="121">
        <f t="shared" si="0"/>
        <v>1606605</v>
      </c>
      <c r="AD8" s="9">
        <f>IF('Upto Month Current'!$B$19="",0,'Upto Month Current'!$B$19)</f>
        <v>5196</v>
      </c>
      <c r="AE8" s="9">
        <f>IF('Upto Month Current'!$B$20="",0,'Upto Month Current'!$B$20)</f>
        <v>3317</v>
      </c>
      <c r="AF8" s="9">
        <f>IF('Upto Month Current'!$B$22="",0,'Upto Month Current'!$B$22)</f>
        <v>49464</v>
      </c>
      <c r="AG8" s="9">
        <f>IF('Upto Month Current'!$B$23="",0,'Upto Month Current'!$B$23)</f>
        <v>41</v>
      </c>
      <c r="AH8" s="9">
        <f>IF('Upto Month Current'!$B$24="",0,'Upto Month Current'!$B$24)</f>
        <v>0</v>
      </c>
      <c r="AI8" s="9">
        <f>IF('Upto Month Current'!$B$25="",0,'Upto Month Current'!$B$25)</f>
        <v>1346</v>
      </c>
      <c r="AJ8" s="9">
        <f>IF('Upto Month Current'!$B$28="",0,'Upto Month Current'!$B$28)</f>
        <v>-1425</v>
      </c>
      <c r="AK8" s="9">
        <f>IF('Upto Month Current'!$B$29="",0,'Upto Month Current'!$B$29)</f>
        <v>1461</v>
      </c>
      <c r="AL8" s="9">
        <f>IF('Upto Month Current'!$B$31="",0,'Upto Month Current'!$B$31)</f>
        <v>251</v>
      </c>
      <c r="AM8" s="9">
        <f>IF('Upto Month Current'!$B$32="",0,'Upto Month Current'!$B$32)</f>
        <v>0</v>
      </c>
      <c r="AN8" s="9">
        <f>IF('Upto Month Current'!$B$33="",0,'Upto Month Current'!$B$33)</f>
        <v>28414</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4139</v>
      </c>
      <c r="AW8" s="9">
        <f>IF('Upto Month Current'!$B$46="",0,'Upto Month Current'!$B$46)</f>
        <v>3908</v>
      </c>
      <c r="AX8" s="9">
        <f>IF('Upto Month Current'!$B$47="",0,'Upto Month Current'!$B$47)</f>
        <v>3059</v>
      </c>
      <c r="AY8" s="9">
        <f>IF('Upto Month Current'!$B$49="",0,'Upto Month Current'!$B$49)</f>
        <v>0</v>
      </c>
      <c r="AZ8" s="9">
        <f>IF('Upto Month Current'!$B$50="",0,'Upto Month Current'!$B$50)</f>
        <v>0</v>
      </c>
      <c r="BA8" s="9">
        <f>IF('Upto Month Current'!$B$52="",0,'Upto Month Current'!$B$52)</f>
        <v>0</v>
      </c>
      <c r="BB8" s="9">
        <f>IF('Upto Month Current'!$B$53="",0,'Upto Month Current'!$B$53)</f>
        <v>2965</v>
      </c>
      <c r="BC8" s="9">
        <f>IF('Upto Month Current'!$B$54="",0,'Upto Month Current'!$B$54)</f>
        <v>2965</v>
      </c>
      <c r="BD8" s="9">
        <f>IF('Upto Month Current'!$B$55="",0,'Upto Month Current'!$B$55)</f>
        <v>0</v>
      </c>
      <c r="BE8" s="9">
        <f>IF('Upto Month Current'!$B$56="",0,'Upto Month Current'!$B$56)</f>
        <v>838</v>
      </c>
      <c r="BF8" s="9">
        <f>IF('Upto Month Current'!$B$58="",0,'Upto Month Current'!$B$58)</f>
        <v>6669</v>
      </c>
      <c r="BG8" s="122">
        <f t="shared" si="2"/>
        <v>112608</v>
      </c>
      <c r="BH8" s="123">
        <f t="shared" si="3"/>
        <v>1719213</v>
      </c>
      <c r="BI8" s="9">
        <f>IF('Upto Month Current'!$B$60="",0,'Upto Month Current'!$B$60)</f>
        <v>5004</v>
      </c>
      <c r="BJ8" s="124">
        <f t="shared" si="1"/>
        <v>1714209</v>
      </c>
      <c r="BK8">
        <f>'Upto Month Current'!$B$61</f>
        <v>1716167</v>
      </c>
    </row>
    <row r="9" spans="1:63" ht="15.75" x14ac:dyDescent="0.25">
      <c r="A9" s="128"/>
      <c r="B9" s="5" t="s">
        <v>210</v>
      </c>
      <c r="C9" s="126">
        <f t="shared" ref="C9:AH9" si="6">C8/C5</f>
        <v>0.46790917448635339</v>
      </c>
      <c r="D9" s="126">
        <f t="shared" si="6"/>
        <v>0.54115316399713664</v>
      </c>
      <c r="E9" s="126">
        <f t="shared" si="6"/>
        <v>7.6201641266119575E-3</v>
      </c>
      <c r="F9" s="126">
        <f t="shared" si="6"/>
        <v>0.41717621956061635</v>
      </c>
      <c r="G9" s="126">
        <f t="shared" si="6"/>
        <v>0.44640197813931271</v>
      </c>
      <c r="H9" s="126" t="e">
        <f t="shared" si="6"/>
        <v>#DIV/0!</v>
      </c>
      <c r="I9" s="126" t="e">
        <f t="shared" si="6"/>
        <v>#DIV/0!</v>
      </c>
      <c r="J9" s="126" t="e">
        <f t="shared" si="6"/>
        <v>#DIV/0!</v>
      </c>
      <c r="K9" s="126" t="e">
        <f t="shared" si="6"/>
        <v>#DIV/0!</v>
      </c>
      <c r="L9" s="126">
        <f t="shared" si="6"/>
        <v>0.20567567567567568</v>
      </c>
      <c r="M9" s="126">
        <f t="shared" si="6"/>
        <v>0.73857050869285257</v>
      </c>
      <c r="N9" s="126">
        <f t="shared" si="6"/>
        <v>0.71216467015353468</v>
      </c>
      <c r="O9" s="126">
        <f t="shared" si="6"/>
        <v>0.49299495636858537</v>
      </c>
      <c r="P9" s="126">
        <f t="shared" si="6"/>
        <v>0.4795736273541315</v>
      </c>
      <c r="Q9" s="126" t="e">
        <f t="shared" si="6"/>
        <v>#DIV/0!</v>
      </c>
      <c r="R9" s="126">
        <f t="shared" si="6"/>
        <v>0.35309758043073652</v>
      </c>
      <c r="S9" s="126" t="e">
        <f t="shared" si="6"/>
        <v>#DIV/0!</v>
      </c>
      <c r="T9" s="126" t="e">
        <f t="shared" si="6"/>
        <v>#DIV/0!</v>
      </c>
      <c r="U9" s="126" t="e">
        <f t="shared" si="6"/>
        <v>#DIV/0!</v>
      </c>
      <c r="V9" s="126" t="e">
        <f t="shared" si="6"/>
        <v>#DIV/0!</v>
      </c>
      <c r="W9" s="126">
        <f t="shared" si="6"/>
        <v>0</v>
      </c>
      <c r="X9" s="126">
        <f t="shared" si="6"/>
        <v>0</v>
      </c>
      <c r="Y9" s="126">
        <f t="shared" si="6"/>
        <v>13.750943396226415</v>
      </c>
      <c r="Z9" s="126" t="e">
        <f t="shared" si="6"/>
        <v>#DIV/0!</v>
      </c>
      <c r="AA9" s="126" t="e">
        <f t="shared" si="6"/>
        <v>#DIV/0!</v>
      </c>
      <c r="AB9" s="126" t="e">
        <f t="shared" si="6"/>
        <v>#DIV/0!</v>
      </c>
      <c r="AC9" s="126">
        <f t="shared" si="6"/>
        <v>0.46606302419598139</v>
      </c>
      <c r="AD9" s="126">
        <f t="shared" si="6"/>
        <v>6.45209357770824E-2</v>
      </c>
      <c r="AE9" s="126">
        <f t="shared" si="6"/>
        <v>0.14404203578252561</v>
      </c>
      <c r="AF9" s="126">
        <f t="shared" si="6"/>
        <v>4.2011211143196876</v>
      </c>
      <c r="AG9" s="126" t="e">
        <f t="shared" si="6"/>
        <v>#DIV/0!</v>
      </c>
      <c r="AH9" s="126">
        <f t="shared" si="6"/>
        <v>0</v>
      </c>
      <c r="AI9" s="126">
        <f t="shared" ref="AI9:BJ9" si="7">AI8/AI5</f>
        <v>5.6083333333333334</v>
      </c>
      <c r="AJ9" s="126">
        <f t="shared" si="7"/>
        <v>-0.15217855617257584</v>
      </c>
      <c r="AK9" s="126">
        <f t="shared" si="7"/>
        <v>8.1940549635445878E-2</v>
      </c>
      <c r="AL9" s="126">
        <f t="shared" si="7"/>
        <v>0.23791469194312795</v>
      </c>
      <c r="AM9" s="126">
        <f t="shared" si="7"/>
        <v>0</v>
      </c>
      <c r="AN9" s="126">
        <f t="shared" si="7"/>
        <v>0.35671332621932084</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0.35135823429541596</v>
      </c>
      <c r="AW9" s="126">
        <f t="shared" si="7"/>
        <v>0.37443709878317522</v>
      </c>
      <c r="AX9" s="126">
        <f t="shared" si="7"/>
        <v>1.5002452182442374</v>
      </c>
      <c r="AY9" s="126" t="e">
        <f t="shared" si="7"/>
        <v>#DIV/0!</v>
      </c>
      <c r="AZ9" s="126" t="e">
        <f t="shared" si="7"/>
        <v>#DIV/0!</v>
      </c>
      <c r="BA9" s="126" t="e">
        <f t="shared" si="7"/>
        <v>#DIV/0!</v>
      </c>
      <c r="BB9" s="126">
        <f t="shared" si="7"/>
        <v>1.5654699049630412</v>
      </c>
      <c r="BC9" s="126">
        <f t="shared" si="7"/>
        <v>1.505840528186897</v>
      </c>
      <c r="BD9" s="126">
        <f t="shared" si="7"/>
        <v>0</v>
      </c>
      <c r="BE9" s="126">
        <f t="shared" si="7"/>
        <v>1.1143617021276595</v>
      </c>
      <c r="BF9" s="126">
        <f t="shared" si="7"/>
        <v>8.1668891365311844E-2</v>
      </c>
      <c r="BG9" s="126">
        <f t="shared" si="7"/>
        <v>0.33681893230599891</v>
      </c>
      <c r="BH9" s="126">
        <f t="shared" si="7"/>
        <v>0.4546363994084906</v>
      </c>
      <c r="BI9" s="126">
        <f t="shared" si="7"/>
        <v>0.2702965483714147</v>
      </c>
      <c r="BJ9" s="126">
        <f t="shared" si="7"/>
        <v>0.45554330468862736</v>
      </c>
    </row>
    <row r="10" spans="1:63" ht="15.75" x14ac:dyDescent="0.2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136</v>
      </c>
      <c r="B11" s="11" t="s">
        <v>214</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x14ac:dyDescent="0.25">
      <c r="A12" s="128" t="s">
        <v>136</v>
      </c>
      <c r="B12" s="5" t="s">
        <v>211</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x14ac:dyDescent="0.2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x14ac:dyDescent="0.25">
      <c r="A14" s="128"/>
      <c r="B14" s="12" t="s">
        <v>212</v>
      </c>
      <c r="C14" s="9">
        <f>IF('Upto Month Current'!$C$4="",0,'Upto Month Current'!$C$4)</f>
        <v>2022589</v>
      </c>
      <c r="D14" s="9">
        <f>IF('Upto Month Current'!$C$5="",0,'Upto Month Current'!$C$5)</f>
        <v>405794</v>
      </c>
      <c r="E14" s="9">
        <f>IF('Upto Month Current'!$C$6="",0,'Upto Month Current'!$C$6)</f>
        <v>1085</v>
      </c>
      <c r="F14" s="9">
        <f>IF('Upto Month Current'!$C$7="",0,'Upto Month Current'!$C$7)</f>
        <v>151918</v>
      </c>
      <c r="G14" s="9">
        <f>IF('Upto Month Current'!$C$8="",0,'Upto Month Current'!$C$8)</f>
        <v>116102</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29926</v>
      </c>
      <c r="M14" s="9">
        <f>IF('Upto Month Current'!$C$14="",0,'Upto Month Current'!$C$14)</f>
        <v>244961</v>
      </c>
      <c r="N14" s="9">
        <f>IF('Upto Month Current'!$C$15="",0,'Upto Month Current'!$C$15)</f>
        <v>147</v>
      </c>
      <c r="O14" s="9">
        <f>IF('Upto Month Current'!$C$16="",0,'Upto Month Current'!$C$16)</f>
        <v>2373</v>
      </c>
      <c r="P14" s="9">
        <f>IF('Upto Month Current'!$C$17="",0,'Upto Month Current'!$C$17)</f>
        <v>142461</v>
      </c>
      <c r="Q14" s="9">
        <f>IF('Upto Month Current'!$C$18="",0,'Upto Month Current'!$C$18)</f>
        <v>0</v>
      </c>
      <c r="R14" s="9">
        <f>IF('Upto Month Current'!$C$21="",0,'Upto Month Current'!$C$21)</f>
        <v>2299</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21489</v>
      </c>
      <c r="Z14" s="9">
        <f>IF('Upto Month Current'!$C$43="",0,'Upto Month Current'!$C$43)</f>
        <v>1845</v>
      </c>
      <c r="AA14" s="9">
        <f>IF('Upto Month Current'!$C$44="",0,'Upto Month Current'!$C$44)</f>
        <v>993</v>
      </c>
      <c r="AB14" s="9">
        <f>IF('Upto Month Current'!$C$51="",0,'Upto Month Current'!$C$51)</f>
        <v>0</v>
      </c>
      <c r="AC14" s="121">
        <f t="shared" si="8"/>
        <v>3143982</v>
      </c>
      <c r="AD14" s="9">
        <f>IF('Upto Month Current'!$C$19="",0,'Upto Month Current'!$C$19)</f>
        <v>1225</v>
      </c>
      <c r="AE14" s="9">
        <f>IF('Upto Month Current'!$C$20="",0,'Upto Month Current'!$C$20)</f>
        <v>357</v>
      </c>
      <c r="AF14" s="9">
        <f>IF('Upto Month Current'!$C$22="",0,'Upto Month Current'!$C$22)</f>
        <v>18652</v>
      </c>
      <c r="AG14" s="9">
        <f>IF('Upto Month Current'!$C$23="",0,'Upto Month Current'!$C$23)</f>
        <v>0</v>
      </c>
      <c r="AH14" s="9">
        <f>IF('Upto Month Current'!$C$24="",0,'Upto Month Current'!$C$24)</f>
        <v>0</v>
      </c>
      <c r="AI14" s="9">
        <f>IF('Upto Month Current'!$C$25="",0,'Upto Month Current'!$C$25)</f>
        <v>44</v>
      </c>
      <c r="AJ14" s="9">
        <f>IF('Upto Month Current'!$C$28="",0,'Upto Month Current'!$C$28)</f>
        <v>65249</v>
      </c>
      <c r="AK14" s="9">
        <f>IF('Upto Month Current'!$C$29="",0,'Upto Month Current'!$C$29)</f>
        <v>98850</v>
      </c>
      <c r="AL14" s="9">
        <f>IF('Upto Month Current'!$C$31="",0,'Upto Month Current'!$C$31)</f>
        <v>0</v>
      </c>
      <c r="AM14" s="9">
        <f>IF('Upto Month Current'!$C$32="",0,'Upto Month Current'!$C$32)</f>
        <v>75400</v>
      </c>
      <c r="AN14" s="9">
        <f>IF('Upto Month Current'!$C$33="",0,'Upto Month Current'!$C$33)</f>
        <v>390583</v>
      </c>
      <c r="AO14" s="9">
        <f>IF('Upto Month Current'!$C$34="",0,'Upto Month Current'!$C$34)</f>
        <v>192098</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348</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17545</v>
      </c>
      <c r="BC14" s="9">
        <f>IF('Upto Month Current'!$C$54="",0,'Upto Month Current'!$C$54)</f>
        <v>17545</v>
      </c>
      <c r="BD14" s="9">
        <f>IF('Upto Month Current'!$C$55="",0,'Upto Month Current'!$C$55)</f>
        <v>0</v>
      </c>
      <c r="BE14" s="9">
        <f>IF('Upto Month Current'!$C$56="",0,'Upto Month Current'!$C$56)</f>
        <v>4884</v>
      </c>
      <c r="BF14" s="9">
        <f>IF('Upto Month Current'!$C$58="",0,'Upto Month Current'!$C$58)</f>
        <v>5212</v>
      </c>
      <c r="BG14" s="122">
        <f t="shared" si="10"/>
        <v>887992</v>
      </c>
      <c r="BH14" s="123">
        <f t="shared" si="11"/>
        <v>4031974</v>
      </c>
      <c r="BI14" s="9">
        <f>IF('Upto Month Current'!$C$60="",0,'Upto Month Current'!$C$60)</f>
        <v>67987</v>
      </c>
      <c r="BJ14" s="124">
        <f t="shared" si="9"/>
        <v>3963987</v>
      </c>
      <c r="BK14">
        <f>'Upto Month Current'!$C$61</f>
        <v>3963988</v>
      </c>
    </row>
    <row r="15" spans="1:63" ht="15.75" x14ac:dyDescent="0.25">
      <c r="A15" s="128"/>
      <c r="B15" s="5" t="s">
        <v>210</v>
      </c>
      <c r="C15" s="126">
        <f t="shared" ref="C15:AH15" si="14">C14/C11</f>
        <v>0.43399863272306549</v>
      </c>
      <c r="D15" s="126">
        <f t="shared" si="14"/>
        <v>0.54978261723698307</v>
      </c>
      <c r="E15" s="126">
        <f t="shared" si="14"/>
        <v>3.9159072453306869E-3</v>
      </c>
      <c r="F15" s="126">
        <f t="shared" si="14"/>
        <v>0.44550602490901786</v>
      </c>
      <c r="G15" s="126">
        <f t="shared" si="14"/>
        <v>0.45663066648837008</v>
      </c>
      <c r="H15" s="126" t="e">
        <f t="shared" si="14"/>
        <v>#DIV/0!</v>
      </c>
      <c r="I15" s="126" t="e">
        <f t="shared" si="14"/>
        <v>#DIV/0!</v>
      </c>
      <c r="J15" s="126" t="e">
        <f t="shared" si="14"/>
        <v>#DIV/0!</v>
      </c>
      <c r="K15" s="126" t="e">
        <f t="shared" si="14"/>
        <v>#DIV/0!</v>
      </c>
      <c r="L15" s="126">
        <f t="shared" si="14"/>
        <v>0.57360269876562142</v>
      </c>
      <c r="M15" s="126">
        <f t="shared" si="14"/>
        <v>0.79393852965103273</v>
      </c>
      <c r="N15" s="126">
        <f t="shared" si="14"/>
        <v>0.55681818181818177</v>
      </c>
      <c r="O15" s="126">
        <f t="shared" si="14"/>
        <v>0.26454849498327759</v>
      </c>
      <c r="P15" s="126">
        <f t="shared" si="14"/>
        <v>0.59062698225146448</v>
      </c>
      <c r="Q15" s="126" t="e">
        <f t="shared" si="14"/>
        <v>#DIV/0!</v>
      </c>
      <c r="R15" s="126">
        <f t="shared" si="14"/>
        <v>0.51271186440677963</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0.45654790593026306</v>
      </c>
      <c r="AD15" s="126">
        <f t="shared" si="14"/>
        <v>0.12593811041431069</v>
      </c>
      <c r="AE15" s="126">
        <f t="shared" si="14"/>
        <v>7.14</v>
      </c>
      <c r="AF15" s="126">
        <f t="shared" si="14"/>
        <v>0.62206510138740667</v>
      </c>
      <c r="AG15" s="126" t="e">
        <f t="shared" si="14"/>
        <v>#DIV/0!</v>
      </c>
      <c r="AH15" s="126" t="e">
        <f t="shared" si="14"/>
        <v>#DIV/0!</v>
      </c>
      <c r="AI15" s="126" t="e">
        <f t="shared" ref="AI15:BJ15" si="15">AI14/AI11</f>
        <v>#DIV/0!</v>
      </c>
      <c r="AJ15" s="126">
        <f t="shared" si="15"/>
        <v>0.30907876537127915</v>
      </c>
      <c r="AK15" s="126">
        <f t="shared" si="15"/>
        <v>0.28581341891833284</v>
      </c>
      <c r="AL15" s="126" t="e">
        <f t="shared" si="15"/>
        <v>#DIV/0!</v>
      </c>
      <c r="AM15" s="126">
        <f t="shared" si="15"/>
        <v>2.1939651409782641</v>
      </c>
      <c r="AN15" s="126">
        <f t="shared" si="15"/>
        <v>0.43620917061926306</v>
      </c>
      <c r="AO15" s="126">
        <f t="shared" si="15"/>
        <v>-2.7227860301621498</v>
      </c>
      <c r="AP15" s="126" t="e">
        <f t="shared" si="15"/>
        <v>#DIV/0!</v>
      </c>
      <c r="AQ15" s="126" t="e">
        <f t="shared" si="15"/>
        <v>#DIV/0!</v>
      </c>
      <c r="AR15" s="126" t="e">
        <f t="shared" si="15"/>
        <v>#DIV/0!</v>
      </c>
      <c r="AS15" s="126" t="e">
        <f t="shared" si="15"/>
        <v>#DIV/0!</v>
      </c>
      <c r="AT15" s="126" t="e">
        <f t="shared" si="15"/>
        <v>#DIV/0!</v>
      </c>
      <c r="AU15" s="126">
        <f t="shared" si="15"/>
        <v>0</v>
      </c>
      <c r="AV15" s="126">
        <f t="shared" si="15"/>
        <v>0</v>
      </c>
      <c r="AW15" s="126">
        <f t="shared" si="15"/>
        <v>0.87437185929648242</v>
      </c>
      <c r="AX15" s="126">
        <f t="shared" si="15"/>
        <v>0</v>
      </c>
      <c r="AY15" s="126" t="e">
        <f t="shared" si="15"/>
        <v>#DIV/0!</v>
      </c>
      <c r="AZ15" s="126" t="e">
        <f t="shared" si="15"/>
        <v>#DIV/0!</v>
      </c>
      <c r="BA15" s="126" t="e">
        <f t="shared" si="15"/>
        <v>#DIV/0!</v>
      </c>
      <c r="BB15" s="126">
        <f t="shared" si="15"/>
        <v>0.72201646090534977</v>
      </c>
      <c r="BC15" s="126">
        <f t="shared" si="15"/>
        <v>0.72207589101983705</v>
      </c>
      <c r="BD15" s="126" t="e">
        <f t="shared" si="15"/>
        <v>#DIV/0!</v>
      </c>
      <c r="BE15" s="126">
        <f t="shared" si="15"/>
        <v>0.48342076610907653</v>
      </c>
      <c r="BF15" s="126">
        <f t="shared" si="15"/>
        <v>0.17237159771141317</v>
      </c>
      <c r="BG15" s="126">
        <f t="shared" si="15"/>
        <v>0.57447397635319597</v>
      </c>
      <c r="BH15" s="126">
        <f t="shared" si="15"/>
        <v>0.47816558748630689</v>
      </c>
      <c r="BI15" s="126">
        <f t="shared" si="15"/>
        <v>1.0629778451820697</v>
      </c>
      <c r="BJ15" s="126">
        <f t="shared" si="15"/>
        <v>0.47369581458978333</v>
      </c>
    </row>
    <row r="16" spans="1:63" ht="15.75" x14ac:dyDescent="0.2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137</v>
      </c>
      <c r="B17" s="11" t="s">
        <v>214</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x14ac:dyDescent="0.25">
      <c r="A18" s="128" t="s">
        <v>137</v>
      </c>
      <c r="B18" s="5" t="s">
        <v>211</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x14ac:dyDescent="0.25">
      <c r="A19" s="128"/>
      <c r="B19" s="132" t="s">
        <v>215</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x14ac:dyDescent="0.25">
      <c r="A20" s="128"/>
      <c r="B20" s="12" t="s">
        <v>212</v>
      </c>
      <c r="C20" s="9">
        <f>IF('Upto Month Current'!$D$4="",0,'Upto Month Current'!$D$4)</f>
        <v>425139</v>
      </c>
      <c r="D20" s="9">
        <f>IF('Upto Month Current'!$D$5="",0,'Upto Month Current'!$D$5)</f>
        <v>90234</v>
      </c>
      <c r="E20" s="9">
        <f>IF('Upto Month Current'!$D$6="",0,'Upto Month Current'!$D$6)</f>
        <v>52</v>
      </c>
      <c r="F20" s="9">
        <f>IF('Upto Month Current'!$D$7="",0,'Upto Month Current'!$D$7)</f>
        <v>49941</v>
      </c>
      <c r="G20" s="9">
        <f>IF('Upto Month Current'!$D$8="",0,'Upto Month Current'!$D$8)</f>
        <v>32013</v>
      </c>
      <c r="H20" s="9">
        <f>IF('Upto Month Current'!$D$9="",0,'Upto Month Current'!$D$9)</f>
        <v>0</v>
      </c>
      <c r="I20" s="9">
        <f>IF('Upto Month Current'!$D$10="",0,'Upto Month Current'!$D$10)</f>
        <v>0</v>
      </c>
      <c r="J20" s="9">
        <f>IF('Upto Month Current'!$D$11="",0,'Upto Month Current'!$D$11)</f>
        <v>0</v>
      </c>
      <c r="K20" s="9">
        <f>IF('Upto Month Current'!$D$12="",0,'Upto Month Current'!$D$12)</f>
        <v>542</v>
      </c>
      <c r="L20" s="9">
        <f>IF('Upto Month Current'!$D$13="",0,'Upto Month Current'!$D$13)</f>
        <v>3080</v>
      </c>
      <c r="M20" s="9">
        <f>IF('Upto Month Current'!$D$14="",0,'Upto Month Current'!$D$14)</f>
        <v>8207</v>
      </c>
      <c r="N20" s="9">
        <f>IF('Upto Month Current'!$D$15="",0,'Upto Month Current'!$D$15)</f>
        <v>56</v>
      </c>
      <c r="O20" s="9">
        <f>IF('Upto Month Current'!$D$16="",0,'Upto Month Current'!$D$16)</f>
        <v>593</v>
      </c>
      <c r="P20" s="9">
        <f>IF('Upto Month Current'!$D$17="",0,'Upto Month Current'!$D$17)</f>
        <v>3975</v>
      </c>
      <c r="Q20" s="9">
        <f>IF('Upto Month Current'!$D$18="",0,'Upto Month Current'!$D$18)</f>
        <v>0</v>
      </c>
      <c r="R20" s="9">
        <f>IF('Upto Month Current'!$D$21="",0,'Upto Month Current'!$D$21)</f>
        <v>559</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387</v>
      </c>
      <c r="Z20" s="9">
        <f>IF('Upto Month Current'!$D$43="",0,'Upto Month Current'!$D$43)</f>
        <v>37</v>
      </c>
      <c r="AA20" s="9">
        <f>IF('Upto Month Current'!$D$44="",0,'Upto Month Current'!$D$44)</f>
        <v>51</v>
      </c>
      <c r="AB20" s="9">
        <f>IF('Upto Month Current'!$D$51="",0,'Upto Month Current'!$D$51)</f>
        <v>47601</v>
      </c>
      <c r="AC20" s="121">
        <f t="shared" si="16"/>
        <v>662467</v>
      </c>
      <c r="AD20" s="9">
        <f>IF('Upto Month Current'!$D$19="",0,'Upto Month Current'!$D$19)</f>
        <v>373</v>
      </c>
      <c r="AE20" s="9">
        <f>IF('Upto Month Current'!$D$20="",0,'Upto Month Current'!$D$20)</f>
        <v>412</v>
      </c>
      <c r="AF20" s="9">
        <f>IF('Upto Month Current'!$D$22="",0,'Upto Month Current'!$D$22)</f>
        <v>0</v>
      </c>
      <c r="AG20" s="9">
        <f>IF('Upto Month Current'!$D$23="",0,'Upto Month Current'!$D$23)</f>
        <v>0</v>
      </c>
      <c r="AH20" s="9">
        <f>IF('Upto Month Current'!$D$24="",0,'Upto Month Current'!$D$24)</f>
        <v>0</v>
      </c>
      <c r="AI20" s="9">
        <f>IF('Upto Month Current'!$D$25="",0,'Upto Month Current'!$D$25)</f>
        <v>85</v>
      </c>
      <c r="AJ20" s="9">
        <f>IF('Upto Month Current'!$D$28="",0,'Upto Month Current'!$D$28)</f>
        <v>182839</v>
      </c>
      <c r="AK20" s="9">
        <f>IF('Upto Month Current'!$D$29="",0,'Upto Month Current'!$D$29)</f>
        <v>17767</v>
      </c>
      <c r="AL20" s="9">
        <f>IF('Upto Month Current'!$D$31="",0,'Upto Month Current'!$D$31)</f>
        <v>0</v>
      </c>
      <c r="AM20" s="9">
        <f>IF('Upto Month Current'!$D$32="",0,'Upto Month Current'!$D$32)</f>
        <v>100</v>
      </c>
      <c r="AN20" s="9">
        <f>IF('Upto Month Current'!$D$33="",0,'Upto Month Current'!$D$33)</f>
        <v>26630</v>
      </c>
      <c r="AO20" s="9">
        <f>IF('Upto Month Current'!$D$34="",0,'Upto Month Current'!$D$34)</f>
        <v>30862</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153</v>
      </c>
      <c r="AY20" s="9">
        <f>IF('Upto Month Current'!$D$49="",0,'Upto Month Current'!$D$49)</f>
        <v>0</v>
      </c>
      <c r="AZ20" s="9">
        <f>IF('Upto Month Current'!$D$50="",0,'Upto Month Current'!$D$50)</f>
        <v>0</v>
      </c>
      <c r="BA20" s="9">
        <f>IF('Upto Month Current'!$D$52="",0,'Upto Month Current'!$D$52)</f>
        <v>114084</v>
      </c>
      <c r="BB20" s="9">
        <f>IF('Upto Month Current'!$D$53="",0,'Upto Month Current'!$D$53)</f>
        <v>1089</v>
      </c>
      <c r="BC20" s="9">
        <f>IF('Upto Month Current'!$D$54="",0,'Upto Month Current'!$D$54)</f>
        <v>1089</v>
      </c>
      <c r="BD20" s="9">
        <f>IF('Upto Month Current'!$D$55="",0,'Upto Month Current'!$D$55)</f>
        <v>0</v>
      </c>
      <c r="BE20" s="9">
        <f>IF('Upto Month Current'!$D$56="",0,'Upto Month Current'!$D$56)</f>
        <v>2910</v>
      </c>
      <c r="BF20" s="9">
        <f>IF('Upto Month Current'!$D$58="",0,'Upto Month Current'!$D$58)</f>
        <v>158</v>
      </c>
      <c r="BG20" s="122">
        <f t="shared" si="18"/>
        <v>378551</v>
      </c>
      <c r="BH20" s="123">
        <f t="shared" si="19"/>
        <v>1041018</v>
      </c>
      <c r="BI20" s="9">
        <f>IF('Upto Month Current'!$D$60="",0,'Upto Month Current'!$D$60)</f>
        <v>17313</v>
      </c>
      <c r="BJ20" s="124">
        <f t="shared" si="17"/>
        <v>1023705</v>
      </c>
      <c r="BK20">
        <f>'Upto Month Current'!$D$61</f>
        <v>1023704</v>
      </c>
    </row>
    <row r="21" spans="1:63" ht="15.75" x14ac:dyDescent="0.25">
      <c r="A21" s="128"/>
      <c r="B21" s="5" t="s">
        <v>210</v>
      </c>
      <c r="C21" s="126">
        <f t="shared" ref="C21:AH21" si="22">C20/C17</f>
        <v>0.53762525734345679</v>
      </c>
      <c r="D21" s="126">
        <f t="shared" si="22"/>
        <v>0.5639484012899677</v>
      </c>
      <c r="E21" s="126">
        <f t="shared" si="22"/>
        <v>1.163623344074472E-3</v>
      </c>
      <c r="F21" s="126">
        <f t="shared" si="22"/>
        <v>0.52880634470198329</v>
      </c>
      <c r="G21" s="126">
        <f t="shared" si="22"/>
        <v>0.46384224176652128</v>
      </c>
      <c r="H21" s="126" t="e">
        <f t="shared" si="22"/>
        <v>#DIV/0!</v>
      </c>
      <c r="I21" s="126" t="e">
        <f t="shared" si="22"/>
        <v>#DIV/0!</v>
      </c>
      <c r="J21" s="126" t="e">
        <f t="shared" si="22"/>
        <v>#DIV/0!</v>
      </c>
      <c r="K21" s="126">
        <f t="shared" si="22"/>
        <v>0.66748768472906406</v>
      </c>
      <c r="L21" s="126">
        <f t="shared" si="22"/>
        <v>0.40865065675998408</v>
      </c>
      <c r="M21" s="126">
        <f t="shared" si="22"/>
        <v>1.2227353992848629</v>
      </c>
      <c r="N21" s="126">
        <f t="shared" si="22"/>
        <v>3.7333333333333334</v>
      </c>
      <c r="O21" s="126">
        <f t="shared" si="22"/>
        <v>0.21642335766423357</v>
      </c>
      <c r="P21" s="126">
        <f t="shared" si="22"/>
        <v>0.32087504036164027</v>
      </c>
      <c r="Q21" s="126" t="e">
        <f t="shared" si="22"/>
        <v>#DIV/0!</v>
      </c>
      <c r="R21" s="126">
        <f t="shared" si="22"/>
        <v>0.37949762389680924</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0.1543672696376337</v>
      </c>
      <c r="AC21" s="126">
        <f t="shared" si="22"/>
        <v>0.43993420248739568</v>
      </c>
      <c r="AD21" s="126">
        <f t="shared" si="22"/>
        <v>0.56174698795180722</v>
      </c>
      <c r="AE21" s="126" t="e">
        <f t="shared" si="22"/>
        <v>#DIV/0!</v>
      </c>
      <c r="AF21" s="126">
        <f t="shared" si="22"/>
        <v>0</v>
      </c>
      <c r="AG21" s="126" t="e">
        <f t="shared" si="22"/>
        <v>#DIV/0!</v>
      </c>
      <c r="AH21" s="126" t="e">
        <f t="shared" si="22"/>
        <v>#DIV/0!</v>
      </c>
      <c r="AI21" s="126" t="e">
        <f t="shared" ref="AI21:BJ21" si="23">AI20/AI17</f>
        <v>#DIV/0!</v>
      </c>
      <c r="AJ21" s="126">
        <f t="shared" si="23"/>
        <v>0.54413130170823165</v>
      </c>
      <c r="AK21" s="126">
        <f t="shared" si="23"/>
        <v>0.18121825340160339</v>
      </c>
      <c r="AL21" s="126" t="e">
        <f t="shared" si="23"/>
        <v>#DIV/0!</v>
      </c>
      <c r="AM21" s="126" t="e">
        <f t="shared" si="23"/>
        <v>#DIV/0!</v>
      </c>
      <c r="AN21" s="126">
        <f t="shared" si="23"/>
        <v>0.25664748797717835</v>
      </c>
      <c r="AO21" s="126">
        <f t="shared" si="23"/>
        <v>0.29889977918103283</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2.4285714285714284</v>
      </c>
      <c r="AY21" s="126" t="e">
        <f t="shared" si="23"/>
        <v>#DIV/0!</v>
      </c>
      <c r="AZ21" s="126" t="e">
        <f t="shared" si="23"/>
        <v>#DIV/0!</v>
      </c>
      <c r="BA21" s="126">
        <f t="shared" si="23"/>
        <v>0.49418032964414893</v>
      </c>
      <c r="BB21" s="126">
        <f t="shared" si="23"/>
        <v>0.42307692307692307</v>
      </c>
      <c r="BC21" s="126">
        <f t="shared" si="23"/>
        <v>0.42307692307692307</v>
      </c>
      <c r="BD21" s="126" t="e">
        <f t="shared" si="23"/>
        <v>#DIV/0!</v>
      </c>
      <c r="BE21" s="126">
        <f t="shared" si="23"/>
        <v>0.78521316783594175</v>
      </c>
      <c r="BF21" s="126">
        <f t="shared" si="23"/>
        <v>0.17536071032186459</v>
      </c>
      <c r="BG21" s="126">
        <f t="shared" si="23"/>
        <v>0.4287557225797537</v>
      </c>
      <c r="BH21" s="126">
        <f t="shared" si="23"/>
        <v>0.43580250324648412</v>
      </c>
      <c r="BI21" s="126">
        <f t="shared" si="23"/>
        <v>0.24265571564725011</v>
      </c>
      <c r="BJ21" s="126">
        <f t="shared" si="23"/>
        <v>0.4417491229357165</v>
      </c>
    </row>
    <row r="22" spans="1:63" ht="15.75" x14ac:dyDescent="0.2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138</v>
      </c>
      <c r="B23" s="11" t="s">
        <v>214</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x14ac:dyDescent="0.25">
      <c r="A24" s="128" t="s">
        <v>138</v>
      </c>
      <c r="B24" s="5" t="s">
        <v>211</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x14ac:dyDescent="0.2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x14ac:dyDescent="0.25">
      <c r="A26" s="128"/>
      <c r="B26" s="12" t="s">
        <v>212</v>
      </c>
      <c r="C26" s="9">
        <f>IF('Upto Month Current'!$E$4="",0,'Upto Month Current'!$E$4)</f>
        <v>671248</v>
      </c>
      <c r="D26" s="9">
        <f>IF('Upto Month Current'!$E$5="",0,'Upto Month Current'!$E$5)</f>
        <v>142018</v>
      </c>
      <c r="E26" s="9">
        <f>IF('Upto Month Current'!$E$6="",0,'Upto Month Current'!$E$6)</f>
        <v>169</v>
      </c>
      <c r="F26" s="9">
        <f>IF('Upto Month Current'!$E$7="",0,'Upto Month Current'!$E$7)</f>
        <v>77685</v>
      </c>
      <c r="G26" s="9">
        <f>IF('Upto Month Current'!$E$8="",0,'Upto Month Current'!$E$8)</f>
        <v>40518</v>
      </c>
      <c r="H26" s="9">
        <f>IF('Upto Month Current'!$E$9="",0,'Upto Month Current'!$E$9)</f>
        <v>0</v>
      </c>
      <c r="I26" s="9">
        <f>IF('Upto Month Current'!$E$10="",0,'Upto Month Current'!$E$10)</f>
        <v>0</v>
      </c>
      <c r="J26" s="9">
        <f>IF('Upto Month Current'!$E$11="",0,'Upto Month Current'!$E$11)</f>
        <v>0</v>
      </c>
      <c r="K26" s="9">
        <f>IF('Upto Month Current'!$E$12="",0,'Upto Month Current'!$E$12)</f>
        <v>416</v>
      </c>
      <c r="L26" s="9">
        <f>IF('Upto Month Current'!$E$13="",0,'Upto Month Current'!$E$13)</f>
        <v>12610</v>
      </c>
      <c r="M26" s="9">
        <f>IF('Upto Month Current'!$E$14="",0,'Upto Month Current'!$E$14)</f>
        <v>21852</v>
      </c>
      <c r="N26" s="9">
        <f>IF('Upto Month Current'!$E$15="",0,'Upto Month Current'!$E$15)</f>
        <v>67</v>
      </c>
      <c r="O26" s="9">
        <f>IF('Upto Month Current'!$E$16="",0,'Upto Month Current'!$E$16)</f>
        <v>1084</v>
      </c>
      <c r="P26" s="9">
        <f>IF('Upto Month Current'!$E$17="",0,'Upto Month Current'!$E$17)</f>
        <v>14888</v>
      </c>
      <c r="Q26" s="9">
        <f>IF('Upto Month Current'!$E$18="",0,'Upto Month Current'!$E$18)</f>
        <v>0</v>
      </c>
      <c r="R26" s="9">
        <f>IF('Upto Month Current'!$E$21="",0,'Upto Month Current'!$E$21)</f>
        <v>1427</v>
      </c>
      <c r="S26" s="9">
        <f>IF('Upto Month Current'!$E$26="",0,'Upto Month Current'!$E$26)</f>
        <v>0</v>
      </c>
      <c r="T26" s="9">
        <f>IF('Upto Month Current'!$E$27="",0,'Upto Month Current'!$E$27)</f>
        <v>0</v>
      </c>
      <c r="U26" s="9">
        <f>IF('Upto Month Current'!$E$30="",0,'Upto Month Current'!$E$30)</f>
        <v>0</v>
      </c>
      <c r="V26" s="9">
        <f>IF('Upto Month Current'!$E$35="",0,'Upto Month Current'!$E$35)</f>
        <v>176046</v>
      </c>
      <c r="W26" s="9">
        <f>IF('Upto Month Current'!$E$39="",0,'Upto Month Current'!$E$39)</f>
        <v>0</v>
      </c>
      <c r="X26" s="9">
        <f>IF('Upto Month Current'!$E$40="",0,'Upto Month Current'!$E$40)</f>
        <v>0</v>
      </c>
      <c r="Y26" s="9">
        <f>IF('Upto Month Current'!$E$42="",0,'Upto Month Current'!$E$42)</f>
        <v>10261</v>
      </c>
      <c r="Z26" s="9">
        <f>IF('Upto Month Current'!$E$43="",0,'Upto Month Current'!$E$43)</f>
        <v>1000</v>
      </c>
      <c r="AA26" s="9">
        <f>IF('Upto Month Current'!$E$44="",0,'Upto Month Current'!$E$44)</f>
        <v>726</v>
      </c>
      <c r="AB26" s="9">
        <f>IF('Upto Month Current'!$E$51="",0,'Upto Month Current'!$E$51)</f>
        <v>532927</v>
      </c>
      <c r="AC26" s="121">
        <f t="shared" si="24"/>
        <v>1704942</v>
      </c>
      <c r="AD26" s="9">
        <f>IF('Upto Month Current'!$E$19="",0,'Upto Month Current'!$E$19)</f>
        <v>184</v>
      </c>
      <c r="AE26" s="9">
        <f>IF('Upto Month Current'!$E$20="",0,'Upto Month Current'!$E$20)</f>
        <v>131</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110039</v>
      </c>
      <c r="AK26" s="9">
        <f>IF('Upto Month Current'!$E$29="",0,'Upto Month Current'!$E$29)</f>
        <v>5481</v>
      </c>
      <c r="AL26" s="9">
        <f>IF('Upto Month Current'!$E$31="",0,'Upto Month Current'!$E$31)</f>
        <v>82</v>
      </c>
      <c r="AM26" s="9">
        <f>IF('Upto Month Current'!$E$32="",0,'Upto Month Current'!$E$32)</f>
        <v>0</v>
      </c>
      <c r="AN26" s="9">
        <f>IF('Upto Month Current'!$E$33="",0,'Upto Month Current'!$E$33)</f>
        <v>45362</v>
      </c>
      <c r="AO26" s="9">
        <f>IF('Upto Month Current'!$E$34="",0,'Upto Month Current'!$E$34)</f>
        <v>11150</v>
      </c>
      <c r="AP26" s="9">
        <f>IF('Upto Month Current'!$E$36="",0,'Upto Month Current'!$E$36)</f>
        <v>142709</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138</v>
      </c>
      <c r="AY26" s="9">
        <f>IF('Upto Month Current'!$E$49="",0,'Upto Month Current'!$E$49)</f>
        <v>0</v>
      </c>
      <c r="AZ26" s="9">
        <f>IF('Upto Month Current'!$E$50="",0,'Upto Month Current'!$E$50)</f>
        <v>0</v>
      </c>
      <c r="BA26" s="9">
        <f>IF('Upto Month Current'!$E$52="",0,'Upto Month Current'!$E$52)</f>
        <v>463607</v>
      </c>
      <c r="BB26" s="9">
        <f>IF('Upto Month Current'!$E$53="",0,'Upto Month Current'!$E$53)</f>
        <v>982</v>
      </c>
      <c r="BC26" s="9">
        <f>IF('Upto Month Current'!$E$54="",0,'Upto Month Current'!$E$54)</f>
        <v>982</v>
      </c>
      <c r="BD26" s="9">
        <f>IF('Upto Month Current'!$E$55="",0,'Upto Month Current'!$E$55)</f>
        <v>0</v>
      </c>
      <c r="BE26" s="9">
        <f>IF('Upto Month Current'!$E$56="",0,'Upto Month Current'!$E$56)</f>
        <v>5123</v>
      </c>
      <c r="BF26" s="9">
        <f>IF('Upto Month Current'!$E$58="",0,'Upto Month Current'!$E$58)</f>
        <v>-17</v>
      </c>
      <c r="BG26" s="122">
        <f t="shared" si="26"/>
        <v>785953</v>
      </c>
      <c r="BH26" s="123">
        <f t="shared" si="27"/>
        <v>2490895</v>
      </c>
      <c r="BI26" s="9">
        <f>IF('Upto Month Current'!$E$60="",0,'Upto Month Current'!$E$60)</f>
        <v>10178</v>
      </c>
      <c r="BJ26" s="124">
        <f t="shared" si="25"/>
        <v>2480717</v>
      </c>
      <c r="BK26">
        <f>'Upto Month Current'!$E$61</f>
        <v>2480771</v>
      </c>
    </row>
    <row r="27" spans="1:63" ht="15.75" x14ac:dyDescent="0.25">
      <c r="A27" s="128"/>
      <c r="B27" s="5" t="s">
        <v>210</v>
      </c>
      <c r="C27" s="126">
        <f t="shared" ref="C27:AH27" si="30">C26/C23</f>
        <v>0.47030665837102803</v>
      </c>
      <c r="D27" s="126">
        <f t="shared" si="30"/>
        <v>0.56773590034699462</v>
      </c>
      <c r="E27" s="126">
        <f t="shared" si="30"/>
        <v>2.5521761454589385E-3</v>
      </c>
      <c r="F27" s="126">
        <f t="shared" si="30"/>
        <v>0.45640679161036368</v>
      </c>
      <c r="G27" s="126">
        <f t="shared" si="30"/>
        <v>0.45923675888880072</v>
      </c>
      <c r="H27" s="126" t="e">
        <f t="shared" si="30"/>
        <v>#DIV/0!</v>
      </c>
      <c r="I27" s="126" t="e">
        <f t="shared" si="30"/>
        <v>#DIV/0!</v>
      </c>
      <c r="J27" s="126" t="e">
        <f t="shared" si="30"/>
        <v>#DIV/0!</v>
      </c>
      <c r="K27" s="126">
        <f t="shared" si="30"/>
        <v>0.16889971579374746</v>
      </c>
      <c r="L27" s="126">
        <f t="shared" si="30"/>
        <v>0.40819629677586428</v>
      </c>
      <c r="M27" s="126">
        <f t="shared" si="30"/>
        <v>1.2794660108905673</v>
      </c>
      <c r="N27" s="126">
        <f t="shared" si="30"/>
        <v>0.52755905511811019</v>
      </c>
      <c r="O27" s="126">
        <f t="shared" si="30"/>
        <v>0.39119451461566224</v>
      </c>
      <c r="P27" s="126">
        <f t="shared" si="30"/>
        <v>0.74611606695399424</v>
      </c>
      <c r="Q27" s="126" t="e">
        <f t="shared" si="30"/>
        <v>#DIV/0!</v>
      </c>
      <c r="R27" s="126">
        <f t="shared" si="30"/>
        <v>0.67343086361491267</v>
      </c>
      <c r="S27" s="126" t="e">
        <f t="shared" si="30"/>
        <v>#DIV/0!</v>
      </c>
      <c r="T27" s="126" t="e">
        <f t="shared" si="30"/>
        <v>#DIV/0!</v>
      </c>
      <c r="U27" s="126" t="e">
        <f t="shared" si="30"/>
        <v>#DIV/0!</v>
      </c>
      <c r="V27" s="126">
        <f t="shared" si="30"/>
        <v>0.59982623213342645</v>
      </c>
      <c r="W27" s="126" t="e">
        <f t="shared" si="30"/>
        <v>#DIV/0!</v>
      </c>
      <c r="X27" s="126" t="e">
        <f t="shared" si="30"/>
        <v>#DIV/0!</v>
      </c>
      <c r="Y27" s="126">
        <f t="shared" si="30"/>
        <v>30.448071216617212</v>
      </c>
      <c r="Z27" s="126">
        <f t="shared" si="30"/>
        <v>45.454545454545453</v>
      </c>
      <c r="AA27" s="126">
        <f t="shared" si="30"/>
        <v>14.235294117647058</v>
      </c>
      <c r="AB27" s="126">
        <f t="shared" si="30"/>
        <v>0.38502168843216189</v>
      </c>
      <c r="AC27" s="126">
        <f t="shared" si="30"/>
        <v>0.45398305800077166</v>
      </c>
      <c r="AD27" s="126">
        <f t="shared" si="30"/>
        <v>0.12628689087165409</v>
      </c>
      <c r="AE27" s="126">
        <f t="shared" si="30"/>
        <v>2.2203389830508473</v>
      </c>
      <c r="AF27" s="126" t="e">
        <f t="shared" si="30"/>
        <v>#DIV/0!</v>
      </c>
      <c r="AG27" s="126" t="e">
        <f t="shared" si="30"/>
        <v>#DIV/0!</v>
      </c>
      <c r="AH27" s="126" t="e">
        <f t="shared" si="30"/>
        <v>#DIV/0!</v>
      </c>
      <c r="AI27" s="126" t="e">
        <f t="shared" ref="AI27:BJ27" si="31">AI26/AI23</f>
        <v>#DIV/0!</v>
      </c>
      <c r="AJ27" s="126">
        <f t="shared" si="31"/>
        <v>0.65730243115703957</v>
      </c>
      <c r="AK27" s="126">
        <f t="shared" si="31"/>
        <v>0.17113150992881229</v>
      </c>
      <c r="AL27" s="126">
        <f t="shared" si="31"/>
        <v>0.21134020618556701</v>
      </c>
      <c r="AM27" s="126" t="e">
        <f t="shared" si="31"/>
        <v>#DIV/0!</v>
      </c>
      <c r="AN27" s="126">
        <f t="shared" si="31"/>
        <v>0.37443148519591579</v>
      </c>
      <c r="AO27" s="126">
        <f t="shared" si="31"/>
        <v>0.26910266930540139</v>
      </c>
      <c r="AP27" s="126">
        <f t="shared" si="31"/>
        <v>2.1129240017174755</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0.88281712669834045</v>
      </c>
      <c r="BB27" s="126">
        <f t="shared" si="31"/>
        <v>0.85391304347826091</v>
      </c>
      <c r="BC27" s="126">
        <f t="shared" si="31"/>
        <v>0.85391304347826091</v>
      </c>
      <c r="BD27" s="126" t="e">
        <f t="shared" si="31"/>
        <v>#DIV/0!</v>
      </c>
      <c r="BE27" s="126">
        <f t="shared" si="31"/>
        <v>2.4570743405275781</v>
      </c>
      <c r="BF27" s="126">
        <f t="shared" si="31"/>
        <v>-3.3797216699801194E-2</v>
      </c>
      <c r="BG27" s="126">
        <f t="shared" si="31"/>
        <v>0.81742466710833817</v>
      </c>
      <c r="BH27" s="126">
        <f t="shared" si="31"/>
        <v>0.52806561263917162</v>
      </c>
      <c r="BI27" s="126">
        <f t="shared" si="31"/>
        <v>9.6932410167522215E-2</v>
      </c>
      <c r="BJ27" s="126">
        <f t="shared" si="31"/>
        <v>0.53788114831320011</v>
      </c>
    </row>
    <row r="28" spans="1:63" ht="15.75" x14ac:dyDescent="0.2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139</v>
      </c>
      <c r="B29" s="11" t="s">
        <v>214</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x14ac:dyDescent="0.25">
      <c r="A30" s="128" t="s">
        <v>139</v>
      </c>
      <c r="B30" s="5" t="s">
        <v>211</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x14ac:dyDescent="0.2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x14ac:dyDescent="0.25">
      <c r="A32" s="128"/>
      <c r="B32" s="12" t="s">
        <v>212</v>
      </c>
      <c r="C32" s="9">
        <f>IF('Upto Month Current'!$F$4="",0,'Upto Month Current'!$F$4)</f>
        <v>995500</v>
      </c>
      <c r="D32" s="9">
        <f>IF('Upto Month Current'!$F$5="",0,'Upto Month Current'!$F$5)</f>
        <v>212342</v>
      </c>
      <c r="E32" s="9">
        <f>IF('Upto Month Current'!$F$6="",0,'Upto Month Current'!$F$6)</f>
        <v>181</v>
      </c>
      <c r="F32" s="9">
        <f>IF('Upto Month Current'!$F$7="",0,'Upto Month Current'!$F$7)</f>
        <v>84344</v>
      </c>
      <c r="G32" s="9">
        <f>IF('Upto Month Current'!$F$8="",0,'Upto Month Current'!$F$8)</f>
        <v>58240</v>
      </c>
      <c r="H32" s="9">
        <f>IF('Upto Month Current'!$F$9="",0,'Upto Month Current'!$F$9)</f>
        <v>0</v>
      </c>
      <c r="I32" s="9">
        <f>IF('Upto Month Current'!$F$10="",0,'Upto Month Current'!$F$10)</f>
        <v>0</v>
      </c>
      <c r="J32" s="9">
        <f>IF('Upto Month Current'!$F$11="",0,'Upto Month Current'!$F$11)</f>
        <v>1043</v>
      </c>
      <c r="K32" s="9">
        <f>IF('Upto Month Current'!$F$12="",0,'Upto Month Current'!$F$12)</f>
        <v>266</v>
      </c>
      <c r="L32" s="9">
        <f>IF('Upto Month Current'!$F$13="",0,'Upto Month Current'!$F$13)</f>
        <v>12002</v>
      </c>
      <c r="M32" s="9">
        <f>IF('Upto Month Current'!$F$14="",0,'Upto Month Current'!$F$14)</f>
        <v>32007</v>
      </c>
      <c r="N32" s="9">
        <f>IF('Upto Month Current'!$F$15="",0,'Upto Month Current'!$F$15)</f>
        <v>45</v>
      </c>
      <c r="O32" s="9">
        <f>IF('Upto Month Current'!$F$16="",0,'Upto Month Current'!$F$16)</f>
        <v>2356</v>
      </c>
      <c r="P32" s="9">
        <f>IF('Upto Month Current'!$F$17="",0,'Upto Month Current'!$F$17)</f>
        <v>96671</v>
      </c>
      <c r="Q32" s="9">
        <f>IF('Upto Month Current'!$F$18="",0,'Upto Month Current'!$F$18)</f>
        <v>0</v>
      </c>
      <c r="R32" s="9">
        <f>IF('Upto Month Current'!$F$21="",0,'Upto Month Current'!$F$21)</f>
        <v>2613</v>
      </c>
      <c r="S32" s="9">
        <f>IF('Upto Month Current'!$F$26="",0,'Upto Month Current'!$F$26)</f>
        <v>0</v>
      </c>
      <c r="T32" s="9">
        <f>IF('Upto Month Current'!$F$27="",0,'Upto Month Current'!$F$27)</f>
        <v>0</v>
      </c>
      <c r="U32" s="9">
        <f>IF('Upto Month Current'!$F$30="",0,'Upto Month Current'!$F$30)</f>
        <v>0</v>
      </c>
      <c r="V32" s="9">
        <f>IF('Upto Month Current'!$F$35="",0,'Upto Month Current'!$F$35)</f>
        <v>4867</v>
      </c>
      <c r="W32" s="9">
        <f>IF('Upto Month Current'!$F$39="",0,'Upto Month Current'!$F$39)</f>
        <v>0</v>
      </c>
      <c r="X32" s="9">
        <f>IF('Upto Month Current'!$F$40="",0,'Upto Month Current'!$F$40)</f>
        <v>0</v>
      </c>
      <c r="Y32" s="9">
        <f>IF('Upto Month Current'!$F$42="",0,'Upto Month Current'!$F$42)</f>
        <v>10651</v>
      </c>
      <c r="Z32" s="9">
        <f>IF('Upto Month Current'!$F$43="",0,'Upto Month Current'!$F$43)</f>
        <v>1105</v>
      </c>
      <c r="AA32" s="9">
        <f>IF('Upto Month Current'!$F$44="",0,'Upto Month Current'!$F$44)</f>
        <v>916</v>
      </c>
      <c r="AB32" s="9">
        <f>IF('Upto Month Current'!$F$51="",0,'Upto Month Current'!$F$51)</f>
        <v>0</v>
      </c>
      <c r="AC32" s="121">
        <f t="shared" si="32"/>
        <v>1515149</v>
      </c>
      <c r="AD32" s="9">
        <f>IF('Upto Month Current'!$F$19="",0,'Upto Month Current'!$F$19)</f>
        <v>1303</v>
      </c>
      <c r="AE32" s="9">
        <f>IF('Upto Month Current'!$F$20="",0,'Upto Month Current'!$F$20)</f>
        <v>7867</v>
      </c>
      <c r="AF32" s="9">
        <f>IF('Upto Month Current'!$F$22="",0,'Upto Month Current'!$F$22)</f>
        <v>1687</v>
      </c>
      <c r="AG32" s="9">
        <f>IF('Upto Month Current'!$F$23="",0,'Upto Month Current'!$F$23)</f>
        <v>0</v>
      </c>
      <c r="AH32" s="9">
        <f>IF('Upto Month Current'!$F$24="",0,'Upto Month Current'!$F$24)</f>
        <v>0</v>
      </c>
      <c r="AI32" s="9">
        <f>IF('Upto Month Current'!$F$25="",0,'Upto Month Current'!$F$25)</f>
        <v>222</v>
      </c>
      <c r="AJ32" s="9">
        <f>IF('Upto Month Current'!$F$28="",0,'Upto Month Current'!$F$28)</f>
        <v>105488</v>
      </c>
      <c r="AK32" s="9">
        <f>IF('Upto Month Current'!$F$29="",0,'Upto Month Current'!$F$29)</f>
        <v>95279</v>
      </c>
      <c r="AL32" s="9">
        <f>IF('Upto Month Current'!$F$31="",0,'Upto Month Current'!$F$31)</f>
        <v>0</v>
      </c>
      <c r="AM32" s="9">
        <f>IF('Upto Month Current'!$F$32="",0,'Upto Month Current'!$F$32)</f>
        <v>1046</v>
      </c>
      <c r="AN32" s="9">
        <f>IF('Upto Month Current'!$F$33="",0,'Upto Month Current'!$F$33)</f>
        <v>326147</v>
      </c>
      <c r="AO32" s="9">
        <f>IF('Upto Month Current'!$F$34="",0,'Upto Month Current'!$F$34)</f>
        <v>-5332</v>
      </c>
      <c r="AP32" s="9">
        <f>IF('Upto Month Current'!$F$36="",0,'Upto Month Current'!$F$36)</f>
        <v>14747</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10416</v>
      </c>
      <c r="BC32" s="9">
        <f>IF('Upto Month Current'!$F$54="",0,'Upto Month Current'!$F$54)</f>
        <v>10416</v>
      </c>
      <c r="BD32" s="9">
        <f>IF('Upto Month Current'!$F$55="",0,'Upto Month Current'!$F$55)</f>
        <v>0</v>
      </c>
      <c r="BE32" s="9">
        <f>IF('Upto Month Current'!$F$56="",0,'Upto Month Current'!$F$56)</f>
        <v>32330</v>
      </c>
      <c r="BF32" s="9">
        <f>IF('Upto Month Current'!$F$58="",0,'Upto Month Current'!$F$58)</f>
        <v>154891</v>
      </c>
      <c r="BG32" s="122">
        <f t="shared" si="34"/>
        <v>756507</v>
      </c>
      <c r="BH32" s="123">
        <f t="shared" si="35"/>
        <v>2271656</v>
      </c>
      <c r="BI32" s="9">
        <f>IF('Upto Month Current'!$F$60="",0,'Upto Month Current'!$F$60)</f>
        <v>30656</v>
      </c>
      <c r="BJ32" s="124">
        <f t="shared" si="33"/>
        <v>2241000</v>
      </c>
      <c r="BK32">
        <f>'Upto Month Current'!$F$61</f>
        <v>2241039</v>
      </c>
    </row>
    <row r="33" spans="1:63" ht="15.75" x14ac:dyDescent="0.25">
      <c r="A33" s="128"/>
      <c r="B33" s="5" t="s">
        <v>210</v>
      </c>
      <c r="C33" s="126">
        <f t="shared" ref="C33:AH33" si="38">C32/C29</f>
        <v>0.39647612182231656</v>
      </c>
      <c r="D33" s="126">
        <f t="shared" si="38"/>
        <v>0.54186294574276428</v>
      </c>
      <c r="E33" s="126">
        <f t="shared" si="38"/>
        <v>1.422061596480201E-3</v>
      </c>
      <c r="F33" s="126">
        <f t="shared" si="38"/>
        <v>0.43028701445785589</v>
      </c>
      <c r="G33" s="126">
        <f t="shared" si="38"/>
        <v>0.43101151534886473</v>
      </c>
      <c r="H33" s="126" t="e">
        <f t="shared" si="38"/>
        <v>#DIV/0!</v>
      </c>
      <c r="I33" s="126" t="e">
        <f t="shared" si="38"/>
        <v>#DIV/0!</v>
      </c>
      <c r="J33" s="126">
        <f t="shared" si="38"/>
        <v>0.94732061762034514</v>
      </c>
      <c r="K33" s="126">
        <f t="shared" si="38"/>
        <v>0.18382861091914304</v>
      </c>
      <c r="L33" s="126">
        <f t="shared" si="38"/>
        <v>0.40355065397935508</v>
      </c>
      <c r="M33" s="126">
        <f t="shared" si="38"/>
        <v>0.65519641358416414</v>
      </c>
      <c r="N33" s="126">
        <f t="shared" si="38"/>
        <v>0.18292682926829268</v>
      </c>
      <c r="O33" s="126">
        <f t="shared" si="38"/>
        <v>0.38660978011158514</v>
      </c>
      <c r="P33" s="126">
        <f t="shared" si="38"/>
        <v>0.60616378229245049</v>
      </c>
      <c r="Q33" s="126" t="e">
        <f t="shared" si="38"/>
        <v>#DIV/0!</v>
      </c>
      <c r="R33" s="126">
        <f t="shared" si="38"/>
        <v>0.6767676767676768</v>
      </c>
      <c r="S33" s="126" t="e">
        <f t="shared" si="38"/>
        <v>#DIV/0!</v>
      </c>
      <c r="T33" s="126" t="e">
        <f t="shared" si="38"/>
        <v>#DIV/0!</v>
      </c>
      <c r="U33" s="126" t="e">
        <f t="shared" si="38"/>
        <v>#DIV/0!</v>
      </c>
      <c r="V33" s="126">
        <f t="shared" si="38"/>
        <v>0.26681651225261771</v>
      </c>
      <c r="W33" s="126" t="e">
        <f t="shared" si="38"/>
        <v>#DIV/0!</v>
      </c>
      <c r="X33" s="126" t="e">
        <f t="shared" si="38"/>
        <v>#DIV/0!</v>
      </c>
      <c r="Y33" s="126">
        <f t="shared" si="38"/>
        <v>17.546952224052717</v>
      </c>
      <c r="Z33" s="126" t="e">
        <f t="shared" si="38"/>
        <v>#DIV/0!</v>
      </c>
      <c r="AA33" s="126">
        <f t="shared" si="38"/>
        <v>229</v>
      </c>
      <c r="AB33" s="126" t="e">
        <f t="shared" si="38"/>
        <v>#DIV/0!</v>
      </c>
      <c r="AC33" s="126">
        <f t="shared" si="38"/>
        <v>0.41729996840950534</v>
      </c>
      <c r="AD33" s="126">
        <f t="shared" si="38"/>
        <v>0.25725567620927936</v>
      </c>
      <c r="AE33" s="126">
        <f t="shared" si="38"/>
        <v>0.31900571752970275</v>
      </c>
      <c r="AF33" s="126">
        <f t="shared" si="38"/>
        <v>0.30835313471029063</v>
      </c>
      <c r="AG33" s="126" t="e">
        <f t="shared" si="38"/>
        <v>#DIV/0!</v>
      </c>
      <c r="AH33" s="126" t="e">
        <f t="shared" si="38"/>
        <v>#DIV/0!</v>
      </c>
      <c r="AI33" s="126">
        <f t="shared" ref="AI33:BJ33" si="39">AI32/AI29</f>
        <v>1.7619047619047619</v>
      </c>
      <c r="AJ33" s="126">
        <f t="shared" si="39"/>
        <v>0.46935915176485771</v>
      </c>
      <c r="AK33" s="126">
        <f t="shared" si="39"/>
        <v>0.24523387289812959</v>
      </c>
      <c r="AL33" s="126" t="e">
        <f t="shared" si="39"/>
        <v>#DIV/0!</v>
      </c>
      <c r="AM33" s="126">
        <f t="shared" si="39"/>
        <v>0.80834621329211742</v>
      </c>
      <c r="AN33" s="126">
        <f t="shared" si="39"/>
        <v>0.63880874734357707</v>
      </c>
      <c r="AO33" s="126">
        <f t="shared" si="39"/>
        <v>-2.8176456910947178E-2</v>
      </c>
      <c r="AP33" s="126">
        <f t="shared" si="39"/>
        <v>0.91550782220014904</v>
      </c>
      <c r="AQ33" s="126" t="e">
        <f t="shared" si="39"/>
        <v>#DIV/0!</v>
      </c>
      <c r="AR33" s="126" t="e">
        <f t="shared" si="39"/>
        <v>#DIV/0!</v>
      </c>
      <c r="AS33" s="126" t="e">
        <f t="shared" si="39"/>
        <v>#DIV/0!</v>
      </c>
      <c r="AT33" s="126" t="e">
        <f t="shared" si="39"/>
        <v>#DIV/0!</v>
      </c>
      <c r="AU33" s="126" t="e">
        <f t="shared" si="39"/>
        <v>#DIV/0!</v>
      </c>
      <c r="AV33" s="126">
        <f t="shared" si="39"/>
        <v>0</v>
      </c>
      <c r="AW33" s="126">
        <f t="shared" si="39"/>
        <v>0</v>
      </c>
      <c r="AX33" s="126" t="e">
        <f t="shared" si="39"/>
        <v>#DIV/0!</v>
      </c>
      <c r="AY33" s="126" t="e">
        <f t="shared" si="39"/>
        <v>#DIV/0!</v>
      </c>
      <c r="AZ33" s="126" t="e">
        <f t="shared" si="39"/>
        <v>#DIV/0!</v>
      </c>
      <c r="BA33" s="126" t="e">
        <f t="shared" si="39"/>
        <v>#DIV/0!</v>
      </c>
      <c r="BB33" s="126">
        <f t="shared" si="39"/>
        <v>0.95079872204472848</v>
      </c>
      <c r="BC33" s="126">
        <f t="shared" si="39"/>
        <v>0.95053841941960215</v>
      </c>
      <c r="BD33" s="126" t="e">
        <f t="shared" si="39"/>
        <v>#DIV/0!</v>
      </c>
      <c r="BE33" s="126">
        <f t="shared" si="39"/>
        <v>6.5471850951802351</v>
      </c>
      <c r="BF33" s="126">
        <f t="shared" si="39"/>
        <v>0.57291920962885701</v>
      </c>
      <c r="BG33" s="126">
        <f t="shared" si="39"/>
        <v>0.4548915876802187</v>
      </c>
      <c r="BH33" s="126">
        <f t="shared" si="39"/>
        <v>0.42910919158093258</v>
      </c>
      <c r="BI33" s="126">
        <f t="shared" si="39"/>
        <v>0.35601388937277173</v>
      </c>
      <c r="BJ33" s="126">
        <f t="shared" si="39"/>
        <v>0.43031779958404531</v>
      </c>
    </row>
    <row r="34" spans="1:63" ht="15.75" x14ac:dyDescent="0.2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140</v>
      </c>
      <c r="B35" s="11" t="s">
        <v>214</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x14ac:dyDescent="0.25">
      <c r="A36" s="128" t="s">
        <v>140</v>
      </c>
      <c r="B36" s="5" t="s">
        <v>211</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x14ac:dyDescent="0.2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x14ac:dyDescent="0.25">
      <c r="A38" s="128"/>
      <c r="B38" s="12" t="s">
        <v>212</v>
      </c>
      <c r="C38" s="9">
        <f>IF('Upto Month Current'!$G$4="",0,'Upto Month Current'!$G$4)</f>
        <v>2074855</v>
      </c>
      <c r="D38" s="9">
        <f>IF('Upto Month Current'!$G$5="",0,'Upto Month Current'!$G$5)</f>
        <v>544650</v>
      </c>
      <c r="E38" s="9">
        <f>IF('Upto Month Current'!$G$6="",0,'Upto Month Current'!$G$6)</f>
        <v>343</v>
      </c>
      <c r="F38" s="9">
        <f>IF('Upto Month Current'!$G$7="",0,'Upto Month Current'!$G$7)</f>
        <v>336783</v>
      </c>
      <c r="G38" s="9">
        <f>IF('Upto Month Current'!$G$8="",0,'Upto Month Current'!$G$8)</f>
        <v>112680</v>
      </c>
      <c r="H38" s="9">
        <f>IF('Upto Month Current'!$G$9="",0,'Upto Month Current'!$G$9)</f>
        <v>0</v>
      </c>
      <c r="I38" s="9">
        <f>IF('Upto Month Current'!$G$10="",0,'Upto Month Current'!$G$10)</f>
        <v>0</v>
      </c>
      <c r="J38" s="9">
        <f>IF('Upto Month Current'!$G$11="",0,'Upto Month Current'!$G$11)</f>
        <v>646364</v>
      </c>
      <c r="K38" s="9">
        <f>IF('Upto Month Current'!$G$12="",0,'Upto Month Current'!$G$12)</f>
        <v>1319</v>
      </c>
      <c r="L38" s="9">
        <f>IF('Upto Month Current'!$G$13="",0,'Upto Month Current'!$G$13)</f>
        <v>37283</v>
      </c>
      <c r="M38" s="9">
        <f>IF('Upto Month Current'!$G$14="",0,'Upto Month Current'!$G$14)</f>
        <v>152617</v>
      </c>
      <c r="N38" s="9">
        <f>IF('Upto Month Current'!$G$15="",0,'Upto Month Current'!$G$15)</f>
        <v>135</v>
      </c>
      <c r="O38" s="9">
        <f>IF('Upto Month Current'!$G$16="",0,'Upto Month Current'!$G$16)</f>
        <v>3183</v>
      </c>
      <c r="P38" s="9">
        <f>IF('Upto Month Current'!$G$17="",0,'Upto Month Current'!$G$17)</f>
        <v>6533</v>
      </c>
      <c r="Q38" s="9">
        <f>IF('Upto Month Current'!$G$18="",0,'Upto Month Current'!$G$18)</f>
        <v>0</v>
      </c>
      <c r="R38" s="9">
        <f>IF('Upto Month Current'!$G$21="",0,'Upto Month Current'!$G$21)</f>
        <v>3675</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4290</v>
      </c>
      <c r="Z38" s="9">
        <f>IF('Upto Month Current'!$G$43="",0,'Upto Month Current'!$G$43)</f>
        <v>521</v>
      </c>
      <c r="AA38" s="9">
        <f>IF('Upto Month Current'!$G$44="",0,'Upto Month Current'!$G$44)</f>
        <v>915</v>
      </c>
      <c r="AB38" s="9">
        <f>IF('Upto Month Current'!$G$51="",0,'Upto Month Current'!$G$51)</f>
        <v>0</v>
      </c>
      <c r="AC38" s="121">
        <f t="shared" si="40"/>
        <v>3926146</v>
      </c>
      <c r="AD38" s="9">
        <f>IF('Upto Month Current'!$G$19="",0,'Upto Month Current'!$G$19)</f>
        <v>1517</v>
      </c>
      <c r="AE38" s="9">
        <f>IF('Upto Month Current'!$G$20="",0,'Upto Month Current'!$G$20)</f>
        <v>905</v>
      </c>
      <c r="AF38" s="9">
        <f>IF('Upto Month Current'!$G$22="",0,'Upto Month Current'!$G$22)</f>
        <v>3781</v>
      </c>
      <c r="AG38" s="9">
        <f>IF('Upto Month Current'!$G$23="",0,'Upto Month Current'!$G$23)</f>
        <v>0</v>
      </c>
      <c r="AH38" s="9">
        <f>IF('Upto Month Current'!$G$24="",0,'Upto Month Current'!$G$24)</f>
        <v>0</v>
      </c>
      <c r="AI38" s="9">
        <f>IF('Upto Month Current'!$G$25="",0,'Upto Month Current'!$G$25)</f>
        <v>0</v>
      </c>
      <c r="AJ38" s="9">
        <f>IF('Upto Month Current'!$G$28="",0,'Upto Month Current'!$G$28)</f>
        <v>74873</v>
      </c>
      <c r="AK38" s="9">
        <f>IF('Upto Month Current'!$G$29="",0,'Upto Month Current'!$G$29)</f>
        <v>8077</v>
      </c>
      <c r="AL38" s="9">
        <f>IF('Upto Month Current'!$G$31="",0,'Upto Month Current'!$G$31)</f>
        <v>366127</v>
      </c>
      <c r="AM38" s="9">
        <f>IF('Upto Month Current'!$G$32="",0,'Upto Month Current'!$G$32)</f>
        <v>16342</v>
      </c>
      <c r="AN38" s="9">
        <f>IF('Upto Month Current'!$G$33="",0,'Upto Month Current'!$G$33)</f>
        <v>248195</v>
      </c>
      <c r="AO38" s="9">
        <f>IF('Upto Month Current'!$G$34="",0,'Upto Month Current'!$G$34)</f>
        <v>536</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11303</v>
      </c>
      <c r="BC38" s="9">
        <f>IF('Upto Month Current'!$G$54="",0,'Upto Month Current'!$G$54)</f>
        <v>11303</v>
      </c>
      <c r="BD38" s="9">
        <f>IF('Upto Month Current'!$G$55="",0,'Upto Month Current'!$G$55)</f>
        <v>0</v>
      </c>
      <c r="BE38" s="9">
        <f>IF('Upto Month Current'!$G$56="",0,'Upto Month Current'!$G$56)</f>
        <v>16437</v>
      </c>
      <c r="BF38" s="9">
        <f>IF('Upto Month Current'!$G$58="",0,'Upto Month Current'!$G$58)</f>
        <v>23</v>
      </c>
      <c r="BG38" s="122">
        <f t="shared" si="42"/>
        <v>759419</v>
      </c>
      <c r="BH38" s="123">
        <f t="shared" si="43"/>
        <v>4685565</v>
      </c>
      <c r="BI38" s="9">
        <f>IF('Upto Month Current'!$G$60="",0,'Upto Month Current'!$G$60)</f>
        <v>7044</v>
      </c>
      <c r="BJ38" s="124">
        <f t="shared" si="41"/>
        <v>4678521</v>
      </c>
      <c r="BK38">
        <f>'Upto Month Current'!$G$61</f>
        <v>4678673</v>
      </c>
    </row>
    <row r="39" spans="1:63" ht="15.75" x14ac:dyDescent="0.25">
      <c r="A39" s="128"/>
      <c r="B39" s="5" t="s">
        <v>210</v>
      </c>
      <c r="C39" s="126">
        <f t="shared" ref="C39:AH39" si="46">C38/C35</f>
        <v>0.48306275272350024</v>
      </c>
      <c r="D39" s="126">
        <f t="shared" si="46"/>
        <v>0.5961632763859579</v>
      </c>
      <c r="E39" s="126">
        <f t="shared" si="46"/>
        <v>2.1565816608822494E-3</v>
      </c>
      <c r="F39" s="126">
        <f t="shared" si="46"/>
        <v>0.52056634541815117</v>
      </c>
      <c r="G39" s="126">
        <f t="shared" si="46"/>
        <v>0.51819523837992709</v>
      </c>
      <c r="H39" s="126" t="e">
        <f t="shared" si="46"/>
        <v>#DIV/0!</v>
      </c>
      <c r="I39" s="126" t="e">
        <f t="shared" si="46"/>
        <v>#DIV/0!</v>
      </c>
      <c r="J39" s="126">
        <f t="shared" si="46"/>
        <v>0.72472325219733214</v>
      </c>
      <c r="K39" s="126">
        <f t="shared" si="46"/>
        <v>1.3124378109452736E-2</v>
      </c>
      <c r="L39" s="126">
        <f t="shared" si="46"/>
        <v>0.28405878812351903</v>
      </c>
      <c r="M39" s="126">
        <f t="shared" si="46"/>
        <v>0.73297441118838125</v>
      </c>
      <c r="N39" s="126">
        <f t="shared" si="46"/>
        <v>0.38135593220338981</v>
      </c>
      <c r="O39" s="126">
        <f t="shared" si="46"/>
        <v>0.58705274806344521</v>
      </c>
      <c r="P39" s="126">
        <f t="shared" si="46"/>
        <v>0.74382329500170785</v>
      </c>
      <c r="Q39" s="126" t="e">
        <f t="shared" si="46"/>
        <v>#DIV/0!</v>
      </c>
      <c r="R39" s="126">
        <f t="shared" si="46"/>
        <v>0.32759850240684613</v>
      </c>
      <c r="S39" s="126" t="e">
        <f t="shared" si="46"/>
        <v>#DIV/0!</v>
      </c>
      <c r="T39" s="126" t="e">
        <f t="shared" si="46"/>
        <v>#DIV/0!</v>
      </c>
      <c r="U39" s="126" t="e">
        <f t="shared" si="46"/>
        <v>#DIV/0!</v>
      </c>
      <c r="V39" s="126" t="e">
        <f t="shared" si="46"/>
        <v>#DIV/0!</v>
      </c>
      <c r="W39" s="126" t="e">
        <f t="shared" si="46"/>
        <v>#DIV/0!</v>
      </c>
      <c r="X39" s="126" t="e">
        <f t="shared" si="46"/>
        <v>#DIV/0!</v>
      </c>
      <c r="Y39" s="126">
        <f t="shared" si="46"/>
        <v>11.983240223463687</v>
      </c>
      <c r="Z39" s="126">
        <f t="shared" si="46"/>
        <v>11.085106382978724</v>
      </c>
      <c r="AA39" s="126">
        <f t="shared" si="46"/>
        <v>2.0998278829604131E-2</v>
      </c>
      <c r="AB39" s="126" t="e">
        <f t="shared" si="46"/>
        <v>#DIV/0!</v>
      </c>
      <c r="AC39" s="126">
        <f t="shared" si="46"/>
        <v>0.51430739216681065</v>
      </c>
      <c r="AD39" s="126">
        <f t="shared" si="46"/>
        <v>0.63793103448275867</v>
      </c>
      <c r="AE39" s="126">
        <f t="shared" si="46"/>
        <v>34.807692307692307</v>
      </c>
      <c r="AF39" s="126">
        <f t="shared" si="46"/>
        <v>0.66672544524775168</v>
      </c>
      <c r="AG39" s="126" t="e">
        <f t="shared" si="46"/>
        <v>#DIV/0!</v>
      </c>
      <c r="AH39" s="126" t="e">
        <f t="shared" si="46"/>
        <v>#DIV/0!</v>
      </c>
      <c r="AI39" s="126">
        <f t="shared" ref="AI39:BJ39" si="47">AI38/AI35</f>
        <v>0</v>
      </c>
      <c r="AJ39" s="126">
        <f t="shared" si="47"/>
        <v>0.798440932454625</v>
      </c>
      <c r="AK39" s="126">
        <f t="shared" si="47"/>
        <v>6.935071179571721E-2</v>
      </c>
      <c r="AL39" s="126">
        <f t="shared" si="47"/>
        <v>0.65884188421001488</v>
      </c>
      <c r="AM39" s="126">
        <f t="shared" si="47"/>
        <v>0.21756553459454422</v>
      </c>
      <c r="AN39" s="126">
        <f t="shared" si="47"/>
        <v>0.63265826334102293</v>
      </c>
      <c r="AO39" s="126">
        <f t="shared" si="47"/>
        <v>-1.4662836821228285E-2</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v>
      </c>
      <c r="AX39" s="126" t="e">
        <f t="shared" si="47"/>
        <v>#DIV/0!</v>
      </c>
      <c r="AY39" s="126" t="e">
        <f t="shared" si="47"/>
        <v>#DIV/0!</v>
      </c>
      <c r="AZ39" s="126" t="e">
        <f t="shared" si="47"/>
        <v>#DIV/0!</v>
      </c>
      <c r="BA39" s="126" t="e">
        <f t="shared" si="47"/>
        <v>#DIV/0!</v>
      </c>
      <c r="BB39" s="126">
        <f t="shared" si="47"/>
        <v>4.1801035502958577</v>
      </c>
      <c r="BC39" s="126">
        <f t="shared" si="47"/>
        <v>4.1723883351790327</v>
      </c>
      <c r="BD39" s="126" t="e">
        <f t="shared" si="47"/>
        <v>#DIV/0!</v>
      </c>
      <c r="BE39" s="126">
        <f t="shared" si="47"/>
        <v>37.103837471783294</v>
      </c>
      <c r="BF39" s="126">
        <f t="shared" si="47"/>
        <v>11.5</v>
      </c>
      <c r="BG39" s="126">
        <f t="shared" si="47"/>
        <v>0.62674363904959185</v>
      </c>
      <c r="BH39" s="126">
        <f t="shared" si="47"/>
        <v>0.52970926255386752</v>
      </c>
      <c r="BI39" s="126">
        <f t="shared" si="47"/>
        <v>0.20149317772247491</v>
      </c>
      <c r="BJ39" s="126">
        <f t="shared" si="47"/>
        <v>0.53101157222076811</v>
      </c>
    </row>
    <row r="40" spans="1:63" ht="15.75" x14ac:dyDescent="0.2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141</v>
      </c>
      <c r="B41" s="11" t="s">
        <v>214</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x14ac:dyDescent="0.25">
      <c r="A42" s="128" t="s">
        <v>141</v>
      </c>
      <c r="B42" s="5" t="s">
        <v>211</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x14ac:dyDescent="0.2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x14ac:dyDescent="0.25">
      <c r="A44" s="128"/>
      <c r="B44" s="12" t="s">
        <v>212</v>
      </c>
      <c r="C44" s="9">
        <f>IF('Upto Month Current'!$H$4="",0,'Upto Month Current'!$H$4)</f>
        <v>2365502</v>
      </c>
      <c r="D44" s="9">
        <f>IF('Upto Month Current'!$H$5="",0,'Upto Month Current'!$H$5)</f>
        <v>533876</v>
      </c>
      <c r="E44" s="9">
        <f>IF('Upto Month Current'!$H$6="",0,'Upto Month Current'!$H$6)</f>
        <v>138</v>
      </c>
      <c r="F44" s="9">
        <f>IF('Upto Month Current'!$H$7="",0,'Upto Month Current'!$H$7)</f>
        <v>278048</v>
      </c>
      <c r="G44" s="9">
        <f>IF('Upto Month Current'!$H$8="",0,'Upto Month Current'!$H$8)</f>
        <v>133861</v>
      </c>
      <c r="H44" s="9">
        <f>IF('Upto Month Current'!$H$9="",0,'Upto Month Current'!$H$9)</f>
        <v>0</v>
      </c>
      <c r="I44" s="9">
        <f>IF('Upto Month Current'!$H$10="",0,'Upto Month Current'!$H$10)</f>
        <v>0</v>
      </c>
      <c r="J44" s="9">
        <f>IF('Upto Month Current'!$H$11="",0,'Upto Month Current'!$H$11)</f>
        <v>267000</v>
      </c>
      <c r="K44" s="9">
        <f>IF('Upto Month Current'!$H$12="",0,'Upto Month Current'!$H$12)</f>
        <v>4011</v>
      </c>
      <c r="L44" s="9">
        <f>IF('Upto Month Current'!$H$13="",0,'Upto Month Current'!$H$13)</f>
        <v>65308</v>
      </c>
      <c r="M44" s="9">
        <f>IF('Upto Month Current'!$H$14="",0,'Upto Month Current'!$H$14)</f>
        <v>131649</v>
      </c>
      <c r="N44" s="9">
        <f>IF('Upto Month Current'!$H$15="",0,'Upto Month Current'!$H$15)</f>
        <v>162</v>
      </c>
      <c r="O44" s="9">
        <f>IF('Upto Month Current'!$H$16="",0,'Upto Month Current'!$H$16)</f>
        <v>6043</v>
      </c>
      <c r="P44" s="9">
        <f>IF('Upto Month Current'!$H$17="",0,'Upto Month Current'!$H$17)</f>
        <v>96558</v>
      </c>
      <c r="Q44" s="9">
        <f>IF('Upto Month Current'!$H$18="",0,'Upto Month Current'!$H$18)</f>
        <v>0</v>
      </c>
      <c r="R44" s="9">
        <f>IF('Upto Month Current'!$H$21="",0,'Upto Month Current'!$H$21)</f>
        <v>3109</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10256</v>
      </c>
      <c r="Z44" s="9">
        <f>IF('Upto Month Current'!$H$43="",0,'Upto Month Current'!$H$43)</f>
        <v>1363</v>
      </c>
      <c r="AA44" s="9">
        <f>IF('Upto Month Current'!$H$44="",0,'Upto Month Current'!$H$44)</f>
        <v>2957</v>
      </c>
      <c r="AB44" s="9">
        <f>IF('Upto Month Current'!$H$51="",0,'Upto Month Current'!$H$51)</f>
        <v>0</v>
      </c>
      <c r="AC44" s="121">
        <f t="shared" si="48"/>
        <v>3899841</v>
      </c>
      <c r="AD44" s="9">
        <f>IF('Upto Month Current'!$H$19="",0,'Upto Month Current'!$H$19)</f>
        <v>4927</v>
      </c>
      <c r="AE44" s="9">
        <f>IF('Upto Month Current'!$H$20="",0,'Upto Month Current'!$H$20)</f>
        <v>1010</v>
      </c>
      <c r="AF44" s="9">
        <f>IF('Upto Month Current'!$H$22="",0,'Upto Month Current'!$H$22)</f>
        <v>5900</v>
      </c>
      <c r="AG44" s="9">
        <f>IF('Upto Month Current'!$H$23="",0,'Upto Month Current'!$H$23)</f>
        <v>0</v>
      </c>
      <c r="AH44" s="9">
        <f>IF('Upto Month Current'!$H$24="",0,'Upto Month Current'!$H$24)</f>
        <v>0</v>
      </c>
      <c r="AI44" s="9">
        <f>IF('Upto Month Current'!$H$25="",0,'Upto Month Current'!$H$25)</f>
        <v>6961</v>
      </c>
      <c r="AJ44" s="9">
        <f>IF('Upto Month Current'!$H$28="",0,'Upto Month Current'!$H$28)</f>
        <v>8377</v>
      </c>
      <c r="AK44" s="9">
        <f>IF('Upto Month Current'!$H$29="",0,'Upto Month Current'!$H$29)</f>
        <v>7415</v>
      </c>
      <c r="AL44" s="9">
        <f>IF('Upto Month Current'!$H$31="",0,'Upto Month Current'!$H$31)</f>
        <v>0</v>
      </c>
      <c r="AM44" s="9">
        <f>IF('Upto Month Current'!$H$32="",0,'Upto Month Current'!$H$32)</f>
        <v>0</v>
      </c>
      <c r="AN44" s="9">
        <f>IF('Upto Month Current'!$H$33="",0,'Upto Month Current'!$H$33)</f>
        <v>153234</v>
      </c>
      <c r="AO44" s="9">
        <f>IF('Upto Month Current'!$H$34="",0,'Upto Month Current'!$H$34)</f>
        <v>6986353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59</v>
      </c>
      <c r="AW44" s="9">
        <f>IF('Upto Month Current'!$H$46="",0,'Upto Month Current'!$H$46)</f>
        <v>1762</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8587</v>
      </c>
      <c r="BC44" s="9">
        <f>IF('Upto Month Current'!$H$54="",0,'Upto Month Current'!$H$54)</f>
        <v>8587</v>
      </c>
      <c r="BD44" s="9">
        <f>IF('Upto Month Current'!$H$55="",0,'Upto Month Current'!$H$55)</f>
        <v>0</v>
      </c>
      <c r="BE44" s="9">
        <f>IF('Upto Month Current'!$H$56="",0,'Upto Month Current'!$H$56)</f>
        <v>5008</v>
      </c>
      <c r="BF44" s="9">
        <f>IF('Upto Month Current'!$H$58="",0,'Upto Month Current'!$H$58)</f>
        <v>2762</v>
      </c>
      <c r="BG44" s="122">
        <f t="shared" si="50"/>
        <v>7200942</v>
      </c>
      <c r="BH44" s="123">
        <f t="shared" si="51"/>
        <v>11100783</v>
      </c>
      <c r="BI44" s="9">
        <f>IF('Upto Month Current'!$H$60="",0,'Upto Month Current'!$H$60)</f>
        <v>47</v>
      </c>
      <c r="BJ44" s="124">
        <f t="shared" si="49"/>
        <v>11100736</v>
      </c>
      <c r="BK44">
        <f>'Upto Month Current'!$H$61</f>
        <v>11100766</v>
      </c>
    </row>
    <row r="45" spans="1:63" ht="15.75" x14ac:dyDescent="0.25">
      <c r="A45" s="128"/>
      <c r="B45" s="5" t="s">
        <v>210</v>
      </c>
      <c r="C45" s="126">
        <f t="shared" ref="C45:AH45" si="54">C44/C41</f>
        <v>0.40731131368850687</v>
      </c>
      <c r="D45" s="126">
        <f t="shared" si="54"/>
        <v>0.53243523026689776</v>
      </c>
      <c r="E45" s="126">
        <f t="shared" si="54"/>
        <v>6.3658715477832469E-4</v>
      </c>
      <c r="F45" s="126">
        <f t="shared" si="54"/>
        <v>0.44574046672833284</v>
      </c>
      <c r="G45" s="126">
        <f t="shared" si="54"/>
        <v>0.42726686583933404</v>
      </c>
      <c r="H45" s="126" t="e">
        <f t="shared" si="54"/>
        <v>#DIV/0!</v>
      </c>
      <c r="I45" s="126" t="e">
        <f t="shared" si="54"/>
        <v>#DIV/0!</v>
      </c>
      <c r="J45" s="126">
        <f t="shared" si="54"/>
        <v>0.76371468534668929</v>
      </c>
      <c r="K45" s="126">
        <f t="shared" si="54"/>
        <v>4.7222124112598456E-2</v>
      </c>
      <c r="L45" s="126">
        <f t="shared" si="54"/>
        <v>0.35640300804400737</v>
      </c>
      <c r="M45" s="126">
        <f t="shared" si="54"/>
        <v>0.82480123799439897</v>
      </c>
      <c r="N45" s="126">
        <f t="shared" si="54"/>
        <v>0.16463414634146342</v>
      </c>
      <c r="O45" s="126">
        <f t="shared" si="54"/>
        <v>0.32647217720151267</v>
      </c>
      <c r="P45" s="126">
        <f t="shared" si="54"/>
        <v>0.70470518687189365</v>
      </c>
      <c r="Q45" s="126" t="e">
        <f t="shared" si="54"/>
        <v>#DIV/0!</v>
      </c>
      <c r="R45" s="126">
        <f t="shared" si="54"/>
        <v>0.47400518371703004</v>
      </c>
      <c r="S45" s="126" t="e">
        <f t="shared" si="54"/>
        <v>#DIV/0!</v>
      </c>
      <c r="T45" s="126" t="e">
        <f t="shared" si="54"/>
        <v>#DIV/0!</v>
      </c>
      <c r="U45" s="126" t="e">
        <f t="shared" si="54"/>
        <v>#DIV/0!</v>
      </c>
      <c r="V45" s="126" t="e">
        <f t="shared" si="54"/>
        <v>#DIV/0!</v>
      </c>
      <c r="W45" s="126" t="e">
        <f t="shared" si="54"/>
        <v>#DIV/0!</v>
      </c>
      <c r="X45" s="126" t="e">
        <f t="shared" si="54"/>
        <v>#DIV/0!</v>
      </c>
      <c r="Y45" s="126">
        <f t="shared" si="54"/>
        <v>2.3990643274853802</v>
      </c>
      <c r="Z45" s="126">
        <f t="shared" si="54"/>
        <v>2.1330203442879498</v>
      </c>
      <c r="AA45" s="126">
        <f t="shared" si="54"/>
        <v>4.7236421725239612</v>
      </c>
      <c r="AB45" s="126" t="e">
        <f t="shared" si="54"/>
        <v>#DIV/0!</v>
      </c>
      <c r="AC45" s="126">
        <f t="shared" si="54"/>
        <v>0.43768340664455191</v>
      </c>
      <c r="AD45" s="126">
        <f t="shared" si="54"/>
        <v>0.49893670886075947</v>
      </c>
      <c r="AE45" s="126">
        <f t="shared" si="54"/>
        <v>2.6233766233766236</v>
      </c>
      <c r="AF45" s="126">
        <f t="shared" si="54"/>
        <v>0.8283026814544433</v>
      </c>
      <c r="AG45" s="126" t="e">
        <f t="shared" si="54"/>
        <v>#DIV/0!</v>
      </c>
      <c r="AH45" s="126" t="e">
        <f t="shared" si="54"/>
        <v>#DIV/0!</v>
      </c>
      <c r="AI45" s="126">
        <f t="shared" ref="AI45:BJ45" si="55">AI44/AI41</f>
        <v>0.67766744548286606</v>
      </c>
      <c r="AJ45" s="126">
        <f t="shared" si="55"/>
        <v>0.7744291393177406</v>
      </c>
      <c r="AK45" s="126">
        <f t="shared" si="55"/>
        <v>0.25815548515127251</v>
      </c>
      <c r="AL45" s="126" t="e">
        <f t="shared" si="55"/>
        <v>#DIV/0!</v>
      </c>
      <c r="AM45" s="126">
        <f t="shared" si="55"/>
        <v>0</v>
      </c>
      <c r="AN45" s="126">
        <f t="shared" si="55"/>
        <v>0.53835262704867637</v>
      </c>
      <c r="AO45" s="126">
        <f t="shared" si="55"/>
        <v>0.41570058550962163</v>
      </c>
      <c r="AP45" s="126" t="e">
        <f t="shared" si="55"/>
        <v>#DIV/0!</v>
      </c>
      <c r="AQ45" s="126" t="e">
        <f t="shared" si="55"/>
        <v>#DIV/0!</v>
      </c>
      <c r="AR45" s="126" t="e">
        <f t="shared" si="55"/>
        <v>#DIV/0!</v>
      </c>
      <c r="AS45" s="126" t="e">
        <f t="shared" si="55"/>
        <v>#DIV/0!</v>
      </c>
      <c r="AT45" s="126" t="e">
        <f t="shared" si="55"/>
        <v>#DIV/0!</v>
      </c>
      <c r="AU45" s="126" t="e">
        <f t="shared" si="55"/>
        <v>#DIV/0!</v>
      </c>
      <c r="AV45" s="126">
        <f t="shared" si="55"/>
        <v>0.23137254901960785</v>
      </c>
      <c r="AW45" s="126">
        <f t="shared" si="55"/>
        <v>1.7690763052208835</v>
      </c>
      <c r="AX45" s="126">
        <f t="shared" si="55"/>
        <v>0</v>
      </c>
      <c r="AY45" s="126" t="e">
        <f t="shared" si="55"/>
        <v>#DIV/0!</v>
      </c>
      <c r="AZ45" s="126" t="e">
        <f t="shared" si="55"/>
        <v>#DIV/0!</v>
      </c>
      <c r="BA45" s="126" t="e">
        <f t="shared" si="55"/>
        <v>#DIV/0!</v>
      </c>
      <c r="BB45" s="126">
        <f t="shared" si="55"/>
        <v>2.2361979166666668</v>
      </c>
      <c r="BC45" s="126">
        <f t="shared" si="55"/>
        <v>2.2361979166666668</v>
      </c>
      <c r="BD45" s="126" t="e">
        <f t="shared" si="55"/>
        <v>#DIV/0!</v>
      </c>
      <c r="BE45" s="126">
        <f t="shared" si="55"/>
        <v>0.50703654955958288</v>
      </c>
      <c r="BF45" s="126">
        <f t="shared" si="55"/>
        <v>0.99281092739036669</v>
      </c>
      <c r="BG45" s="126">
        <f t="shared" si="55"/>
        <v>0.41915384956126445</v>
      </c>
      <c r="BH45" s="126">
        <f t="shared" si="55"/>
        <v>0.42548203906354864</v>
      </c>
      <c r="BI45" s="126" t="e">
        <f t="shared" si="55"/>
        <v>#DIV/0!</v>
      </c>
      <c r="BJ45" s="126">
        <f t="shared" si="55"/>
        <v>0.42548023760000903</v>
      </c>
    </row>
    <row r="46" spans="1:63" ht="15.75" x14ac:dyDescent="0.2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34</v>
      </c>
      <c r="B47" s="11" t="s">
        <v>214</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x14ac:dyDescent="0.25">
      <c r="A48" s="128" t="s">
        <v>34</v>
      </c>
      <c r="B48" s="5" t="s">
        <v>211</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x14ac:dyDescent="0.2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x14ac:dyDescent="0.25">
      <c r="A50" s="128"/>
      <c r="B50" s="12" t="s">
        <v>212</v>
      </c>
      <c r="C50" s="9">
        <f>IF('Upto Month Current'!$I$4="",0,'Upto Month Current'!$I$4)</f>
        <v>6041</v>
      </c>
      <c r="D50" s="9">
        <f>IF('Upto Month Current'!$I$5="",0,'Upto Month Current'!$I$5)</f>
        <v>1299</v>
      </c>
      <c r="E50" s="9">
        <f>IF('Upto Month Current'!$I$6="",0,'Upto Month Current'!$I$6)</f>
        <v>0</v>
      </c>
      <c r="F50" s="9">
        <f>IF('Upto Month Current'!$I$7="",0,'Upto Month Current'!$I$7)</f>
        <v>685</v>
      </c>
      <c r="G50" s="9">
        <f>IF('Upto Month Current'!$I$8="",0,'Upto Month Current'!$I$8)</f>
        <v>283</v>
      </c>
      <c r="H50" s="9">
        <f>IF('Upto Month Current'!$I$9="",0,'Upto Month Current'!$I$9)</f>
        <v>0</v>
      </c>
      <c r="I50" s="9">
        <f>IF('Upto Month Current'!$I$10="",0,'Upto Month Current'!$I$10)</f>
        <v>0</v>
      </c>
      <c r="J50" s="9">
        <f>IF('Upto Month Current'!$I$11="",0,'Upto Month Current'!$I$11)</f>
        <v>170</v>
      </c>
      <c r="K50" s="9">
        <f>IF('Upto Month Current'!$I$12="",0,'Upto Month Current'!$I$12)</f>
        <v>0</v>
      </c>
      <c r="L50" s="9">
        <f>IF('Upto Month Current'!$I$13="",0,'Upto Month Current'!$I$13)</f>
        <v>130</v>
      </c>
      <c r="M50" s="9">
        <f>IF('Upto Month Current'!$I$14="",0,'Upto Month Current'!$I$14)</f>
        <v>154</v>
      </c>
      <c r="N50" s="9">
        <f>IF('Upto Month Current'!$I$15="",0,'Upto Month Current'!$I$15)</f>
        <v>0</v>
      </c>
      <c r="O50" s="9">
        <f>IF('Upto Month Current'!$I$16="",0,'Upto Month Current'!$I$16)</f>
        <v>0</v>
      </c>
      <c r="P50" s="9">
        <f>IF('Upto Month Current'!$I$17="",0,'Upto Month Current'!$I$17)</f>
        <v>32</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21">
        <f t="shared" si="56"/>
        <v>8796</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208932</v>
      </c>
      <c r="AK50" s="9">
        <f>IF('Upto Month Current'!$I$29="",0,'Upto Month Current'!$I$29)</f>
        <v>0</v>
      </c>
      <c r="AL50" s="9">
        <f>IF('Upto Month Current'!$I$31="",0,'Upto Month Current'!$I$31)</f>
        <v>3910737</v>
      </c>
      <c r="AM50" s="9">
        <f>IF('Upto Month Current'!$I$32="",0,'Upto Month Current'!$I$32)</f>
        <v>0</v>
      </c>
      <c r="AN50" s="9">
        <f>IF('Upto Month Current'!$I$33="",0,'Upto Month Current'!$I$33)</f>
        <v>0</v>
      </c>
      <c r="AO50" s="9">
        <f>IF('Upto Month Current'!$I$34="",0,'Upto Month Current'!$I$34)</f>
        <v>538701</v>
      </c>
      <c r="AP50" s="9">
        <f>IF('Upto Month Current'!$I$36="",0,'Upto Month Current'!$I$36)</f>
        <v>0</v>
      </c>
      <c r="AQ50" s="9">
        <f>IF('Upto Month Current'!$I$37="",0,'Upto Month Current'!$I$37)</f>
        <v>262972</v>
      </c>
      <c r="AR50" s="9">
        <v>0</v>
      </c>
      <c r="AS50" s="9">
        <f>IF('Upto Month Current'!$I$38="",0,'Upto Month Current'!$I$38)</f>
        <v>0</v>
      </c>
      <c r="AT50" s="9">
        <f>IF('Upto Month Current'!$I$41="",0,'Upto Month Current'!$I$41)</f>
        <v>111026</v>
      </c>
      <c r="AU50" s="9">
        <v>0</v>
      </c>
      <c r="AV50" s="9">
        <f>IF('Upto Month Current'!$I$45="",0,'Upto Month Current'!$I$45)</f>
        <v>0</v>
      </c>
      <c r="AW50" s="9">
        <f>IF('Upto Month Current'!$I$46="",0,'Upto Month Current'!$I$46)</f>
        <v>0</v>
      </c>
      <c r="AX50" s="9">
        <f>IF('Upto Month Current'!$I$47="",0,'Upto Month Current'!$I$47)</f>
        <v>0</v>
      </c>
      <c r="AY50" s="9">
        <f>IF('Upto Month Current'!$I$49="",0,'Upto Month Current'!$I$49)</f>
        <v>475071</v>
      </c>
      <c r="AZ50" s="9">
        <f>IF('Upto Month Current'!$I$50="",0,'Upto Month Current'!$I$50)</f>
        <v>909161</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10003</v>
      </c>
      <c r="BG50" s="122">
        <f t="shared" si="58"/>
        <v>6426604</v>
      </c>
      <c r="BH50" s="123">
        <f t="shared" si="59"/>
        <v>6435400</v>
      </c>
      <c r="BI50" s="9">
        <f>IF('Upto Month Current'!$I$60="",0,'Upto Month Current'!$I$60)-'Upto Month Current'!I57</f>
        <v>120653</v>
      </c>
      <c r="BJ50" s="124">
        <f t="shared" si="57"/>
        <v>6314747</v>
      </c>
      <c r="BK50" s="99">
        <f>'Upto Month Current'!$I$61</f>
        <v>6314748</v>
      </c>
    </row>
    <row r="51" spans="1:64" ht="15.75" x14ac:dyDescent="0.25">
      <c r="A51" s="128"/>
      <c r="B51" s="5" t="s">
        <v>210</v>
      </c>
      <c r="C51" s="126">
        <f t="shared" ref="C51:AH51" si="62">C50/C47</f>
        <v>0.40870035856843245</v>
      </c>
      <c r="D51" s="126">
        <f t="shared" si="62"/>
        <v>0.50821596244131451</v>
      </c>
      <c r="E51" s="126">
        <f t="shared" si="62"/>
        <v>0</v>
      </c>
      <c r="F51" s="126">
        <f t="shared" si="62"/>
        <v>0.38656884875846503</v>
      </c>
      <c r="G51" s="126">
        <f t="shared" si="62"/>
        <v>0.44707740916271721</v>
      </c>
      <c r="H51" s="126" t="e">
        <f t="shared" si="62"/>
        <v>#DIV/0!</v>
      </c>
      <c r="I51" s="126" t="e">
        <f t="shared" si="62"/>
        <v>#DIV/0!</v>
      </c>
      <c r="J51" s="126">
        <f t="shared" si="62"/>
        <v>0.3811659192825112</v>
      </c>
      <c r="K51" s="126" t="e">
        <f t="shared" si="62"/>
        <v>#DIV/0!</v>
      </c>
      <c r="L51" s="126">
        <f t="shared" si="62"/>
        <v>0.32745591939546598</v>
      </c>
      <c r="M51" s="126">
        <f t="shared" si="62"/>
        <v>1.2941176470588236</v>
      </c>
      <c r="N51" s="126" t="e">
        <f t="shared" si="62"/>
        <v>#DIV/0!</v>
      </c>
      <c r="O51" s="126" t="e">
        <f t="shared" si="62"/>
        <v>#DIV/0!</v>
      </c>
      <c r="P51" s="126">
        <f t="shared" si="62"/>
        <v>0.29357798165137616</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0.41043348420512343</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1.078770730498358</v>
      </c>
      <c r="AK51" s="126">
        <f t="shared" si="63"/>
        <v>0</v>
      </c>
      <c r="AL51" s="126">
        <f t="shared" si="63"/>
        <v>0.61935589623388554</v>
      </c>
      <c r="AM51" s="126" t="e">
        <f t="shared" si="63"/>
        <v>#DIV/0!</v>
      </c>
      <c r="AN51" s="126" t="e">
        <f t="shared" si="63"/>
        <v>#DIV/0!</v>
      </c>
      <c r="AO51" s="126" t="e">
        <f t="shared" si="63"/>
        <v>#DIV/0!</v>
      </c>
      <c r="AP51" s="126" t="e">
        <f t="shared" si="63"/>
        <v>#DIV/0!</v>
      </c>
      <c r="AQ51" s="126">
        <f t="shared" si="63"/>
        <v>0.28942994939389338</v>
      </c>
      <c r="AR51" s="126" t="e">
        <f t="shared" si="63"/>
        <v>#DIV/0!</v>
      </c>
      <c r="AS51" s="126" t="e">
        <f t="shared" si="63"/>
        <v>#DIV/0!</v>
      </c>
      <c r="AT51" s="126">
        <f t="shared" si="63"/>
        <v>0.19420461224147098</v>
      </c>
      <c r="AU51" s="126" t="e">
        <f t="shared" si="63"/>
        <v>#DIV/0!</v>
      </c>
      <c r="AV51" s="126" t="e">
        <f t="shared" si="63"/>
        <v>#DIV/0!</v>
      </c>
      <c r="AW51" s="126" t="e">
        <f t="shared" si="63"/>
        <v>#DIV/0!</v>
      </c>
      <c r="AX51" s="126" t="e">
        <f t="shared" si="63"/>
        <v>#DIV/0!</v>
      </c>
      <c r="AY51" s="126">
        <f t="shared" si="63"/>
        <v>3.2586873911075136</v>
      </c>
      <c r="AZ51" s="126">
        <f t="shared" si="63"/>
        <v>0.9203953455882502</v>
      </c>
      <c r="BA51" s="126" t="e">
        <f t="shared" si="63"/>
        <v>#DIV/0!</v>
      </c>
      <c r="BB51" s="126" t="e">
        <f t="shared" si="63"/>
        <v>#DIV/0!</v>
      </c>
      <c r="BC51" s="126" t="e">
        <f t="shared" si="63"/>
        <v>#DIV/0!</v>
      </c>
      <c r="BD51" s="126" t="e">
        <f t="shared" si="63"/>
        <v>#DIV/0!</v>
      </c>
      <c r="BE51" s="126" t="e">
        <f t="shared" si="63"/>
        <v>#DIV/0!</v>
      </c>
      <c r="BF51" s="126">
        <f t="shared" si="63"/>
        <v>0.11610065228997887</v>
      </c>
      <c r="BG51" s="126">
        <f t="shared" si="63"/>
        <v>0.69717986548058142</v>
      </c>
      <c r="BH51" s="126">
        <f t="shared" si="63"/>
        <v>0.69651475291065001</v>
      </c>
      <c r="BI51" s="126">
        <f t="shared" si="63"/>
        <v>0.19934374333954014</v>
      </c>
      <c r="BJ51" s="126">
        <f t="shared" si="63"/>
        <v>0.73136615173647068</v>
      </c>
    </row>
    <row r="52" spans="1:64" ht="15.75" x14ac:dyDescent="0.2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142</v>
      </c>
      <c r="B53" s="11" t="s">
        <v>214</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x14ac:dyDescent="0.25">
      <c r="A54" s="128" t="s">
        <v>142</v>
      </c>
      <c r="B54" s="5" t="s">
        <v>211</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x14ac:dyDescent="0.2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x14ac:dyDescent="0.25">
      <c r="A56" s="128"/>
      <c r="B56" s="12" t="s">
        <v>212</v>
      </c>
      <c r="C56" s="9">
        <f>IF('Upto Month Current'!$J$4="",0,'Upto Month Current'!$J$4)</f>
        <v>353744</v>
      </c>
      <c r="D56" s="9">
        <f>IF('Upto Month Current'!$J$5="",0,'Upto Month Current'!$J$5)</f>
        <v>74686</v>
      </c>
      <c r="E56" s="9">
        <f>IF('Upto Month Current'!$J$6="",0,'Upto Month Current'!$J$6)</f>
        <v>37</v>
      </c>
      <c r="F56" s="9">
        <f>IF('Upto Month Current'!$J$7="",0,'Upto Month Current'!$J$7)</f>
        <v>31229</v>
      </c>
      <c r="G56" s="9">
        <f>IF('Upto Month Current'!$J$8="",0,'Upto Month Current'!$J$8)</f>
        <v>21381</v>
      </c>
      <c r="H56" s="9">
        <f>IF('Upto Month Current'!$J$9="",0,'Upto Month Current'!$J$9)</f>
        <v>0</v>
      </c>
      <c r="I56" s="9">
        <f>IF('Upto Month Current'!$J$10="",0,'Upto Month Current'!$J$10)</f>
        <v>0</v>
      </c>
      <c r="J56" s="9">
        <f>IF('Upto Month Current'!$J$11="",0,'Upto Month Current'!$J$11)</f>
        <v>0</v>
      </c>
      <c r="K56" s="9">
        <f>IF('Upto Month Current'!$J$12="",0,'Upto Month Current'!$J$12)</f>
        <v>1017</v>
      </c>
      <c r="L56" s="9">
        <f>IF('Upto Month Current'!$J$13="",0,'Upto Month Current'!$J$13)</f>
        <v>837</v>
      </c>
      <c r="M56" s="9">
        <f>IF('Upto Month Current'!$J$14="",0,'Upto Month Current'!$J$14)</f>
        <v>34150</v>
      </c>
      <c r="N56" s="9">
        <f>IF('Upto Month Current'!$J$15="",0,'Upto Month Current'!$J$15)</f>
        <v>3255</v>
      </c>
      <c r="O56" s="9">
        <f>IF('Upto Month Current'!$J$16="",0,'Upto Month Current'!$J$16)</f>
        <v>236</v>
      </c>
      <c r="P56" s="9">
        <f>IF('Upto Month Current'!$J$17="",0,'Upto Month Current'!$J$17)</f>
        <v>5094</v>
      </c>
      <c r="Q56" s="9">
        <f>IF('Upto Month Current'!$J$18="",0,'Upto Month Current'!$J$18)</f>
        <v>0</v>
      </c>
      <c r="R56" s="9">
        <f>IF('Upto Month Current'!$J$21="",0,'Upto Month Current'!$J$21)</f>
        <v>707</v>
      </c>
      <c r="S56" s="9">
        <f>IF('Upto Month Current'!$J$26="",0,'Upto Month Current'!$J$26)</f>
        <v>679938</v>
      </c>
      <c r="T56" s="9">
        <f>IF('Upto Month Current'!$J$27="",0,'Upto Month Current'!$J$27)</f>
        <v>493865</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2185</v>
      </c>
      <c r="Z56" s="9">
        <f>IF('Upto Month Current'!$J$43="",0,'Upto Month Current'!$J$43)</f>
        <v>267</v>
      </c>
      <c r="AA56" s="9">
        <f>IF('Upto Month Current'!$J$44="",0,'Upto Month Current'!$J$44)</f>
        <v>611</v>
      </c>
      <c r="AB56" s="9">
        <f>IF('Upto Month Current'!$J$51="",0,'Upto Month Current'!$J$51)</f>
        <v>0</v>
      </c>
      <c r="AC56" s="121">
        <f t="shared" si="64"/>
        <v>1703239</v>
      </c>
      <c r="AD56" s="9">
        <f>IF('Upto Month Current'!$J$19="",0,'Upto Month Current'!$J$19)</f>
        <v>479</v>
      </c>
      <c r="AE56" s="9">
        <f>IF('Upto Month Current'!$J$20="",0,'Upto Month Current'!$J$20)</f>
        <v>123</v>
      </c>
      <c r="AF56" s="9">
        <f>IF('Upto Month Current'!$J$22="",0,'Upto Month Current'!$J$22)</f>
        <v>1743</v>
      </c>
      <c r="AG56" s="9">
        <f>IF('Upto Month Current'!$J$23="",0,'Upto Month Current'!$J$23)</f>
        <v>0</v>
      </c>
      <c r="AH56" s="9">
        <f>IF('Upto Month Current'!$J$24="",0,'Upto Month Current'!$J$24)</f>
        <v>0</v>
      </c>
      <c r="AI56" s="9">
        <f>IF('Upto Month Current'!$J$25="",0,'Upto Month Current'!$J$25)</f>
        <v>117</v>
      </c>
      <c r="AJ56" s="9">
        <f>IF('Upto Month Current'!$J$28="",0,'Upto Month Current'!$J$28)</f>
        <v>703</v>
      </c>
      <c r="AK56" s="9">
        <f>IF('Upto Month Current'!$J$29="",0,'Upto Month Current'!$J$29)</f>
        <v>114483</v>
      </c>
      <c r="AL56" s="9">
        <f>IF('Upto Month Current'!$J$31="",0,'Upto Month Current'!$J$31)</f>
        <v>70154</v>
      </c>
      <c r="AM56" s="9">
        <f>IF('Upto Month Current'!$J$32="",0,'Upto Month Current'!$J$32)</f>
        <v>6</v>
      </c>
      <c r="AN56" s="9">
        <f>IF('Upto Month Current'!$J$33="",0,'Upto Month Current'!$J$33)</f>
        <v>150094</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286</v>
      </c>
      <c r="AW56" s="9">
        <f>IF('Upto Month Current'!$J$46="",0,'Upto Month Current'!$J$46)</f>
        <v>248</v>
      </c>
      <c r="AX56" s="9">
        <f>IF('Upto Month Current'!$J$47="",0,'Upto Month Current'!$J$47)</f>
        <v>376</v>
      </c>
      <c r="AY56" s="9">
        <f>IF('Upto Month Current'!$J$49="",0,'Upto Month Current'!$J$49)</f>
        <v>0</v>
      </c>
      <c r="AZ56" s="9">
        <f>IF('Upto Month Current'!$J$50="",0,'Upto Month Current'!$J$50)</f>
        <v>0</v>
      </c>
      <c r="BA56" s="9">
        <f>IF('Upto Month Current'!$J$52="",0,'Upto Month Current'!$J$52)</f>
        <v>0</v>
      </c>
      <c r="BB56" s="9">
        <f>IF('Upto Month Current'!$J$53="",0,'Upto Month Current'!$J$53)</f>
        <v>13960</v>
      </c>
      <c r="BC56" s="9">
        <f>IF('Upto Month Current'!$J$54="",0,'Upto Month Current'!$J$54)</f>
        <v>13705</v>
      </c>
      <c r="BD56" s="9">
        <f>IF('Upto Month Current'!$J$55="",0,'Upto Month Current'!$J$55)</f>
        <v>0</v>
      </c>
      <c r="BE56" s="9">
        <f>IF('Upto Month Current'!$J$56="",0,'Upto Month Current'!$J$56)</f>
        <v>1918</v>
      </c>
      <c r="BF56" s="9">
        <f>IF('Upto Month Current'!$J$58="",0,'Upto Month Current'!$J$58)</f>
        <v>-89679</v>
      </c>
      <c r="BG56" s="122">
        <f t="shared" si="66"/>
        <v>278716</v>
      </c>
      <c r="BH56" s="123">
        <f t="shared" si="67"/>
        <v>1981955</v>
      </c>
      <c r="BI56" s="9">
        <f>IF('Upto Month Current'!$J$60="",0,'Upto Month Current'!$J$60)</f>
        <v>0</v>
      </c>
      <c r="BJ56" s="124">
        <f t="shared" si="65"/>
        <v>1981955</v>
      </c>
      <c r="BK56">
        <f>'Upto Month Current'!$J$61</f>
        <v>1982028</v>
      </c>
      <c r="BL56" s="30"/>
    </row>
    <row r="57" spans="1:64" ht="15.75" x14ac:dyDescent="0.25">
      <c r="A57" s="128"/>
      <c r="B57" s="5" t="s">
        <v>210</v>
      </c>
      <c r="C57" s="126">
        <f t="shared" ref="C57:AH57" si="69">C56/C53</f>
        <v>0.40043513746336595</v>
      </c>
      <c r="D57" s="126">
        <f t="shared" si="69"/>
        <v>0.52252088376453465</v>
      </c>
      <c r="E57" s="126">
        <f t="shared" si="69"/>
        <v>9.7250696525258895E-4</v>
      </c>
      <c r="F57" s="126">
        <f t="shared" si="69"/>
        <v>0.45177576853526219</v>
      </c>
      <c r="G57" s="126">
        <f t="shared" si="69"/>
        <v>0.33685719687421223</v>
      </c>
      <c r="H57" s="126" t="e">
        <f t="shared" si="69"/>
        <v>#DIV/0!</v>
      </c>
      <c r="I57" s="126" t="e">
        <f t="shared" si="69"/>
        <v>#DIV/0!</v>
      </c>
      <c r="J57" s="126" t="e">
        <f t="shared" si="69"/>
        <v>#DIV/0!</v>
      </c>
      <c r="K57" s="126">
        <f t="shared" si="69"/>
        <v>7.2642857142857142</v>
      </c>
      <c r="L57" s="126">
        <f t="shared" si="69"/>
        <v>0.56745762711864411</v>
      </c>
      <c r="M57" s="126">
        <f t="shared" si="69"/>
        <v>0.54364264450706024</v>
      </c>
      <c r="N57" s="126">
        <f t="shared" si="69"/>
        <v>0.5647120055517002</v>
      </c>
      <c r="O57" s="126">
        <f t="shared" si="69"/>
        <v>0.11495372625426206</v>
      </c>
      <c r="P57" s="126">
        <f t="shared" si="69"/>
        <v>0.62220593624038112</v>
      </c>
      <c r="Q57" s="126" t="e">
        <f t="shared" si="69"/>
        <v>#DIV/0!</v>
      </c>
      <c r="R57" s="126">
        <f t="shared" si="69"/>
        <v>0.72364380757420677</v>
      </c>
      <c r="S57" s="126">
        <f t="shared" si="69"/>
        <v>0.8915056674773989</v>
      </c>
      <c r="T57" s="126">
        <f t="shared" si="69"/>
        <v>0.49211945230268239</v>
      </c>
      <c r="U57" s="126" t="e">
        <f t="shared" si="69"/>
        <v>#DIV/0!</v>
      </c>
      <c r="V57" s="126" t="e">
        <f t="shared" si="69"/>
        <v>#DIV/0!</v>
      </c>
      <c r="W57" s="126" t="e">
        <f t="shared" si="69"/>
        <v>#DIV/0!</v>
      </c>
      <c r="X57" s="126" t="e">
        <f t="shared" si="69"/>
        <v>#DIV/0!</v>
      </c>
      <c r="Y57" s="126">
        <f t="shared" si="69"/>
        <v>10.504807692307692</v>
      </c>
      <c r="Z57" s="126">
        <f t="shared" si="69"/>
        <v>19.071428571428573</v>
      </c>
      <c r="AA57" s="126">
        <f t="shared" si="69"/>
        <v>2.6798245614035086</v>
      </c>
      <c r="AB57" s="126" t="e">
        <f t="shared" si="69"/>
        <v>#DIV/0!</v>
      </c>
      <c r="AC57" s="126">
        <f t="shared" si="69"/>
        <v>0.55934295128093892</v>
      </c>
      <c r="AD57" s="126">
        <f t="shared" si="69"/>
        <v>0.28925120772946861</v>
      </c>
      <c r="AE57" s="126">
        <f t="shared" si="69"/>
        <v>1.2551020408163265</v>
      </c>
      <c r="AF57" s="126">
        <f t="shared" si="69"/>
        <v>1.4193811074918568</v>
      </c>
      <c r="AG57" s="126" t="e">
        <f t="shared" si="69"/>
        <v>#DIV/0!</v>
      </c>
      <c r="AH57" s="126" t="e">
        <f t="shared" si="69"/>
        <v>#DIV/0!</v>
      </c>
      <c r="AI57" s="126">
        <f t="shared" ref="AI57:BJ57" si="70">AI56/AI53</f>
        <v>6.5</v>
      </c>
      <c r="AJ57" s="126">
        <f t="shared" si="70"/>
        <v>0.12605343374574143</v>
      </c>
      <c r="AK57" s="126">
        <f t="shared" si="70"/>
        <v>0.51492376197544187</v>
      </c>
      <c r="AL57" s="126">
        <f t="shared" si="70"/>
        <v>0.37585654510289257</v>
      </c>
      <c r="AM57" s="126" t="e">
        <f t="shared" si="70"/>
        <v>#DIV/0!</v>
      </c>
      <c r="AN57" s="126">
        <f t="shared" si="70"/>
        <v>0.46310729338294737</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1.055350553505535</v>
      </c>
      <c r="AW57" s="126">
        <f t="shared" si="70"/>
        <v>1.0122448979591836</v>
      </c>
      <c r="AX57" s="126">
        <f t="shared" si="70"/>
        <v>0.63728813559322028</v>
      </c>
      <c r="AY57" s="126" t="e">
        <f t="shared" si="70"/>
        <v>#DIV/0!</v>
      </c>
      <c r="AZ57" s="126" t="e">
        <f t="shared" si="70"/>
        <v>#DIV/0!</v>
      </c>
      <c r="BA57" s="126" t="e">
        <f t="shared" si="70"/>
        <v>#DIV/0!</v>
      </c>
      <c r="BB57" s="126">
        <f t="shared" si="70"/>
        <v>0.65691026304644484</v>
      </c>
      <c r="BC57" s="126">
        <f t="shared" si="70"/>
        <v>0.64491082772575403</v>
      </c>
      <c r="BD57" s="126">
        <f t="shared" si="70"/>
        <v>0</v>
      </c>
      <c r="BE57" s="126">
        <f t="shared" si="70"/>
        <v>1.0196703880914406</v>
      </c>
      <c r="BF57" s="126">
        <f t="shared" si="70"/>
        <v>0.86952179646292271</v>
      </c>
      <c r="BG57" s="126">
        <f t="shared" si="70"/>
        <v>0.40736518404190636</v>
      </c>
      <c r="BH57" s="126">
        <f t="shared" si="70"/>
        <v>0.53146023758581784</v>
      </c>
      <c r="BI57" s="126">
        <f t="shared" si="70"/>
        <v>0</v>
      </c>
      <c r="BJ57" s="126">
        <f t="shared" si="70"/>
        <v>0.53147448904754235</v>
      </c>
    </row>
    <row r="58" spans="1:64" ht="15.75" x14ac:dyDescent="0.2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42</v>
      </c>
      <c r="B59" s="11" t="s">
        <v>214</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x14ac:dyDescent="0.25">
      <c r="A60" s="128">
        <v>12</v>
      </c>
      <c r="B60" s="5" t="s">
        <v>211</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x14ac:dyDescent="0.2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x14ac:dyDescent="0.25">
      <c r="A62" s="128"/>
      <c r="B62" s="12" t="s">
        <v>212</v>
      </c>
      <c r="C62" s="9">
        <f>IF('Upto Month Current'!$K$4="",0,'Upto Month Current'!$K$4)</f>
        <v>702492</v>
      </c>
      <c r="D62" s="9">
        <f>IF('Upto Month Current'!$K$5="",0,'Upto Month Current'!$K$5)</f>
        <v>148111</v>
      </c>
      <c r="E62" s="9">
        <f>IF('Upto Month Current'!$K$6="",0,'Upto Month Current'!$K$6)</f>
        <v>183</v>
      </c>
      <c r="F62" s="9">
        <f>IF('Upto Month Current'!$K$7="",0,'Upto Month Current'!$K$7)</f>
        <v>66596</v>
      </c>
      <c r="G62" s="9">
        <f>IF('Upto Month Current'!$K$8="",0,'Upto Month Current'!$K$8)</f>
        <v>39553</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242</v>
      </c>
      <c r="M62" s="9">
        <f>IF('Upto Month Current'!$K$14="",0,'Upto Month Current'!$K$14)</f>
        <v>82325</v>
      </c>
      <c r="N62" s="9">
        <f>IF('Upto Month Current'!$K$15="",0,'Upto Month Current'!$K$15)</f>
        <v>120</v>
      </c>
      <c r="O62" s="9">
        <f>IF('Upto Month Current'!$K$16="",0,'Upto Month Current'!$K$16)</f>
        <v>5023</v>
      </c>
      <c r="P62" s="9">
        <f>IF('Upto Month Current'!$K$17="",0,'Upto Month Current'!$K$17)</f>
        <v>97598</v>
      </c>
      <c r="Q62" s="9">
        <f>IF('Upto Month Current'!$K$18="",0,'Upto Month Current'!$K$18)</f>
        <v>0</v>
      </c>
      <c r="R62" s="9">
        <f>IF('Upto Month Current'!$K$21="",0,'Upto Month Current'!$K$21)</f>
        <v>1274</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1772</v>
      </c>
      <c r="Z62" s="9">
        <f>IF('Upto Month Current'!$K$43="",0,'Upto Month Current'!$K$43)</f>
        <v>275</v>
      </c>
      <c r="AA62" s="9">
        <f>IF('Upto Month Current'!$K$44="",0,'Upto Month Current'!$K$44)</f>
        <v>909</v>
      </c>
      <c r="AB62" s="9">
        <f>IF('Upto Month Current'!$K$51="",0,'Upto Month Current'!$K$51)</f>
        <v>0</v>
      </c>
      <c r="AC62" s="121">
        <f t="shared" si="71"/>
        <v>1146473</v>
      </c>
      <c r="AD62" s="9">
        <f>IF('Upto Month Current'!$K$19="",0,'Upto Month Current'!$K$19)</f>
        <v>1946</v>
      </c>
      <c r="AE62" s="9">
        <f>IF('Upto Month Current'!$K$20="",0,'Upto Month Current'!$K$20)</f>
        <v>290</v>
      </c>
      <c r="AF62" s="9">
        <f>IF('Upto Month Current'!$K$22="",0,'Upto Month Current'!$K$22)</f>
        <v>193</v>
      </c>
      <c r="AG62" s="9">
        <f>IF('Upto Month Current'!$K$23="",0,'Upto Month Current'!$K$23)</f>
        <v>0</v>
      </c>
      <c r="AH62" s="9">
        <f>IF('Upto Month Current'!$K$24="",0,'Upto Month Current'!$K$24)</f>
        <v>0</v>
      </c>
      <c r="AI62" s="9">
        <f>IF('Upto Month Current'!$K$25="",0,'Upto Month Current'!$K$25)</f>
        <v>29</v>
      </c>
      <c r="AJ62" s="9">
        <f>IF('Upto Month Current'!$K$28="",0,'Upto Month Current'!$K$28)</f>
        <v>3259</v>
      </c>
      <c r="AK62" s="9">
        <f>IF('Upto Month Current'!$K$29="",0,'Upto Month Current'!$K$29)</f>
        <v>7751</v>
      </c>
      <c r="AL62" s="9">
        <f>IF('Upto Month Current'!$K$31="",0,'Upto Month Current'!$K$31)</f>
        <v>42</v>
      </c>
      <c r="AM62" s="9">
        <f>IF('Upto Month Current'!$K$32="",0,'Upto Month Current'!$K$32)</f>
        <v>34</v>
      </c>
      <c r="AN62" s="9">
        <f>IF('Upto Month Current'!$K$33="",0,'Upto Month Current'!$K$33)</f>
        <v>48251</v>
      </c>
      <c r="AO62" s="9">
        <f>IF('Upto Month Current'!$K$34="",0,'Upto Month Current'!$K$34)</f>
        <v>88399</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2017</v>
      </c>
      <c r="AW62" s="9">
        <f>IF('Upto Month Current'!$K$46="",0,'Upto Month Current'!$K$46)</f>
        <v>918</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1349</v>
      </c>
      <c r="BC62" s="9">
        <f>IF('Upto Month Current'!$K$54="",0,'Upto Month Current'!$K$54)</f>
        <v>1349</v>
      </c>
      <c r="BD62" s="9">
        <f>IF('Upto Month Current'!$K$55="",0,'Upto Month Current'!$K$55)</f>
        <v>0</v>
      </c>
      <c r="BE62" s="9">
        <f>IF('Upto Month Current'!$K$56="",0,'Upto Month Current'!$K$56)</f>
        <v>2710</v>
      </c>
      <c r="BF62" s="9">
        <f>IF('Upto Month Current'!$K$58="",0,'Upto Month Current'!$K$58)</f>
        <v>240698</v>
      </c>
      <c r="BG62" s="122">
        <f t="shared" si="73"/>
        <v>399235</v>
      </c>
      <c r="BH62" s="123">
        <f t="shared" si="74"/>
        <v>1545708</v>
      </c>
      <c r="BI62" s="9">
        <f>IF('Upto Month Current'!$K$60="",0,'Upto Month Current'!$K$60)</f>
        <v>0</v>
      </c>
      <c r="BJ62" s="124">
        <f t="shared" si="72"/>
        <v>1545708</v>
      </c>
      <c r="BK62">
        <f>'Upto Month Current'!$K$61</f>
        <v>1545706</v>
      </c>
    </row>
    <row r="63" spans="1:64" ht="15.75" x14ac:dyDescent="0.25">
      <c r="A63" s="128"/>
      <c r="B63" s="5" t="s">
        <v>210</v>
      </c>
      <c r="C63" s="126">
        <f t="shared" ref="C63:AH63" si="77">C62/C59</f>
        <v>0.53281090723751279</v>
      </c>
      <c r="D63" s="126">
        <f t="shared" si="77"/>
        <v>0.58098010065389727</v>
      </c>
      <c r="E63" s="126">
        <f t="shared" si="77"/>
        <v>7.2720047685277175E-3</v>
      </c>
      <c r="F63" s="126">
        <f t="shared" si="77"/>
        <v>0.51530134558988527</v>
      </c>
      <c r="G63" s="126">
        <f t="shared" si="77"/>
        <v>0.45824016683079416</v>
      </c>
      <c r="H63" s="126" t="e">
        <f t="shared" si="77"/>
        <v>#DIV/0!</v>
      </c>
      <c r="I63" s="126" t="e">
        <f t="shared" si="77"/>
        <v>#DIV/0!</v>
      </c>
      <c r="J63" s="126">
        <f t="shared" si="77"/>
        <v>0</v>
      </c>
      <c r="K63" s="126">
        <f t="shared" si="77"/>
        <v>0</v>
      </c>
      <c r="L63" s="126">
        <f t="shared" si="77"/>
        <v>0.19579288025889968</v>
      </c>
      <c r="M63" s="126">
        <f t="shared" si="77"/>
        <v>0.71816770186335399</v>
      </c>
      <c r="N63" s="126">
        <f t="shared" si="77"/>
        <v>0.16551724137931034</v>
      </c>
      <c r="O63" s="126">
        <f t="shared" si="77"/>
        <v>0.24856492478226444</v>
      </c>
      <c r="P63" s="126">
        <f t="shared" si="77"/>
        <v>0.91973802007256278</v>
      </c>
      <c r="Q63" s="126" t="e">
        <f t="shared" si="77"/>
        <v>#DIV/0!</v>
      </c>
      <c r="R63" s="126">
        <f t="shared" si="77"/>
        <v>0.42694369973190349</v>
      </c>
      <c r="S63" s="126" t="e">
        <f t="shared" si="77"/>
        <v>#DIV/0!</v>
      </c>
      <c r="T63" s="126" t="e">
        <f t="shared" si="77"/>
        <v>#DIV/0!</v>
      </c>
      <c r="U63" s="126" t="e">
        <f t="shared" si="77"/>
        <v>#DIV/0!</v>
      </c>
      <c r="V63" s="126" t="e">
        <f t="shared" si="77"/>
        <v>#DIV/0!</v>
      </c>
      <c r="W63" s="126" t="e">
        <f t="shared" si="77"/>
        <v>#DIV/0!</v>
      </c>
      <c r="X63" s="126" t="e">
        <f t="shared" si="77"/>
        <v>#DIV/0!</v>
      </c>
      <c r="Y63" s="126">
        <f t="shared" si="77"/>
        <v>0.9609544468546638</v>
      </c>
      <c r="Z63" s="126">
        <f t="shared" si="77"/>
        <v>0.39398280802292263</v>
      </c>
      <c r="AA63" s="126">
        <f t="shared" si="77"/>
        <v>2.0426966292134829</v>
      </c>
      <c r="AB63" s="126" t="e">
        <f t="shared" si="77"/>
        <v>#DIV/0!</v>
      </c>
      <c r="AC63" s="126">
        <f t="shared" si="77"/>
        <v>0.54903661319998431</v>
      </c>
      <c r="AD63" s="126">
        <f t="shared" si="77"/>
        <v>0.1603361621488012</v>
      </c>
      <c r="AE63" s="126">
        <f t="shared" si="77"/>
        <v>3.8666666666666667</v>
      </c>
      <c r="AF63" s="126">
        <f t="shared" si="77"/>
        <v>0.49487179487179489</v>
      </c>
      <c r="AG63" s="126" t="e">
        <f t="shared" si="77"/>
        <v>#DIV/0!</v>
      </c>
      <c r="AH63" s="126" t="e">
        <f t="shared" si="77"/>
        <v>#DIV/0!</v>
      </c>
      <c r="AI63" s="126">
        <f t="shared" ref="AI63:BJ63" si="78">AI62/AI59</f>
        <v>9.6666666666666661</v>
      </c>
      <c r="AJ63" s="126">
        <f t="shared" si="78"/>
        <v>0.88535723988046722</v>
      </c>
      <c r="AK63" s="126">
        <f t="shared" si="78"/>
        <v>0.75967852592374796</v>
      </c>
      <c r="AL63" s="126">
        <f t="shared" si="78"/>
        <v>0.18025751072961374</v>
      </c>
      <c r="AM63" s="126">
        <f t="shared" si="78"/>
        <v>6.8</v>
      </c>
      <c r="AN63" s="126">
        <f t="shared" si="78"/>
        <v>0.50988576682059794</v>
      </c>
      <c r="AO63" s="126">
        <f t="shared" si="78"/>
        <v>0.45334912893415591</v>
      </c>
      <c r="AP63" s="126" t="e">
        <f t="shared" si="78"/>
        <v>#DIV/0!</v>
      </c>
      <c r="AQ63" s="126" t="e">
        <f t="shared" si="78"/>
        <v>#DIV/0!</v>
      </c>
      <c r="AR63" s="126" t="e">
        <f t="shared" si="78"/>
        <v>#DIV/0!</v>
      </c>
      <c r="AS63" s="126" t="e">
        <f t="shared" si="78"/>
        <v>#DIV/0!</v>
      </c>
      <c r="AT63" s="126" t="e">
        <f t="shared" si="78"/>
        <v>#DIV/0!</v>
      </c>
      <c r="AU63" s="126" t="e">
        <f t="shared" si="78"/>
        <v>#DIV/0!</v>
      </c>
      <c r="AV63" s="126">
        <f t="shared" si="78"/>
        <v>1.2559153175591531</v>
      </c>
      <c r="AW63" s="126">
        <f t="shared" si="78"/>
        <v>0.92354124748490951</v>
      </c>
      <c r="AX63" s="126">
        <f t="shared" si="78"/>
        <v>0</v>
      </c>
      <c r="AY63" s="126" t="e">
        <f t="shared" si="78"/>
        <v>#DIV/0!</v>
      </c>
      <c r="AZ63" s="126" t="e">
        <f t="shared" si="78"/>
        <v>#DIV/0!</v>
      </c>
      <c r="BA63" s="126" t="e">
        <f t="shared" si="78"/>
        <v>#DIV/0!</v>
      </c>
      <c r="BB63" s="126">
        <f t="shared" si="78"/>
        <v>0.39409874379199533</v>
      </c>
      <c r="BC63" s="126">
        <f t="shared" si="78"/>
        <v>0.39409874379199533</v>
      </c>
      <c r="BD63" s="126">
        <f t="shared" si="78"/>
        <v>0</v>
      </c>
      <c r="BE63" s="126">
        <f t="shared" si="78"/>
        <v>49.272727272727273</v>
      </c>
      <c r="BF63" s="126">
        <f t="shared" si="78"/>
        <v>0.26075162524252704</v>
      </c>
      <c r="BG63" s="126">
        <f t="shared" si="78"/>
        <v>0.3196342462232904</v>
      </c>
      <c r="BH63" s="126">
        <f t="shared" si="78"/>
        <v>0.46317636599163786</v>
      </c>
      <c r="BI63" s="126">
        <f t="shared" si="78"/>
        <v>0</v>
      </c>
      <c r="BJ63" s="126">
        <f t="shared" si="78"/>
        <v>0.49130689755460305</v>
      </c>
    </row>
    <row r="64" spans="1:64" ht="15.75" x14ac:dyDescent="0.2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143</v>
      </c>
      <c r="B65" s="11" t="s">
        <v>214</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x14ac:dyDescent="0.25">
      <c r="A66" s="128" t="s">
        <v>143</v>
      </c>
      <c r="B66" s="5" t="s">
        <v>211</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x14ac:dyDescent="0.2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x14ac:dyDescent="0.25">
      <c r="A68" s="128"/>
      <c r="B68" s="12" t="s">
        <v>212</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1336482</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1336482</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31824683</v>
      </c>
      <c r="BG68" s="122">
        <f t="shared" si="81"/>
        <v>31824683</v>
      </c>
      <c r="BH68" s="123">
        <f t="shared" si="82"/>
        <v>33161165</v>
      </c>
      <c r="BI68" s="9">
        <f>IF('Upto Month Current'!$L$60="",0,'Upto Month Current'!$L$60)</f>
        <v>31811229</v>
      </c>
      <c r="BJ68" s="124">
        <f t="shared" si="80"/>
        <v>1349936</v>
      </c>
      <c r="BK68">
        <f>'Upto Month Current'!$L$61</f>
        <v>1349936</v>
      </c>
    </row>
    <row r="69" spans="1:63" ht="15.75" x14ac:dyDescent="0.25">
      <c r="A69" s="128"/>
      <c r="B69" s="5" t="s">
        <v>210</v>
      </c>
      <c r="C69" s="126" t="e">
        <f t="shared" ref="C69:AH69" si="85">C68/C65</f>
        <v>#DIV/0!</v>
      </c>
      <c r="D69" s="126" t="e">
        <f t="shared" si="85"/>
        <v>#DIV/0!</v>
      </c>
      <c r="E69" s="126" t="e">
        <f t="shared" si="85"/>
        <v>#DIV/0!</v>
      </c>
      <c r="F69" s="126" t="e">
        <f t="shared" si="85"/>
        <v>#DIV/0!</v>
      </c>
      <c r="G69" s="126" t="e">
        <f t="shared" si="85"/>
        <v>#DIV/0!</v>
      </c>
      <c r="H69" s="126">
        <f t="shared" si="85"/>
        <v>0.50138863826414026</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0.50138863826414026</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0.44263436287750446</v>
      </c>
      <c r="BG69" s="126">
        <f t="shared" si="86"/>
        <v>0.44263436287750446</v>
      </c>
      <c r="BH69" s="126">
        <f t="shared" si="86"/>
        <v>0.44473475018754716</v>
      </c>
      <c r="BI69" s="126">
        <f t="shared" si="86"/>
        <v>0.44270434448610146</v>
      </c>
      <c r="BJ69" s="126">
        <f t="shared" si="86"/>
        <v>0.49862502248536095</v>
      </c>
    </row>
    <row r="70" spans="1:63" ht="15.75" x14ac:dyDescent="0.2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8"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x14ac:dyDescent="0.2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x14ac:dyDescent="0.2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x14ac:dyDescent="0.25">
      <c r="A74" s="128"/>
      <c r="B74" s="12" t="str">
        <f>B68</f>
        <v>Actuals upto Sep' 20</v>
      </c>
      <c r="C74" s="5">
        <f>C8+C14+C20+C26+C32+C38+C44+C50+C56+C62+C68</f>
        <v>10754119</v>
      </c>
      <c r="D74" s="5">
        <f t="shared" ref="D74:AB74" si="95">D8+D14+D20+D26+D32+D38+D44+D50+D56+D62+D68</f>
        <v>2390389</v>
      </c>
      <c r="E74" s="5">
        <f t="shared" si="95"/>
        <v>2773</v>
      </c>
      <c r="F74" s="5">
        <f t="shared" si="95"/>
        <v>1198057</v>
      </c>
      <c r="G74" s="5">
        <f t="shared" si="95"/>
        <v>602292</v>
      </c>
      <c r="H74" s="5">
        <f t="shared" si="95"/>
        <v>1336482</v>
      </c>
      <c r="I74" s="5">
        <f t="shared" si="95"/>
        <v>0</v>
      </c>
      <c r="J74" s="5">
        <f t="shared" si="95"/>
        <v>915690</v>
      </c>
      <c r="K74" s="5">
        <f t="shared" si="95"/>
        <v>7571</v>
      </c>
      <c r="L74" s="5">
        <f t="shared" si="95"/>
        <v>162179</v>
      </c>
      <c r="M74" s="5">
        <f t="shared" si="95"/>
        <v>713657</v>
      </c>
      <c r="N74" s="5">
        <f t="shared" si="95"/>
        <v>8208</v>
      </c>
      <c r="O74" s="5">
        <f t="shared" si="95"/>
        <v>27049</v>
      </c>
      <c r="P74" s="5">
        <f t="shared" si="95"/>
        <v>493909</v>
      </c>
      <c r="Q74" s="5">
        <f t="shared" si="95"/>
        <v>0</v>
      </c>
      <c r="R74" s="5">
        <f t="shared" si="95"/>
        <v>19647</v>
      </c>
      <c r="S74" s="5">
        <f t="shared" si="95"/>
        <v>679938</v>
      </c>
      <c r="T74" s="5">
        <f t="shared" si="95"/>
        <v>493865</v>
      </c>
      <c r="U74" s="5">
        <f t="shared" si="95"/>
        <v>0</v>
      </c>
      <c r="V74" s="5">
        <f t="shared" si="95"/>
        <v>180913</v>
      </c>
      <c r="W74" s="5">
        <f t="shared" si="95"/>
        <v>0</v>
      </c>
      <c r="X74" s="5">
        <f t="shared" si="95"/>
        <v>0</v>
      </c>
      <c r="Y74" s="5">
        <f t="shared" si="95"/>
        <v>68581</v>
      </c>
      <c r="Z74" s="5">
        <f t="shared" si="95"/>
        <v>7432</v>
      </c>
      <c r="AA74" s="5">
        <f t="shared" si="95"/>
        <v>10843</v>
      </c>
      <c r="AB74" s="5">
        <f t="shared" si="95"/>
        <v>580528</v>
      </c>
      <c r="AC74" s="121">
        <f t="shared" si="88"/>
        <v>20654122</v>
      </c>
      <c r="AD74" s="5">
        <f>AD8+AD14+AD20+AD26+AD32+AD38+AD44+AD50+AD56+AD62+AD68</f>
        <v>17150</v>
      </c>
      <c r="AE74" s="5">
        <f t="shared" ref="AE74:BF74" si="96">AE8+AE14+AE20+AE26+AE32+AE38+AE44+AE50+AE56+AE62+AE68</f>
        <v>14413</v>
      </c>
      <c r="AF74" s="5">
        <f t="shared" si="96"/>
        <v>81420</v>
      </c>
      <c r="AG74" s="5">
        <f t="shared" si="96"/>
        <v>41</v>
      </c>
      <c r="AH74" s="5">
        <f t="shared" si="96"/>
        <v>0</v>
      </c>
      <c r="AI74" s="5">
        <f t="shared" si="96"/>
        <v>8804</v>
      </c>
      <c r="AJ74" s="5">
        <f t="shared" si="96"/>
        <v>758334</v>
      </c>
      <c r="AK74" s="5">
        <f t="shared" si="96"/>
        <v>356564</v>
      </c>
      <c r="AL74" s="5">
        <f t="shared" si="96"/>
        <v>4347393</v>
      </c>
      <c r="AM74" s="5">
        <f t="shared" si="96"/>
        <v>92928</v>
      </c>
      <c r="AN74" s="5">
        <f t="shared" si="96"/>
        <v>1416910</v>
      </c>
      <c r="AO74" s="5">
        <f t="shared" si="96"/>
        <v>7842767</v>
      </c>
      <c r="AP74" s="5">
        <f t="shared" si="96"/>
        <v>157456</v>
      </c>
      <c r="AQ74" s="5">
        <f t="shared" si="96"/>
        <v>262972</v>
      </c>
      <c r="AR74" s="5">
        <f t="shared" si="96"/>
        <v>0</v>
      </c>
      <c r="AS74" s="5">
        <f t="shared" si="96"/>
        <v>0</v>
      </c>
      <c r="AT74" s="5">
        <f t="shared" si="96"/>
        <v>111026</v>
      </c>
      <c r="AU74" s="5">
        <f t="shared" si="96"/>
        <v>0</v>
      </c>
      <c r="AV74" s="5">
        <f t="shared" si="96"/>
        <v>6501</v>
      </c>
      <c r="AW74" s="5">
        <f t="shared" si="96"/>
        <v>7184</v>
      </c>
      <c r="AX74" s="5">
        <f t="shared" si="96"/>
        <v>3726</v>
      </c>
      <c r="AY74" s="5">
        <f t="shared" si="96"/>
        <v>475071</v>
      </c>
      <c r="AZ74" s="5">
        <f t="shared" si="96"/>
        <v>909161</v>
      </c>
      <c r="BA74" s="5">
        <f t="shared" si="96"/>
        <v>577691</v>
      </c>
      <c r="BB74" s="5">
        <f t="shared" si="96"/>
        <v>68196</v>
      </c>
      <c r="BC74" s="5">
        <f t="shared" si="96"/>
        <v>67941</v>
      </c>
      <c r="BD74" s="5">
        <f t="shared" si="96"/>
        <v>0</v>
      </c>
      <c r="BE74" s="5">
        <f t="shared" si="96"/>
        <v>72158</v>
      </c>
      <c r="BF74" s="5">
        <f t="shared" si="96"/>
        <v>32155403</v>
      </c>
      <c r="BG74" s="6">
        <f>BG8+BG14+BG20+BG26+BG32+BG38+BG44+BG50+BG56+BG62+BG68</f>
        <v>49811210</v>
      </c>
      <c r="BH74" s="125">
        <f>AC74+BG74</f>
        <v>70465332</v>
      </c>
      <c r="BI74" s="5">
        <f t="shared" si="92"/>
        <v>32070111</v>
      </c>
      <c r="BJ74" s="49">
        <f t="shared" si="92"/>
        <v>38395221</v>
      </c>
      <c r="BK74" s="30">
        <f>'Upto Month Current'!N61-'Upto Month Current'!M61</f>
        <v>38397525</v>
      </c>
    </row>
    <row r="75" spans="1:63" ht="15.75" x14ac:dyDescent="0.25">
      <c r="A75" s="128"/>
      <c r="B75" s="5" t="s">
        <v>210</v>
      </c>
      <c r="C75" s="126">
        <f t="shared" ref="C75:AH75" si="97">C74/C71</f>
        <v>0.44551381582959271</v>
      </c>
      <c r="D75" s="126">
        <f t="shared" si="97"/>
        <v>0.55648678849959254</v>
      </c>
      <c r="E75" s="126">
        <f t="shared" si="97"/>
        <v>2.687934923476732E-3</v>
      </c>
      <c r="F75" s="126">
        <f t="shared" si="97"/>
        <v>0.46759264860679239</v>
      </c>
      <c r="G75" s="126">
        <f t="shared" si="97"/>
        <v>0.45130447683802427</v>
      </c>
      <c r="H75" s="126">
        <f t="shared" si="97"/>
        <v>0.50138863826414026</v>
      </c>
      <c r="I75" s="126" t="e">
        <f t="shared" si="97"/>
        <v>#DIV/0!</v>
      </c>
      <c r="J75" s="126">
        <f t="shared" si="97"/>
        <v>0.72210459078058642</v>
      </c>
      <c r="K75" s="126">
        <f t="shared" si="97"/>
        <v>3.9763655462184876E-2</v>
      </c>
      <c r="L75" s="126">
        <f t="shared" si="97"/>
        <v>0.36721741315949763</v>
      </c>
      <c r="M75" s="126">
        <f t="shared" si="97"/>
        <v>0.76380622533694797</v>
      </c>
      <c r="N75" s="126">
        <f t="shared" si="97"/>
        <v>0.56976259891711789</v>
      </c>
      <c r="O75" s="126">
        <f t="shared" si="97"/>
        <v>0.34127354622188016</v>
      </c>
      <c r="P75" s="126">
        <f t="shared" si="97"/>
        <v>0.6533187830687831</v>
      </c>
      <c r="Q75" s="126" t="e">
        <f t="shared" si="97"/>
        <v>#DIV/0!</v>
      </c>
      <c r="R75" s="126">
        <f t="shared" si="97"/>
        <v>0.43659999999999999</v>
      </c>
      <c r="S75" s="126">
        <f t="shared" si="97"/>
        <v>0.8915056674773989</v>
      </c>
      <c r="T75" s="126">
        <f t="shared" si="97"/>
        <v>0.49211945230268239</v>
      </c>
      <c r="U75" s="126" t="e">
        <f t="shared" si="97"/>
        <v>#DIV/0!</v>
      </c>
      <c r="V75" s="126">
        <f t="shared" si="97"/>
        <v>0.56782493793293931</v>
      </c>
      <c r="W75" s="126">
        <f t="shared" si="97"/>
        <v>0</v>
      </c>
      <c r="X75" s="126">
        <f t="shared" si="97"/>
        <v>0</v>
      </c>
      <c r="Y75" s="126">
        <f t="shared" si="97"/>
        <v>8.4055644074028688</v>
      </c>
      <c r="Z75" s="126">
        <f t="shared" si="97"/>
        <v>5.2338028169014086</v>
      </c>
      <c r="AA75" s="126">
        <f t="shared" si="97"/>
        <v>0.24133633065503349</v>
      </c>
      <c r="AB75" s="126">
        <f t="shared" si="97"/>
        <v>0.34299826884331552</v>
      </c>
      <c r="AC75" s="126">
        <f t="shared" si="97"/>
        <v>0.47382650518517389</v>
      </c>
      <c r="AD75" s="126">
        <f t="shared" si="97"/>
        <v>0.13887651731705145</v>
      </c>
      <c r="AE75" s="126">
        <f t="shared" si="97"/>
        <v>0.29790004547145632</v>
      </c>
      <c r="AF75" s="126">
        <f t="shared" si="97"/>
        <v>1.313501217997322</v>
      </c>
      <c r="AG75" s="126" t="e">
        <f t="shared" si="97"/>
        <v>#DIV/0!</v>
      </c>
      <c r="AH75" s="126">
        <f t="shared" si="97"/>
        <v>0</v>
      </c>
      <c r="AI75" s="126">
        <f t="shared" ref="AI75:BJ75" si="98">AI74/AI71</f>
        <v>0.79927371765773947</v>
      </c>
      <c r="AJ75" s="126">
        <f t="shared" si="98"/>
        <v>0.60368451554559233</v>
      </c>
      <c r="AK75" s="126">
        <f t="shared" si="98"/>
        <v>0.28073606570800502</v>
      </c>
      <c r="AL75" s="126">
        <f t="shared" si="98"/>
        <v>0.6159315920116063</v>
      </c>
      <c r="AM75" s="126">
        <f t="shared" si="98"/>
        <v>0.83870036101083034</v>
      </c>
      <c r="AN75" s="126">
        <f t="shared" si="98"/>
        <v>0.50492196553626334</v>
      </c>
      <c r="AO75" s="126">
        <f t="shared" si="98"/>
        <v>0.45523316605934216</v>
      </c>
      <c r="AP75" s="126">
        <f t="shared" si="98"/>
        <v>1.882341689679494</v>
      </c>
      <c r="AQ75" s="126">
        <f t="shared" si="98"/>
        <v>0.28942994939389338</v>
      </c>
      <c r="AR75" s="126" t="e">
        <f t="shared" si="98"/>
        <v>#DIV/0!</v>
      </c>
      <c r="AS75" s="126" t="e">
        <f t="shared" si="98"/>
        <v>#DIV/0!</v>
      </c>
      <c r="AT75" s="126">
        <f t="shared" si="98"/>
        <v>0.19420461224147098</v>
      </c>
      <c r="AU75" s="126">
        <f t="shared" si="98"/>
        <v>0</v>
      </c>
      <c r="AV75" s="126">
        <f t="shared" si="98"/>
        <v>0.44924331421463615</v>
      </c>
      <c r="AW75" s="126">
        <f t="shared" si="98"/>
        <v>0.5319511292114032</v>
      </c>
      <c r="AX75" s="126">
        <f t="shared" si="98"/>
        <v>1.2228421398096487</v>
      </c>
      <c r="AY75" s="126">
        <f t="shared" si="98"/>
        <v>3.2586873911075136</v>
      </c>
      <c r="AZ75" s="126">
        <f t="shared" si="98"/>
        <v>0.9203953455882502</v>
      </c>
      <c r="BA75" s="126">
        <f t="shared" si="98"/>
        <v>0.76414153439153443</v>
      </c>
      <c r="BB75" s="126">
        <f t="shared" si="98"/>
        <v>0.94597106434922529</v>
      </c>
      <c r="BC75" s="126">
        <f t="shared" si="98"/>
        <v>0.94137615695837717</v>
      </c>
      <c r="BD75" s="126">
        <f t="shared" si="98"/>
        <v>0</v>
      </c>
      <c r="BE75" s="126">
        <f t="shared" si="98"/>
        <v>2.1323286052009456</v>
      </c>
      <c r="BF75" s="126">
        <f t="shared" si="98"/>
        <v>0.43933602464207677</v>
      </c>
      <c r="BG75" s="126">
        <f t="shared" si="98"/>
        <v>0.46627260084751154</v>
      </c>
      <c r="BH75" s="126">
        <f t="shared" si="98"/>
        <v>0.46846165960042913</v>
      </c>
      <c r="BI75" s="126">
        <f t="shared" si="98"/>
        <v>0.43911858866486997</v>
      </c>
      <c r="BJ75" s="126">
        <f t="shared" si="98"/>
        <v>0.49615426125762951</v>
      </c>
    </row>
    <row r="76" spans="1:63" x14ac:dyDescent="0.25">
      <c r="BF76" s="30">
        <f>BF74-BF68</f>
        <v>330720</v>
      </c>
    </row>
  </sheetData>
  <mergeCells count="4">
    <mergeCell ref="C1:K1"/>
    <mergeCell ref="M2:O2"/>
    <mergeCell ref="AP2:AR2"/>
    <mergeCell ref="BH2:BJ2"/>
  </mergeCells>
  <conditionalFormatting sqref="C51:BH51">
    <cfRule type="cellIs" dxfId="14" priority="11" operator="greaterThan">
      <formula>0.55</formula>
    </cfRule>
  </conditionalFormatting>
  <conditionalFormatting sqref="C57:BH57">
    <cfRule type="cellIs" dxfId="13" priority="10" operator="greaterThan">
      <formula>0.55</formula>
    </cfRule>
  </conditionalFormatting>
  <conditionalFormatting sqref="C69:BH69">
    <cfRule type="cellIs" dxfId="12" priority="9" operator="greaterThan">
      <formula>0.55</formula>
    </cfRule>
  </conditionalFormatting>
  <conditionalFormatting sqref="C45:BH45">
    <cfRule type="cellIs" dxfId="11" priority="8" operator="greaterThan">
      <formula>0.55</formula>
    </cfRule>
  </conditionalFormatting>
  <conditionalFormatting sqref="C33:BH33">
    <cfRule type="cellIs" dxfId="10" priority="7" operator="greaterThan">
      <formula>0.55</formula>
    </cfRule>
  </conditionalFormatting>
  <conditionalFormatting sqref="C27:BH27">
    <cfRule type="cellIs" dxfId="9" priority="6" operator="greaterThan">
      <formula>0.55</formula>
    </cfRule>
  </conditionalFormatting>
  <conditionalFormatting sqref="C21:BH21">
    <cfRule type="cellIs" dxfId="8" priority="5" operator="greaterThan">
      <formula>0.55</formula>
    </cfRule>
  </conditionalFormatting>
  <conditionalFormatting sqref="C15:BH15">
    <cfRule type="cellIs" dxfId="7" priority="4" operator="greaterThan">
      <formula>0.55</formula>
    </cfRule>
  </conditionalFormatting>
  <conditionalFormatting sqref="C9:BH9">
    <cfRule type="cellIs" dxfId="6" priority="3" operator="greaterThan">
      <formula>0.55</formula>
    </cfRule>
  </conditionalFormatting>
  <conditionalFormatting sqref="C75:BH75">
    <cfRule type="cellIs" dxfId="5" priority="2" operator="greaterThan">
      <formula>0.55</formula>
    </cfRule>
  </conditionalFormatting>
  <conditionalFormatting sqref="C63:BH63">
    <cfRule type="cellIs" dxfId="4"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Sheet6</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2021-09-13T11:20:39Z</cp:lastPrinted>
  <dcterms:created xsi:type="dcterms:W3CDTF">2015-06-05T18:17:20Z</dcterms:created>
  <dcterms:modified xsi:type="dcterms:W3CDTF">2022-01-28T07:53:00Z</dcterms:modified>
</cp:coreProperties>
</file>