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May 21\"/>
    </mc:Choice>
  </mc:AlternateContent>
  <xr:revisionPtr revIDLastSave="0" documentId="13_ncr:1_{2F656FB0-9EB5-496A-8D18-A46BFF256A1B}"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Sheet1!$B$1:$O$117</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16" i="4" l="1"/>
  <c r="L116" i="4" s="1"/>
  <c r="L115" i="4"/>
  <c r="K115" i="4"/>
  <c r="K114" i="4"/>
  <c r="L114" i="4" s="1"/>
  <c r="K110" i="4"/>
  <c r="L110" i="4" s="1"/>
  <c r="K109" i="4"/>
  <c r="L109" i="4" s="1"/>
  <c r="K108" i="4"/>
  <c r="L108" i="4" s="1"/>
  <c r="K102" i="4"/>
  <c r="L102" i="4" s="1"/>
  <c r="K103" i="4"/>
  <c r="L103" i="4"/>
  <c r="K100" i="4"/>
  <c r="L100" i="4" s="1"/>
  <c r="K99" i="4"/>
  <c r="L99" i="4" s="1"/>
  <c r="K97" i="4"/>
  <c r="L97" i="4" s="1"/>
  <c r="K96" i="4"/>
  <c r="L96" i="4" s="1"/>
  <c r="K95" i="4"/>
  <c r="L95" i="4" s="1"/>
  <c r="K92" i="4"/>
  <c r="L92" i="4" s="1"/>
  <c r="K93" i="4"/>
  <c r="L93" i="4" s="1"/>
  <c r="L91" i="4"/>
  <c r="K91" i="4"/>
  <c r="H117" i="4"/>
  <c r="H111" i="4"/>
  <c r="H106" i="4"/>
  <c r="H104" i="4"/>
  <c r="H101" i="4"/>
  <c r="H98" i="4"/>
  <c r="H94" i="4"/>
  <c r="H76" i="4"/>
  <c r="H40" i="4"/>
  <c r="H32" i="4"/>
  <c r="H11" i="4"/>
  <c r="H3" i="4"/>
  <c r="BG105" i="2"/>
  <c r="BI105" i="2"/>
  <c r="BK105" i="2" s="1"/>
  <c r="BG40" i="2"/>
  <c r="BG104" i="2"/>
  <c r="BH104" i="2" s="1"/>
  <c r="BP115" i="2"/>
  <c r="Q8" i="4"/>
  <c r="BH115" i="2"/>
  <c r="BH93" i="2"/>
  <c r="BH82" i="2"/>
  <c r="BH71" i="2"/>
  <c r="BH60" i="2"/>
  <c r="BH49" i="2"/>
  <c r="BH38" i="2"/>
  <c r="BH27" i="2"/>
  <c r="BH16" i="2"/>
  <c r="BH5" i="2"/>
  <c r="AD104" i="2"/>
  <c r="AD93" i="2"/>
  <c r="BI93" i="2" s="1"/>
  <c r="BK93" i="2" s="1"/>
  <c r="AD82" i="2"/>
  <c r="AD71" i="2"/>
  <c r="AD60" i="2"/>
  <c r="AD49" i="2"/>
  <c r="AD38" i="2"/>
  <c r="BI38" i="2" s="1"/>
  <c r="BK38" i="2" s="1"/>
  <c r="AD27" i="2"/>
  <c r="BI27" i="2" s="1"/>
  <c r="BK27" i="2" s="1"/>
  <c r="AD16" i="2"/>
  <c r="AD5" i="2"/>
  <c r="AD115" i="2"/>
  <c r="BI49" i="2" l="1"/>
  <c r="BK49" i="2" s="1"/>
  <c r="BI104" i="2"/>
  <c r="BK104" i="2" s="1"/>
  <c r="BQ115" i="2" s="1"/>
  <c r="BI60" i="2"/>
  <c r="BK60" i="2" s="1"/>
  <c r="BI16" i="2"/>
  <c r="BK16" i="2" s="1"/>
  <c r="BI82" i="2"/>
  <c r="BK82" i="2" s="1"/>
  <c r="BI115" i="2"/>
  <c r="BK115" i="2" s="1"/>
  <c r="BI5" i="2"/>
  <c r="BK5" i="2" s="1"/>
  <c r="BI71" i="2"/>
  <c r="BK71" i="2" s="1"/>
  <c r="J76" i="4"/>
  <c r="I76" i="4"/>
  <c r="F76" i="4"/>
  <c r="I117" i="4"/>
  <c r="K117" i="4" s="1"/>
  <c r="L117" i="4" s="1"/>
  <c r="F117" i="4"/>
  <c r="C117" i="4"/>
  <c r="M116" i="4"/>
  <c r="M115" i="4"/>
  <c r="M114" i="4"/>
  <c r="I111" i="4"/>
  <c r="K111" i="4" s="1"/>
  <c r="L111" i="4" s="1"/>
  <c r="F111" i="4"/>
  <c r="C111" i="4"/>
  <c r="M110" i="4"/>
  <c r="M109" i="4"/>
  <c r="M108" i="4"/>
  <c r="F106" i="4"/>
  <c r="I104" i="4"/>
  <c r="K104" i="4" s="1"/>
  <c r="L104" i="4" s="1"/>
  <c r="F104" i="4"/>
  <c r="E104" i="4"/>
  <c r="C104" i="4"/>
  <c r="D104" i="4" s="1"/>
  <c r="M103" i="4"/>
  <c r="M102" i="4"/>
  <c r="I101" i="4"/>
  <c r="K101" i="4" s="1"/>
  <c r="L101" i="4" s="1"/>
  <c r="F101" i="4"/>
  <c r="E101" i="4"/>
  <c r="C101" i="4"/>
  <c r="D101" i="4" s="1"/>
  <c r="M100" i="4"/>
  <c r="M99" i="4"/>
  <c r="I98" i="4"/>
  <c r="K98" i="4" s="1"/>
  <c r="L98" i="4" s="1"/>
  <c r="F98" i="4"/>
  <c r="E98" i="4"/>
  <c r="C98" i="4"/>
  <c r="D98" i="4" s="1"/>
  <c r="M96" i="4"/>
  <c r="I94" i="4"/>
  <c r="K94" i="4" s="1"/>
  <c r="L94" i="4" s="1"/>
  <c r="F94" i="4"/>
  <c r="E94" i="4"/>
  <c r="C94" i="4"/>
  <c r="M93" i="4"/>
  <c r="M92" i="4"/>
  <c r="M91" i="4"/>
  <c r="C84" i="4"/>
  <c r="D84" i="4" s="1"/>
  <c r="C73" i="4"/>
  <c r="C68" i="4"/>
  <c r="C63" i="4"/>
  <c r="D63" i="4" s="1"/>
  <c r="C54" i="4"/>
  <c r="D54" i="4" s="1"/>
  <c r="C49" i="4"/>
  <c r="D49" i="4" s="1"/>
  <c r="C28" i="4"/>
  <c r="C7" i="4"/>
  <c r="B83" i="11"/>
  <c r="B69" i="11"/>
  <c r="B64" i="11"/>
  <c r="B54" i="11"/>
  <c r="B28" i="11"/>
  <c r="C28" i="5"/>
  <c r="C7" i="5"/>
  <c r="B7" i="11"/>
  <c r="C102" i="5"/>
  <c r="C96" i="5"/>
  <c r="C92" i="5"/>
  <c r="C109" i="5"/>
  <c r="C115" i="5"/>
  <c r="D68" i="4" l="1"/>
  <c r="D94" i="4"/>
  <c r="D116" i="4"/>
  <c r="D108" i="4"/>
  <c r="D97" i="4"/>
  <c r="D103" i="4"/>
  <c r="D81" i="4"/>
  <c r="D71" i="4"/>
  <c r="D62" i="4"/>
  <c r="D48" i="4"/>
  <c r="D14" i="4"/>
  <c r="D20" i="4"/>
  <c r="D26" i="4"/>
  <c r="D115" i="4"/>
  <c r="D92" i="4"/>
  <c r="D67" i="4"/>
  <c r="D43" i="4"/>
  <c r="D15" i="4"/>
  <c r="D21" i="4"/>
  <c r="D27" i="4"/>
  <c r="D82" i="4"/>
  <c r="D42" i="4"/>
  <c r="D114" i="4"/>
  <c r="D93" i="4"/>
  <c r="D99" i="4"/>
  <c r="D91" i="4"/>
  <c r="D83" i="4"/>
  <c r="D59" i="4"/>
  <c r="D44" i="4"/>
  <c r="D37" i="4"/>
  <c r="D16" i="4"/>
  <c r="D22" i="4"/>
  <c r="D13" i="4"/>
  <c r="D109" i="4"/>
  <c r="D100" i="4"/>
  <c r="D78" i="4"/>
  <c r="D66" i="4"/>
  <c r="D53" i="4"/>
  <c r="D45" i="4"/>
  <c r="D35" i="4"/>
  <c r="D17" i="4"/>
  <c r="D23" i="4"/>
  <c r="D6" i="4"/>
  <c r="D96" i="4"/>
  <c r="D110" i="4"/>
  <c r="D95" i="4"/>
  <c r="D79" i="4"/>
  <c r="D60" i="4"/>
  <c r="D46" i="4"/>
  <c r="D36" i="4"/>
  <c r="D18" i="4"/>
  <c r="D24" i="4"/>
  <c r="D5" i="4"/>
  <c r="D102" i="4"/>
  <c r="D80" i="4"/>
  <c r="D72" i="4"/>
  <c r="D61" i="4"/>
  <c r="D52" i="4"/>
  <c r="D47" i="4"/>
  <c r="D34" i="4"/>
  <c r="D19" i="4"/>
  <c r="D25" i="4"/>
  <c r="D73" i="4"/>
  <c r="D111" i="4"/>
  <c r="D117" i="4"/>
  <c r="M117" i="4"/>
  <c r="M104" i="4"/>
  <c r="M94" i="4"/>
  <c r="M101" i="4"/>
  <c r="M111" i="4"/>
  <c r="M98" i="4"/>
  <c r="AB118" i="2"/>
  <c r="AB117" i="2"/>
  <c r="AB107" i="2"/>
  <c r="AB106" i="2"/>
  <c r="AB96" i="2"/>
  <c r="AB102" i="2" s="1"/>
  <c r="AB95" i="2"/>
  <c r="AB85" i="2"/>
  <c r="AB90" i="2" s="1"/>
  <c r="AB84" i="2"/>
  <c r="AB74" i="2"/>
  <c r="AB80" i="2" s="1"/>
  <c r="AB73" i="2"/>
  <c r="AB63" i="2"/>
  <c r="AB68" i="2" s="1"/>
  <c r="AB62" i="2"/>
  <c r="AB52" i="2"/>
  <c r="AB58" i="2" s="1"/>
  <c r="AB51" i="2"/>
  <c r="AB41" i="2"/>
  <c r="AB47" i="2" s="1"/>
  <c r="AB40" i="2"/>
  <c r="AB44" i="2" s="1"/>
  <c r="AB45" i="2" s="1"/>
  <c r="AB30" i="2"/>
  <c r="AB36" i="2" s="1"/>
  <c r="AB29" i="2"/>
  <c r="AB19" i="2"/>
  <c r="AB18" i="2"/>
  <c r="AB127" i="2"/>
  <c r="AB8" i="2"/>
  <c r="AB14" i="2" s="1"/>
  <c r="AB7" i="2"/>
  <c r="AB126" i="2"/>
  <c r="AB124" i="2"/>
  <c r="AB108" i="2"/>
  <c r="AB109" i="2" s="1"/>
  <c r="AB113" i="2"/>
  <c r="AB97" i="2"/>
  <c r="AB98" i="2" s="1"/>
  <c r="AB91" i="2"/>
  <c r="AB75" i="2"/>
  <c r="AB76" i="2" s="1"/>
  <c r="AB57" i="2"/>
  <c r="BG126" i="2"/>
  <c r="AB101" i="2" l="1"/>
  <c r="AB22" i="2"/>
  <c r="AB23" i="2" s="1"/>
  <c r="AB25" i="2"/>
  <c r="AB20" i="2"/>
  <c r="AB86" i="2"/>
  <c r="AB87" i="2" s="1"/>
  <c r="AB24" i="2"/>
  <c r="AB88" i="2"/>
  <c r="AB89" i="2" s="1"/>
  <c r="AB110" i="2"/>
  <c r="AB111" i="2" s="1"/>
  <c r="AB77" i="2"/>
  <c r="AB78" i="2" s="1"/>
  <c r="AB79" i="2"/>
  <c r="AB42" i="2"/>
  <c r="AB43" i="2" s="1"/>
  <c r="AB13" i="2"/>
  <c r="AB46" i="2"/>
  <c r="AB9" i="2"/>
  <c r="AB10" i="2" s="1"/>
  <c r="AB21" i="2"/>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BJ84"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134" i="2" l="1"/>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18" i="8" l="1"/>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G43" i="8"/>
  <c r="BF61" i="8"/>
  <c r="BF73" i="8" s="1"/>
  <c r="BG67" i="8"/>
  <c r="BH67" i="8" s="1"/>
  <c r="BJ67" i="8" s="1"/>
  <c r="BG7" i="8"/>
  <c r="BH7" i="8" s="1"/>
  <c r="BJ7" i="8" s="1"/>
  <c r="AC50" i="8"/>
  <c r="BG68" i="8"/>
  <c r="BI73" i="8"/>
  <c r="BH19" i="8"/>
  <c r="BJ19" i="8" s="1"/>
  <c r="C73" i="8"/>
  <c r="AC25" i="8"/>
  <c r="AC37" i="8"/>
  <c r="AC61" i="8"/>
  <c r="AD73" i="8"/>
  <c r="AR73" i="8"/>
  <c r="AZ73" i="8"/>
  <c r="AF73" i="8"/>
  <c r="BD73" i="8"/>
  <c r="BB73" i="8"/>
  <c r="AP73" i="8"/>
  <c r="AV73" i="8"/>
  <c r="AC56" i="8"/>
  <c r="BG56" i="8"/>
  <c r="AC62" i="8"/>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BH72" i="8" s="1"/>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C63"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8" i="8" l="1"/>
  <c r="BJ68" i="8" s="1"/>
  <c r="BH31" i="8"/>
  <c r="BJ31" i="8" s="1"/>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H73" i="8"/>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2" i="4"/>
  <c r="F72" i="4"/>
  <c r="I71" i="4"/>
  <c r="F71" i="4"/>
  <c r="I66" i="4"/>
  <c r="F66" i="4"/>
  <c r="I62" i="4"/>
  <c r="F62" i="4"/>
  <c r="I61" i="4"/>
  <c r="F61" i="4"/>
  <c r="I60" i="4"/>
  <c r="F60" i="4"/>
  <c r="I59" i="4"/>
  <c r="F59" i="4"/>
  <c r="AC127" i="2"/>
  <c r="AC126" i="2"/>
  <c r="AC118" i="2"/>
  <c r="AC117" i="2"/>
  <c r="AC107" i="2"/>
  <c r="AC113" i="2" s="1"/>
  <c r="AC106" i="2"/>
  <c r="AC96" i="2"/>
  <c r="AC95" i="2"/>
  <c r="AC85" i="2"/>
  <c r="AC91" i="2" s="1"/>
  <c r="AC84" i="2"/>
  <c r="AC74" i="2"/>
  <c r="AC73" i="2"/>
  <c r="AC63" i="2"/>
  <c r="AC69" i="2" s="1"/>
  <c r="AC62" i="2"/>
  <c r="AC52" i="2"/>
  <c r="AC51" i="2"/>
  <c r="AC41" i="2"/>
  <c r="AC47" i="2" s="1"/>
  <c r="AC40" i="2"/>
  <c r="AC30" i="2"/>
  <c r="AC29" i="2"/>
  <c r="AC19" i="2"/>
  <c r="AC25" i="2" s="1"/>
  <c r="AC18" i="2"/>
  <c r="AC8" i="2"/>
  <c r="AC14" i="2" s="1"/>
  <c r="AC7" i="2"/>
  <c r="AC101" i="2" l="1"/>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3" i="4"/>
  <c r="I73" i="4"/>
  <c r="I63" i="4"/>
  <c r="AC129" i="2"/>
  <c r="I27" i="11" s="1"/>
  <c r="Q27" i="11" s="1"/>
  <c r="R27" i="11" s="1"/>
  <c r="F63"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8" i="4"/>
  <c r="F48" i="4"/>
  <c r="I45" i="4"/>
  <c r="F45" i="4"/>
  <c r="I44" i="4"/>
  <c r="F44" i="4"/>
  <c r="I47" i="4"/>
  <c r="F47" i="4"/>
  <c r="I46" i="4"/>
  <c r="F46"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C27" i="11" l="1"/>
  <c r="H27" i="4"/>
  <c r="AV21" i="2"/>
  <c r="AS21" i="2"/>
  <c r="AC21" i="2"/>
  <c r="M27" i="11"/>
  <c r="N27" i="11" s="1"/>
  <c r="O27" i="11"/>
  <c r="K27" i="11"/>
  <c r="L27" i="11" s="1"/>
  <c r="AC130" i="2"/>
  <c r="AC131" i="2" s="1"/>
  <c r="AC134" i="2"/>
  <c r="D27" i="5"/>
  <c r="I27" i="5"/>
  <c r="M27" i="5" s="1"/>
  <c r="J27" i="4"/>
  <c r="M27" i="4" s="1"/>
  <c r="N27" i="4" s="1"/>
  <c r="AC132" i="2"/>
  <c r="AC133" i="2" s="1"/>
  <c r="I42" i="4"/>
  <c r="I49" i="4" s="1"/>
  <c r="F42" i="4"/>
  <c r="K27" i="4" l="1"/>
  <c r="L27" i="4" s="1"/>
  <c r="O27" i="4"/>
  <c r="K27" i="5"/>
  <c r="L27" i="5" s="1"/>
  <c r="F49" i="4"/>
  <c r="I83"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BA30" i="2"/>
  <c r="AZ30" i="2"/>
  <c r="AY30" i="2"/>
  <c r="AX30" i="2"/>
  <c r="AW30" i="2"/>
  <c r="AU30" i="2"/>
  <c r="AT30" i="2"/>
  <c r="AR30" i="2"/>
  <c r="AQ30" i="2"/>
  <c r="AQ36" i="2" s="1"/>
  <c r="AP30" i="2"/>
  <c r="AO30" i="2"/>
  <c r="AN30" i="2"/>
  <c r="AM30" i="2"/>
  <c r="AL30" i="2"/>
  <c r="AK30" i="2"/>
  <c r="AJ30" i="2"/>
  <c r="AI30" i="2"/>
  <c r="AH30" i="2"/>
  <c r="AG30" i="2"/>
  <c r="AF30" i="2"/>
  <c r="AE30" i="2"/>
  <c r="AA30" i="2"/>
  <c r="Z30" i="2"/>
  <c r="Y30" i="2"/>
  <c r="X30" i="2"/>
  <c r="W30" i="2"/>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BA41" i="2"/>
  <c r="AZ41" i="2"/>
  <c r="AY41" i="2"/>
  <c r="AX41" i="2"/>
  <c r="AW41" i="2"/>
  <c r="AU41" i="2"/>
  <c r="AT41" i="2"/>
  <c r="AR41" i="2"/>
  <c r="AQ41" i="2"/>
  <c r="AQ47" i="2" s="1"/>
  <c r="AP41" i="2"/>
  <c r="AO41" i="2"/>
  <c r="AN41" i="2"/>
  <c r="AM41" i="2"/>
  <c r="AL41" i="2"/>
  <c r="AK41" i="2"/>
  <c r="AJ41" i="2"/>
  <c r="AI41" i="2"/>
  <c r="AH41" i="2"/>
  <c r="AG41" i="2"/>
  <c r="AF41" i="2"/>
  <c r="AE41" i="2"/>
  <c r="AA41" i="2"/>
  <c r="Z41" i="2"/>
  <c r="Y41" i="2"/>
  <c r="X41" i="2"/>
  <c r="W41" i="2"/>
  <c r="V41" i="2"/>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AP52" i="2"/>
  <c r="AO52" i="2"/>
  <c r="AN52" i="2"/>
  <c r="AM52" i="2"/>
  <c r="AL52" i="2"/>
  <c r="AK52" i="2"/>
  <c r="AJ52" i="2"/>
  <c r="AI52" i="2"/>
  <c r="AH52" i="2"/>
  <c r="AG52" i="2"/>
  <c r="AF52" i="2"/>
  <c r="AE52" i="2"/>
  <c r="AA52" i="2"/>
  <c r="Z52" i="2"/>
  <c r="Y52" i="2"/>
  <c r="X52" i="2"/>
  <c r="W52" i="2"/>
  <c r="V52" i="2"/>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D123" i="2" l="1"/>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59" i="4"/>
  <c r="I73" i="5"/>
  <c r="M73" i="5" s="1"/>
  <c r="J72" i="4"/>
  <c r="I67" i="5"/>
  <c r="M67" i="5" s="1"/>
  <c r="J66" i="4"/>
  <c r="I63" i="5"/>
  <c r="M63" i="5" s="1"/>
  <c r="J62" i="4"/>
  <c r="I62" i="5"/>
  <c r="M62" i="5" s="1"/>
  <c r="J61" i="4"/>
  <c r="I61" i="5"/>
  <c r="M61" i="5" s="1"/>
  <c r="J60" i="4"/>
  <c r="I72" i="5"/>
  <c r="M72" i="5" s="1"/>
  <c r="J71" i="4"/>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5" i="4"/>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8" i="4"/>
  <c r="AM86" i="2"/>
  <c r="AM87" i="2" s="1"/>
  <c r="AQ86" i="2"/>
  <c r="AQ87" i="2" s="1"/>
  <c r="AW86" i="2"/>
  <c r="AW87" i="2" s="1"/>
  <c r="J47" i="4"/>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AK86" i="2"/>
  <c r="AK87" i="2" s="1"/>
  <c r="AN86" i="2"/>
  <c r="AN87" i="2" s="1"/>
  <c r="J44" i="4"/>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6" i="4"/>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0"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7" i="4" s="1"/>
  <c r="AZ84" i="2"/>
  <c r="AY84" i="2"/>
  <c r="AY88" i="2" s="1"/>
  <c r="AY89" i="2" s="1"/>
  <c r="AX84" i="2"/>
  <c r="AX88" i="2" s="1"/>
  <c r="AX89" i="2" s="1"/>
  <c r="AW84" i="2"/>
  <c r="AW88" i="2" s="1"/>
  <c r="AW89" i="2" s="1"/>
  <c r="AU84" i="2"/>
  <c r="H45" i="4" s="1"/>
  <c r="AT84" i="2"/>
  <c r="AT88" i="2" s="1"/>
  <c r="AT89" i="2" s="1"/>
  <c r="AR84" i="2"/>
  <c r="H44" i="4" s="1"/>
  <c r="AQ84" i="2"/>
  <c r="AQ88" i="2" s="1"/>
  <c r="AQ89" i="2" s="1"/>
  <c r="AP84" i="2"/>
  <c r="AP88" i="2" s="1"/>
  <c r="AP89" i="2" s="1"/>
  <c r="AO84" i="2"/>
  <c r="AO88" i="2" s="1"/>
  <c r="AO89" i="2" s="1"/>
  <c r="AN84" i="2"/>
  <c r="AN88" i="2" s="1"/>
  <c r="AN89" i="2" s="1"/>
  <c r="AM84" i="2"/>
  <c r="H48"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6"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2" i="4" s="1"/>
  <c r="AM62" i="2"/>
  <c r="H59"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Q55" i="2" s="1"/>
  <c r="AQ56" i="2" s="1"/>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V55" i="2" s="1"/>
  <c r="V56" i="2" s="1"/>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B44" i="2" s="1"/>
  <c r="BB45" i="2" s="1"/>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V44" i="2" s="1"/>
  <c r="V45" i="2" s="1"/>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B33" i="2" s="1"/>
  <c r="BB34" i="2" s="1"/>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H71" i="4" s="1"/>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V33" i="2" s="1"/>
  <c r="V34" i="2" s="1"/>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1"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H72" i="4" l="1"/>
  <c r="H73" i="4" s="1"/>
  <c r="O48" i="4"/>
  <c r="M48" i="4"/>
  <c r="N48" i="4" s="1"/>
  <c r="O45" i="4"/>
  <c r="M45" i="4"/>
  <c r="N45" i="4" s="1"/>
  <c r="O43" i="4"/>
  <c r="M43" i="4"/>
  <c r="N43" i="4" s="1"/>
  <c r="O71" i="4"/>
  <c r="M71" i="4"/>
  <c r="N71" i="4" s="1"/>
  <c r="M62" i="4"/>
  <c r="N62" i="4" s="1"/>
  <c r="O59" i="4"/>
  <c r="M59" i="4"/>
  <c r="N59" i="4" s="1"/>
  <c r="C46" i="11"/>
  <c r="H46" i="4"/>
  <c r="M46" i="4" s="1"/>
  <c r="N46" i="4" s="1"/>
  <c r="O47" i="4"/>
  <c r="M47" i="4"/>
  <c r="N47" i="4" s="1"/>
  <c r="H42" i="4"/>
  <c r="H49" i="4" s="1"/>
  <c r="O46" i="4"/>
  <c r="M60" i="4"/>
  <c r="N60" i="4" s="1"/>
  <c r="O66" i="4"/>
  <c r="M66" i="4"/>
  <c r="N66" i="4" s="1"/>
  <c r="O44" i="4"/>
  <c r="M44" i="4"/>
  <c r="N44" i="4" s="1"/>
  <c r="H63" i="4"/>
  <c r="M61" i="4"/>
  <c r="N61" i="4" s="1"/>
  <c r="M72" i="4"/>
  <c r="N72" i="4" s="1"/>
  <c r="K72" i="4"/>
  <c r="L72" i="4" s="1"/>
  <c r="O72" i="4"/>
  <c r="K62" i="4"/>
  <c r="O62" i="4"/>
  <c r="K60" i="4"/>
  <c r="L60" i="4" s="1"/>
  <c r="O60" i="4"/>
  <c r="K61" i="4"/>
  <c r="L61" i="4" s="1"/>
  <c r="O61" i="4"/>
  <c r="L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3" i="4"/>
  <c r="BG135" i="2"/>
  <c r="J73" i="4"/>
  <c r="K71" i="4"/>
  <c r="L71" i="4" s="1"/>
  <c r="K66" i="4"/>
  <c r="L66" i="4" s="1"/>
  <c r="I74" i="5"/>
  <c r="J63" i="4"/>
  <c r="M63" i="4" s="1"/>
  <c r="N63" i="4" s="1"/>
  <c r="K59" i="4"/>
  <c r="L59"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6" i="4"/>
  <c r="K44" i="4"/>
  <c r="K48" i="4"/>
  <c r="AE99" i="2"/>
  <c r="AE100" i="2" s="1"/>
  <c r="J42" i="4"/>
  <c r="K43" i="4"/>
  <c r="K47" i="4"/>
  <c r="K45"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M73" i="4" l="1"/>
  <c r="N73" i="4" s="1"/>
  <c r="O42" i="4"/>
  <c r="M42" i="4"/>
  <c r="N42" i="4" s="1"/>
  <c r="AD121" i="2"/>
  <c r="AD122" i="2" s="1"/>
  <c r="BI117" i="2"/>
  <c r="K83" i="4"/>
  <c r="L83" i="4" s="1"/>
  <c r="K63" i="4"/>
  <c r="L63" i="4" s="1"/>
  <c r="O63" i="4"/>
  <c r="K73" i="4"/>
  <c r="L73" i="4" s="1"/>
  <c r="O73" i="4"/>
  <c r="L48" i="4"/>
  <c r="L44" i="4"/>
  <c r="L47" i="4"/>
  <c r="L46" i="4"/>
  <c r="L43" i="4"/>
  <c r="L45"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49" i="4"/>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H83" i="4"/>
  <c r="M83" i="4" s="1"/>
  <c r="N83" i="4" s="1"/>
  <c r="O49" i="4"/>
  <c r="M49" i="4"/>
  <c r="N49"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76" i="2"/>
  <c r="BK112" i="2"/>
  <c r="BM107" i="2"/>
  <c r="BK79" i="2"/>
  <c r="BM74" i="2"/>
  <c r="C49" i="11"/>
  <c r="M42" i="11"/>
  <c r="N42" i="11" s="1"/>
  <c r="M82" i="11"/>
  <c r="N8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49" i="4"/>
  <c r="L49" i="4" l="1"/>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I68" i="11" s="1"/>
  <c r="Q68" i="11"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77" i="11" l="1"/>
  <c r="R77" i="11" s="1"/>
  <c r="F78" i="1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2" i="4"/>
  <c r="H52" i="11"/>
  <c r="I56" i="4"/>
  <c r="H56" i="11"/>
  <c r="K56" i="11" s="1"/>
  <c r="L56" i="11" s="1"/>
  <c r="I78" i="4"/>
  <c r="H77" i="11"/>
  <c r="I80" i="4"/>
  <c r="H79" i="11"/>
  <c r="K79" i="11" s="1"/>
  <c r="L79" i="11" s="1"/>
  <c r="O14" i="11"/>
  <c r="O16" i="11"/>
  <c r="O18" i="11"/>
  <c r="O19" i="11"/>
  <c r="O21" i="11"/>
  <c r="O23" i="11"/>
  <c r="O25" i="11"/>
  <c r="O36" i="11"/>
  <c r="O53" i="11"/>
  <c r="O68" i="11"/>
  <c r="I69" i="11"/>
  <c r="O78" i="11"/>
  <c r="O80" i="11"/>
  <c r="O81" i="11"/>
  <c r="F34" i="11"/>
  <c r="F69" i="11"/>
  <c r="I16" i="4"/>
  <c r="H16" i="11"/>
  <c r="K16" i="11" s="1"/>
  <c r="L16" i="11" s="1"/>
  <c r="I36" i="4"/>
  <c r="H36" i="11"/>
  <c r="K36" i="11" s="1"/>
  <c r="L36" i="11" s="1"/>
  <c r="I53" i="4"/>
  <c r="H53" i="11"/>
  <c r="K53" i="11" s="1"/>
  <c r="L53" i="11" s="1"/>
  <c r="I67" i="4"/>
  <c r="I68" i="4" s="1"/>
  <c r="H68" i="11"/>
  <c r="I79" i="4"/>
  <c r="H78" i="11"/>
  <c r="K78" i="11" s="1"/>
  <c r="L78" i="11" s="1"/>
  <c r="I81" i="4"/>
  <c r="H80" i="11"/>
  <c r="K80" i="11" s="1"/>
  <c r="L80" i="11" s="1"/>
  <c r="I82" i="4"/>
  <c r="H81" i="11"/>
  <c r="K81" i="11" s="1"/>
  <c r="L81" i="11" s="1"/>
  <c r="I28" i="11"/>
  <c r="O15" i="11"/>
  <c r="O17" i="11"/>
  <c r="O20" i="11"/>
  <c r="O22" i="11"/>
  <c r="O24" i="11"/>
  <c r="O26" i="11"/>
  <c r="O35" i="11"/>
  <c r="O52" i="11"/>
  <c r="I54" i="11"/>
  <c r="O56" i="11"/>
  <c r="I83" i="11"/>
  <c r="O77"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6" i="4"/>
  <c r="I17" i="5"/>
  <c r="J17" i="4"/>
  <c r="I34" i="5"/>
  <c r="J34" i="4"/>
  <c r="J67" i="4"/>
  <c r="I68" i="5"/>
  <c r="I78" i="5"/>
  <c r="J79" i="4"/>
  <c r="I36" i="5"/>
  <c r="J36" i="4"/>
  <c r="I79" i="5"/>
  <c r="J80" i="4"/>
  <c r="I16" i="5"/>
  <c r="J16" i="4"/>
  <c r="I53" i="5"/>
  <c r="J53" i="4"/>
  <c r="I77" i="5"/>
  <c r="J78" i="4"/>
  <c r="I13" i="5"/>
  <c r="I81" i="5"/>
  <c r="J82" i="4"/>
  <c r="I15" i="5"/>
  <c r="J15" i="4"/>
  <c r="I22" i="5"/>
  <c r="J22" i="4"/>
  <c r="I26" i="5"/>
  <c r="J26" i="4"/>
  <c r="I35" i="5"/>
  <c r="J35" i="4"/>
  <c r="I52" i="5"/>
  <c r="J52" i="4"/>
  <c r="I80" i="5"/>
  <c r="J81" i="4"/>
  <c r="G36" i="5"/>
  <c r="F36" i="4"/>
  <c r="G79" i="5"/>
  <c r="F80" i="4"/>
  <c r="G82" i="5"/>
  <c r="M82" i="5" s="1"/>
  <c r="F83" i="4"/>
  <c r="O83" i="4" s="1"/>
  <c r="G35" i="5"/>
  <c r="F35" i="4"/>
  <c r="G52" i="5"/>
  <c r="F52" i="4"/>
  <c r="G80" i="5"/>
  <c r="F81" i="4"/>
  <c r="G53" i="5"/>
  <c r="F53" i="4"/>
  <c r="G56" i="5"/>
  <c r="F56" i="4"/>
  <c r="G77" i="5"/>
  <c r="F78" i="4"/>
  <c r="G34" i="5"/>
  <c r="F34" i="4"/>
  <c r="F67" i="4"/>
  <c r="F68" i="4" s="1"/>
  <c r="G68" i="5"/>
  <c r="G69" i="5" s="1"/>
  <c r="G78" i="5"/>
  <c r="F79" i="4"/>
  <c r="G81" i="5"/>
  <c r="F82"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S130" i="2"/>
  <c r="S131" i="2" s="1"/>
  <c r="I24" i="4"/>
  <c r="J14" i="4"/>
  <c r="J18" i="4"/>
  <c r="J21" i="4"/>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2"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1" i="4" s="1"/>
  <c r="M128" i="2"/>
  <c r="H22" i="4" s="1"/>
  <c r="V128" i="2"/>
  <c r="H26" i="4" s="1"/>
  <c r="Z128" i="2"/>
  <c r="Z132" i="2" s="1"/>
  <c r="Z133" i="2" s="1"/>
  <c r="H128" i="2"/>
  <c r="K128" i="2"/>
  <c r="O128" i="2"/>
  <c r="O132" i="2" s="1"/>
  <c r="O133" i="2" s="1"/>
  <c r="S128" i="2"/>
  <c r="X128" i="2"/>
  <c r="X132" i="2" s="1"/>
  <c r="X133" i="2" s="1"/>
  <c r="C128" i="2"/>
  <c r="G128" i="2"/>
  <c r="H17" i="4" s="1"/>
  <c r="AE128" i="2"/>
  <c r="H34" i="4" s="1"/>
  <c r="H37" i="4" s="1"/>
  <c r="AP128" i="2"/>
  <c r="H67" i="4" s="1"/>
  <c r="H68" i="4" s="1"/>
  <c r="AU128" i="2"/>
  <c r="AU132" i="2" s="1"/>
  <c r="AU133" i="2" s="1"/>
  <c r="AZ128" i="2"/>
  <c r="AZ132" i="2" s="1"/>
  <c r="AZ133" i="2" s="1"/>
  <c r="BC128" i="2"/>
  <c r="H80" i="4" s="1"/>
  <c r="L128" i="2"/>
  <c r="P128" i="2"/>
  <c r="T128" i="2"/>
  <c r="Y128" i="2"/>
  <c r="Y132" i="2" s="1"/>
  <c r="Y133" i="2" s="1"/>
  <c r="AX128" i="2"/>
  <c r="H79" i="4" s="1"/>
  <c r="AW128" i="2"/>
  <c r="H78" i="4" s="1"/>
  <c r="H84" i="4" s="1"/>
  <c r="AL128" i="2"/>
  <c r="AI128" i="2"/>
  <c r="AI132" i="2" s="1"/>
  <c r="AI133" i="2" s="1"/>
  <c r="R128" i="2"/>
  <c r="R132" i="2" s="1"/>
  <c r="R133" i="2" s="1"/>
  <c r="F128" i="2"/>
  <c r="H16" i="4" s="1"/>
  <c r="D128" i="2"/>
  <c r="E128" i="2"/>
  <c r="H15" i="4" s="1"/>
  <c r="C23" i="11" l="1"/>
  <c r="M23" i="11" s="1"/>
  <c r="N23" i="11" s="1"/>
  <c r="H23" i="4"/>
  <c r="C20" i="11"/>
  <c r="M20" i="11" s="1"/>
  <c r="N20" i="11" s="1"/>
  <c r="H20" i="4"/>
  <c r="C56" i="11"/>
  <c r="M56" i="11" s="1"/>
  <c r="N56" i="11" s="1"/>
  <c r="H56" i="4"/>
  <c r="M56" i="4" s="1"/>
  <c r="N56" i="4" s="1"/>
  <c r="O14" i="4"/>
  <c r="M78" i="4"/>
  <c r="N78" i="4" s="1"/>
  <c r="M80" i="4"/>
  <c r="N80" i="4" s="1"/>
  <c r="C18" i="11"/>
  <c r="H18" i="4"/>
  <c r="M35" i="4"/>
  <c r="N35" i="4" s="1"/>
  <c r="M15" i="4"/>
  <c r="N15" i="4" s="1"/>
  <c r="M67" i="4"/>
  <c r="N67" i="4" s="1"/>
  <c r="C13" i="11"/>
  <c r="H13" i="4"/>
  <c r="M53" i="4"/>
  <c r="N53" i="4" s="1"/>
  <c r="M36" i="4"/>
  <c r="N36" i="4" s="1"/>
  <c r="M34" i="4"/>
  <c r="N34" i="4" s="1"/>
  <c r="C53" i="11"/>
  <c r="H53" i="4"/>
  <c r="C14" i="11"/>
  <c r="H14" i="4"/>
  <c r="M14" i="4" s="1"/>
  <c r="N14" i="4" s="1"/>
  <c r="C52" i="11"/>
  <c r="H52" i="4"/>
  <c r="O23" i="4"/>
  <c r="M23" i="4"/>
  <c r="N23" i="4" s="1"/>
  <c r="O24" i="4"/>
  <c r="M81" i="4"/>
  <c r="N81" i="4" s="1"/>
  <c r="M26" i="4"/>
  <c r="N26" i="4" s="1"/>
  <c r="M82" i="4"/>
  <c r="N82" i="4" s="1"/>
  <c r="C21" i="11"/>
  <c r="H21" i="4"/>
  <c r="M21" i="4" s="1"/>
  <c r="N21" i="4" s="1"/>
  <c r="C24" i="11"/>
  <c r="M24" i="11" s="1"/>
  <c r="N24" i="11" s="1"/>
  <c r="H24" i="4"/>
  <c r="M24" i="4" s="1"/>
  <c r="N24" i="4" s="1"/>
  <c r="O21" i="4"/>
  <c r="O20" i="4"/>
  <c r="M20" i="4"/>
  <c r="N20" i="4" s="1"/>
  <c r="M16" i="4"/>
  <c r="N16" i="4" s="1"/>
  <c r="M79" i="4"/>
  <c r="N79" i="4" s="1"/>
  <c r="M17" i="4"/>
  <c r="N17" i="4" s="1"/>
  <c r="C25" i="11"/>
  <c r="H25" i="4"/>
  <c r="M25" i="4" s="1"/>
  <c r="N25" i="4" s="1"/>
  <c r="C19" i="11"/>
  <c r="H19" i="4"/>
  <c r="M19" i="4" s="1"/>
  <c r="N19" i="4" s="1"/>
  <c r="M18" i="4"/>
  <c r="N18" i="4" s="1"/>
  <c r="M13" i="4"/>
  <c r="N13" i="4" s="1"/>
  <c r="M22" i="4"/>
  <c r="N22" i="4" s="1"/>
  <c r="O16" i="4"/>
  <c r="O25" i="4"/>
  <c r="O53" i="4"/>
  <c r="O36" i="4"/>
  <c r="O34" i="4"/>
  <c r="O82" i="4"/>
  <c r="O18" i="4"/>
  <c r="O13" i="4"/>
  <c r="O78" i="4"/>
  <c r="O80" i="4"/>
  <c r="O56" i="4"/>
  <c r="O19" i="4"/>
  <c r="O35" i="4"/>
  <c r="O15" i="4"/>
  <c r="O67" i="4"/>
  <c r="O81" i="4"/>
  <c r="O26" i="4"/>
  <c r="O79" i="4"/>
  <c r="O17" i="4"/>
  <c r="O52" i="4"/>
  <c r="O22" i="4"/>
  <c r="I37" i="4"/>
  <c r="I5" i="11"/>
  <c r="Q5" i="11" s="1"/>
  <c r="K16" i="4"/>
  <c r="K80" i="4"/>
  <c r="K36" i="4"/>
  <c r="K79" i="4"/>
  <c r="K17" i="4"/>
  <c r="K56" i="4"/>
  <c r="O13" i="11"/>
  <c r="R28" i="11"/>
  <c r="K34" i="11"/>
  <c r="L34" i="11" s="1"/>
  <c r="I54" i="4"/>
  <c r="K53" i="4"/>
  <c r="F83" i="11"/>
  <c r="R82" i="11"/>
  <c r="R83" i="11" s="1"/>
  <c r="I84" i="4"/>
  <c r="R54" i="11"/>
  <c r="Q37" i="11"/>
  <c r="Q85" i="11" s="1"/>
  <c r="R34" i="11"/>
  <c r="R37" i="11" s="1"/>
  <c r="M25" i="5"/>
  <c r="K81" i="4"/>
  <c r="K82" i="4"/>
  <c r="M13" i="5"/>
  <c r="C34" i="11"/>
  <c r="M34" i="11" s="1"/>
  <c r="N34" i="11" s="1"/>
  <c r="F7" i="11"/>
  <c r="G15" i="11" s="1"/>
  <c r="BM126" i="2"/>
  <c r="K22" i="4"/>
  <c r="K35" i="4"/>
  <c r="K15" i="4"/>
  <c r="I37" i="11"/>
  <c r="I85" i="11" s="1"/>
  <c r="O34" i="11"/>
  <c r="D15" i="5"/>
  <c r="K15" i="5" s="1"/>
  <c r="L15" i="5" s="1"/>
  <c r="C15" i="11"/>
  <c r="D78" i="5"/>
  <c r="K78" i="5" s="1"/>
  <c r="L78" i="5" s="1"/>
  <c r="C78" i="11"/>
  <c r="D68" i="5"/>
  <c r="C68" i="11"/>
  <c r="D17" i="5"/>
  <c r="K17" i="5" s="1"/>
  <c r="L17" i="5" s="1"/>
  <c r="C17" i="11"/>
  <c r="M18" i="11"/>
  <c r="N18" i="11" s="1"/>
  <c r="D26" i="5"/>
  <c r="K26" i="5" s="1"/>
  <c r="L26" i="5" s="1"/>
  <c r="C26" i="11"/>
  <c r="D80" i="5"/>
  <c r="K80" i="5" s="1"/>
  <c r="L80" i="5" s="1"/>
  <c r="C80" i="11"/>
  <c r="D36" i="5"/>
  <c r="K36" i="5" s="1"/>
  <c r="L36" i="5" s="1"/>
  <c r="C36" i="11"/>
  <c r="C54" i="11"/>
  <c r="M54" i="11" s="1"/>
  <c r="N54" i="11" s="1"/>
  <c r="D81" i="5"/>
  <c r="C81" i="11"/>
  <c r="BI126" i="2"/>
  <c r="F5" i="11"/>
  <c r="F37" i="11"/>
  <c r="H28" i="11"/>
  <c r="K28" i="11" s="1"/>
  <c r="L28" i="11" s="1"/>
  <c r="K13" i="11"/>
  <c r="L13" i="11" s="1"/>
  <c r="M53" i="11"/>
  <c r="N53" i="11" s="1"/>
  <c r="M25" i="11"/>
  <c r="N25" i="11" s="1"/>
  <c r="M21" i="11"/>
  <c r="N21" i="11" s="1"/>
  <c r="M19" i="11"/>
  <c r="N19" i="11" s="1"/>
  <c r="M14" i="11"/>
  <c r="N14" i="11" s="1"/>
  <c r="D16" i="5"/>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M13" i="11"/>
  <c r="N13"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69" i="5"/>
  <c r="D24" i="5"/>
  <c r="D20" i="5"/>
  <c r="D56" i="5"/>
  <c r="K56" i="5" s="1"/>
  <c r="L56" i="5" s="1"/>
  <c r="D23" i="5"/>
  <c r="D18" i="5"/>
  <c r="D52" i="5"/>
  <c r="K52" i="5" s="1"/>
  <c r="L52" i="5" s="1"/>
  <c r="D19" i="5"/>
  <c r="I28" i="5"/>
  <c r="K68" i="5"/>
  <c r="L68" i="5" s="1"/>
  <c r="I69" i="5"/>
  <c r="K79" i="5"/>
  <c r="L79" i="5" s="1"/>
  <c r="K81" i="5"/>
  <c r="L81" i="5" s="1"/>
  <c r="K67" i="4"/>
  <c r="J68" i="4"/>
  <c r="M68" i="4" s="1"/>
  <c r="N68" i="4" s="1"/>
  <c r="J54" i="4"/>
  <c r="K52" i="4"/>
  <c r="J84" i="4"/>
  <c r="M84" i="4" s="1"/>
  <c r="N84" i="4" s="1"/>
  <c r="K78" i="4"/>
  <c r="L78" i="4" s="1"/>
  <c r="J37" i="4"/>
  <c r="M37" i="4" s="1"/>
  <c r="N37" i="4" s="1"/>
  <c r="K34" i="4"/>
  <c r="I54" i="5"/>
  <c r="I83" i="5"/>
  <c r="K16" i="5"/>
  <c r="L16" i="5" s="1"/>
  <c r="I37" i="5"/>
  <c r="G83" i="5"/>
  <c r="G54" i="5"/>
  <c r="F84" i="4"/>
  <c r="F54" i="4"/>
  <c r="F5" i="4"/>
  <c r="F28" i="4" s="1"/>
  <c r="G5" i="5"/>
  <c r="F7" i="4"/>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M5" i="4" s="1"/>
  <c r="N5" i="4" s="1"/>
  <c r="AL132" i="2"/>
  <c r="AL133" i="2" s="1"/>
  <c r="K25" i="4"/>
  <c r="K21" i="4"/>
  <c r="K14" i="4"/>
  <c r="K24" i="4"/>
  <c r="K132" i="2"/>
  <c r="K133" i="2" s="1"/>
  <c r="AK132" i="2"/>
  <c r="AK133" i="2" s="1"/>
  <c r="P132" i="2"/>
  <c r="P133" i="2" s="1"/>
  <c r="H132" i="2"/>
  <c r="H133" i="2" s="1"/>
  <c r="AO132" i="2"/>
  <c r="AO133" i="2" s="1"/>
  <c r="K19" i="4"/>
  <c r="K23" i="4"/>
  <c r="K18" i="4"/>
  <c r="K13" i="4"/>
  <c r="I5" i="4"/>
  <c r="K20" i="4"/>
  <c r="BI7" i="2"/>
  <c r="H54" i="4" l="1"/>
  <c r="H86" i="4" s="1"/>
  <c r="M54" i="4"/>
  <c r="N54" i="4" s="1"/>
  <c r="H28" i="4"/>
  <c r="M52" i="4"/>
  <c r="N52" i="4" s="1"/>
  <c r="O84" i="4"/>
  <c r="O5" i="4"/>
  <c r="O54" i="4"/>
  <c r="G14" i="4"/>
  <c r="G95" i="4"/>
  <c r="G93" i="4"/>
  <c r="G96" i="4"/>
  <c r="G94" i="4"/>
  <c r="G92" i="4"/>
  <c r="G116" i="4"/>
  <c r="G115" i="4"/>
  <c r="G114" i="4"/>
  <c r="G110" i="4"/>
  <c r="G109" i="4"/>
  <c r="G108" i="4"/>
  <c r="G99" i="4"/>
  <c r="G97" i="4"/>
  <c r="G103" i="4"/>
  <c r="G102" i="4"/>
  <c r="G100" i="4"/>
  <c r="G91" i="4"/>
  <c r="G111" i="4"/>
  <c r="G101" i="4"/>
  <c r="G104" i="4"/>
  <c r="G98" i="4"/>
  <c r="G117" i="4"/>
  <c r="K68" i="4"/>
  <c r="L68" i="4" s="1"/>
  <c r="O68" i="4"/>
  <c r="O37" i="4"/>
  <c r="L79" i="4"/>
  <c r="L15" i="4"/>
  <c r="L19" i="4"/>
  <c r="L24" i="4"/>
  <c r="L52" i="4"/>
  <c r="L35" i="4"/>
  <c r="L36" i="4"/>
  <c r="L20" i="4"/>
  <c r="L14" i="4"/>
  <c r="L82" i="4"/>
  <c r="L80" i="4"/>
  <c r="L21" i="4"/>
  <c r="L34" i="4"/>
  <c r="L22" i="4"/>
  <c r="L81" i="4"/>
  <c r="L16" i="4"/>
  <c r="L13" i="4"/>
  <c r="L25" i="4"/>
  <c r="L67" i="4"/>
  <c r="L56" i="4"/>
  <c r="L23" i="4"/>
  <c r="L18" i="4"/>
  <c r="L53" i="4"/>
  <c r="L17" i="4"/>
  <c r="O5" i="11"/>
  <c r="BI130" i="2"/>
  <c r="BI131" i="2" s="1"/>
  <c r="G77" i="11"/>
  <c r="G81" i="11"/>
  <c r="G91" i="11"/>
  <c r="C5" i="11"/>
  <c r="M5" i="11" s="1"/>
  <c r="N5" i="11" s="1"/>
  <c r="BI128" i="2"/>
  <c r="BI132" i="2" s="1"/>
  <c r="BI133" i="2" s="1"/>
  <c r="D83" i="5"/>
  <c r="K54" i="4"/>
  <c r="I86"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3" i="4"/>
  <c r="K19" i="5"/>
  <c r="L19" i="5" s="1"/>
  <c r="D54" i="5"/>
  <c r="K54" i="5" s="1"/>
  <c r="L54" i="5" s="1"/>
  <c r="K18" i="5"/>
  <c r="L18" i="5" s="1"/>
  <c r="K23" i="5"/>
  <c r="L23" i="5" s="1"/>
  <c r="D28" i="5"/>
  <c r="K28" i="5" s="1"/>
  <c r="L28" i="5" s="1"/>
  <c r="D5" i="5"/>
  <c r="K20" i="5"/>
  <c r="L20" i="5" s="1"/>
  <c r="K24" i="5"/>
  <c r="L24" i="5" s="1"/>
  <c r="K21" i="5"/>
  <c r="L21" i="5" s="1"/>
  <c r="K25" i="5"/>
  <c r="L25" i="5" s="1"/>
  <c r="K14" i="5"/>
  <c r="L14" i="5" s="1"/>
  <c r="J86" i="4"/>
  <c r="M86" i="4" s="1"/>
  <c r="N86" i="4" s="1"/>
  <c r="K84" i="4"/>
  <c r="I85" i="5"/>
  <c r="K69" i="5"/>
  <c r="L69" i="5" s="1"/>
  <c r="K83" i="5"/>
  <c r="L83" i="5" s="1"/>
  <c r="G17" i="4"/>
  <c r="G85" i="5"/>
  <c r="H85" i="5" s="1"/>
  <c r="G20" i="4"/>
  <c r="G66" i="4"/>
  <c r="G18" i="4"/>
  <c r="G43" i="4"/>
  <c r="G13" i="4"/>
  <c r="G36" i="4"/>
  <c r="G5" i="4"/>
  <c r="G52" i="4"/>
  <c r="G72" i="4"/>
  <c r="G83" i="4"/>
  <c r="G59" i="4"/>
  <c r="G21" i="4"/>
  <c r="G27" i="4"/>
  <c r="G16" i="4"/>
  <c r="G19" i="4"/>
  <c r="G48" i="4"/>
  <c r="G37" i="4"/>
  <c r="G78" i="4"/>
  <c r="G82" i="4"/>
  <c r="G71" i="4"/>
  <c r="G35" i="4"/>
  <c r="G63" i="4"/>
  <c r="G24" i="4"/>
  <c r="G26" i="4"/>
  <c r="G22" i="4"/>
  <c r="G49" i="4"/>
  <c r="G45" i="4"/>
  <c r="G44" i="4"/>
  <c r="G62" i="4"/>
  <c r="G56" i="4"/>
  <c r="G53" i="4"/>
  <c r="G81" i="4"/>
  <c r="G60" i="4"/>
  <c r="F6" i="4"/>
  <c r="G6" i="4" s="1"/>
  <c r="G23" i="4"/>
  <c r="G15" i="4"/>
  <c r="G25" i="4"/>
  <c r="G42" i="4"/>
  <c r="G46" i="4"/>
  <c r="G47" i="4"/>
  <c r="G34" i="4"/>
  <c r="G80" i="4"/>
  <c r="G79" i="4"/>
  <c r="G68" i="4"/>
  <c r="G67" i="4"/>
  <c r="G84" i="4"/>
  <c r="G61" i="4"/>
  <c r="G54" i="4"/>
  <c r="F86" i="4"/>
  <c r="G86"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O86" i="4" l="1"/>
  <c r="L54" i="4"/>
  <c r="L84" i="4"/>
  <c r="K86" i="4"/>
  <c r="L86"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H6" i="4" s="1"/>
  <c r="BK11" i="2"/>
  <c r="J7" i="4"/>
  <c r="K5" i="4"/>
  <c r="O7" i="4" l="1"/>
  <c r="M7" i="4"/>
  <c r="N7" i="4" s="1"/>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BK132" i="2"/>
  <c r="O6" i="4" l="1"/>
  <c r="M6" i="4"/>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56"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6"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6" i="4"/>
  <c r="J115" i="4"/>
  <c r="J114" i="4"/>
  <c r="J110" i="4"/>
  <c r="J109" i="4"/>
  <c r="J108" i="4"/>
  <c r="J96" i="4"/>
  <c r="J99" i="4"/>
  <c r="J91" i="4"/>
  <c r="J95" i="4"/>
  <c r="J93" i="4"/>
  <c r="J97" i="4"/>
  <c r="J103" i="4"/>
  <c r="J102" i="4"/>
  <c r="J100" i="4"/>
  <c r="J92" i="4"/>
  <c r="J117" i="4"/>
  <c r="J94" i="4"/>
  <c r="J101" i="4"/>
  <c r="J98" i="4"/>
  <c r="J111" i="4"/>
  <c r="J104"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<sst xmlns="http://schemas.openxmlformats.org/spreadsheetml/2006/main" count="1614" uniqueCount="332">
  <si>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</si>
  <si>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</si>
  <si>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</si>
  <si>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</si>
  <si>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</si>
  <si>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</si>
  <si>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</si>
  <si>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</si>
  <si>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</si>
  <si>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</si>
  <si>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</si>
  <si>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</si>
  <si>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</si>
  <si>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</si>
  <si>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</si>
  <si>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</si>
  <si>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</si>
  <si>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</si>
  <si>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</si>
  <si>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</si>
  <si>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</si>
  <si>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</si>
  <si>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</si>
  <si>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</si>
  <si>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</si>
  <si>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</si>
  <si>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</si>
  <si>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</si>
  <si>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</si>
  <si>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</si>
  <si>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</si>
  <si>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</si>
  <si>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</si>
  <si>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</si>
  <si>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</si>
  <si>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</si>
  <si>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</si>
  <si>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</si>
  <si>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</si>
  <si>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</si>
  <si>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</si>
  <si>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</si>
  <si>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</si>
  <si>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</si>
  <si>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</si>
  <si>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</si>
  <si>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</si>
  <si>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</si>
  <si>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</si>
  <si>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</si>
  <si>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</si>
  <si>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</si>
  <si>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</si>
  <si>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</si>
  <si>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</si>
  <si>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</si>
  <si>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</si>
  <si>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</si>
  <si>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</si>
  <si>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</si>
  <si>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</si>
  <si>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</si>
  <si>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</si>
  <si>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</si>
  <si>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</si>
  <si>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</si>
  <si>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</si>
  <si>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</si>
  <si>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</si>
  <si>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</si>
  <si>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</si>
  <si>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</si>
  <si>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</si>
  <si>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</si>
  <si>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</si>
  <si>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</si>
  <si>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</si>
  <si>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</si>
  <si>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</si>
  <si>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</si>
  <si>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</si>
  <si>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</si>
  <si>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</si>
  <si>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</si>
  <si>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</si>
  <si>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</si>
  <si>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</si>
  <si>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</si>
  <si>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</si>
  <si>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</si>
  <si>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</si>
  <si>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</si>
  <si>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</si>
  <si>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</si>
  <si>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</si>
  <si>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</si>
  <si>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</si>
  <si>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</si>
  <si>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</si>
  <si>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</si>
  <si>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</si>
  <si>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</si>
  <si>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</si>
  <si>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</si>
  <si>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</si>
  <si>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</si>
  <si>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</si>
  <si>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</si>
  <si>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</si>
  <si>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</si>
  <si>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</si>
  <si>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</si>
  <si>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</si>
  <si>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</si>
  <si>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</si>
  <si>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</si>
  <si>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</si>
  <si>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</si>
  <si>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</si>
  <si>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</si>
  <si>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</si>
  <si>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</si>
  <si>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</si>
  <si>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</si>
  <si>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</si>
  <si>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</si>
  <si>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</si>
  <si>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</si>
  <si>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</si>
  <si>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</si>
  <si>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</si>
  <si>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</si>
  <si>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</si>
  <si>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</si>
  <si>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</si>
  <si>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</si>
  <si>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</si>
  <si>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</si>
  <si>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</si>
  <si>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</si>
  <si>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</si>
  <si>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</si>
  <si>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</si>
  <si>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</si>
  <si>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</si>
  <si>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</si>
  <si>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</si>
  <si>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</si>
  <si>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</si>
  <si>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</si>
  <si>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</si>
  <si>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</si>
  <si>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</si>
  <si>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</si>
  <si>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</si>
  <si>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</si>
  <si>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</si>
  <si>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</si>
  <si>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</si>
  <si>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</si>
  <si>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</si>
  <si>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</si>
  <si>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</si>
  <si>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</si>
  <si>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</si>
  <si>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</si>
  <si>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</si>
  <si>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</si>
  <si>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</si>
  <si>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</si>
  <si>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</si>
  <si>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</si>
  <si>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</si>
  <si>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</si>
  <si>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</si>
  <si>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</si>
  <si>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</si>
  <si>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</si>
  <si>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</si>
  <si>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</si>
  <si>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</si>
  <si>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</si>
  <si>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</si>
  <si>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</si>
  <si>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</si>
  <si>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</si>
  <si>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</si>
  <si>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</si>
  <si>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</si>
  <si>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</si>
  <si>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</si>
  <si>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</si>
  <si>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</si>
  <si>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</si>
  <si>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</si>
  <si>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</si>
  <si>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</si>
  <si>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</si>
  <si>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</si>
  <si>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</si>
  <si>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</si>
  <si>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</si>
  <si>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</si>
  <si>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</si>
  <si>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</si>
  <si>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</si>
  <si>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</si>
  <si>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</si>
  <si>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</si>
  <si>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</si>
  <si>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</si>
  <si>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</si>
  <si>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</si>
  <si>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</si>
  <si>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</si>
  <si>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</si>
  <si>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</si>
  <si>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</si>
  <si>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</si>
  <si>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</si>
  <si>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</si>
  <si>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</si>
  <si>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</si>
  <si>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</si>
  <si>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</si>
  <si>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</si>
  <si>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</si>
  <si>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</si>
  <si>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</si>
  <si>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</si>
  <si>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</si>
  <si>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</si>
  <si>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</si>
  <si>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</si>
  <si>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</si>
  <si>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</si>
  <si>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</si>
  <si>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</si>
  <si>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</si>
  <si>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</si>
  <si>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</si>
  <si>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</si>
  <si>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</si>
  <si>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</si>
  <si>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</si>
  <si>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</si>
  <si>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</si>
  <si>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</si>
  <si>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</si>
  <si>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</si>
  <si>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</si>
  <si>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</si>
  <si>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</si>
  <si>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</si>
  <si>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</si>
  <si>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</si>
  <si>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</si>
  <si>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</si>
  <si>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</si>
  <si>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</si>
  <si>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</si>
  <si>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</si>
  <si>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</si>
  <si>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</si>
  <si>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</si>
  <si>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</si>
  <si>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</si>
  <si>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</si>
  <si>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</si>
  <si>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</si>
  <si>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</si>
  <si>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</si>
  <si>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</si>
  <si>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</si>
  <si>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</si>
  <si>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</si>
  <si>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</si>
  <si>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</si>
  <si>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</si>
  <si>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</si>
  <si>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</si>
  <si>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</si>
  <si>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</si>
  <si>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</si>
  <si>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</si>
  <si>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</si>
  <si>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</si>
  <si>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</si>
  <si>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</si>
  <si>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</si>
  <si>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</si>
  <si>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</si>
  <si>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</si>
  <si>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</si>
  <si>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</si>
  <si>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</si>
  <si>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</si>
  <si>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</si>
  <si>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</si>
  <si>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ORDINARY WORKING EXPENSES PU WISE ZONAL</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</si>
  <si>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</si>
  <si>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</si>
  <si>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</si>
  <si>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</si>
  <si>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</si>
  <si>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</si>
  <si>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</si>
  <si>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</si>
  <si>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</si>
  <si>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</si>
  <si>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</si>
  <si>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</si>
  <si>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</si>
  <si>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</si>
  <si>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</si>
  <si>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</si>
  <si>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</si>
  <si>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</si>
  <si>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</si>
  <si>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</si>
  <si>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BP to end  May-2021</t>
  </si>
  <si>
    <t>P U Wise  expenditure   to   end   of May-21 on OBG(SL) ZONAL</t>
  </si>
  <si>
    <t>Actuals upto May' 20</t>
  </si>
  <si>
    <t>Actuals upto May' 21</t>
  </si>
  <si>
    <t>BP to end of  May'21</t>
  </si>
  <si>
    <t>FINANCE REGISTER - GRANT WISE AND PU WISE SUMMARY FROM MONTH :APRIL    20 TO MAY      20</t>
  </si>
  <si>
    <t>Report generated on : 04.06.2021 at 02:14:27 PM</t>
  </si>
  <si>
    <t>Actual upto May'20</t>
  </si>
  <si>
    <t>Actual Upto May'21</t>
  </si>
  <si>
    <t>FINANCE REGISTER - GRANT WISE AND PU WISE SUMMARY FROM MONTH :APRIL    21 TO MAY      21</t>
  </si>
  <si>
    <t>Report generated on : 07.06.2021 at 04:21:38 PM</t>
  </si>
  <si>
    <t>% of Total OWE 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</si>
</sst>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i/>
      <sz val="10"/>
      <name val="Arial"/>
      <family val="2"/>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91">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24" fillId="0" borderId="3" xfId="0" applyFont="1" applyBorder="1"/>
    <xf numFmtId="0" fontId="4" fillId="0" borderId="8"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0" fillId="0" borderId="0" xfId="0"/>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0" fillId="0" borderId="0" xfId="0"/>
    <xf numFmtId="0" fontId="25"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10" fontId="3" fillId="0" borderId="3" xfId="1" applyNumberFormat="1" applyFont="1" applyBorder="1"/>
    <xf numFmtId="0" fontId="25"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1" fontId="5" fillId="3" borderId="3" xfId="0" applyNumberFormat="1" applyFont="1" applyFill="1" applyBorder="1" applyAlignment="1">
      <alignment horizontal="center" wrapText="1"/>
    </xf>
    <xf numFmtId="0" fontId="5"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283" t="s">
        <v>223</v>
      </c>
      <c r="B1" s="230"/>
      <c r="C1" s="230"/>
      <c r="D1" s="230"/>
      <c r="E1" s="230"/>
      <c r="F1" s="230"/>
      <c r="G1" s="230"/>
      <c r="H1" s="230"/>
      <c r="I1" s="230"/>
      <c r="J1" s="230"/>
      <c r="K1" s="230"/>
      <c r="L1" s="230"/>
      <c r="M1" s="230"/>
      <c r="N1" s="230"/>
      <c r="O1" s="230"/>
      <c r="P1" s="230"/>
    </row>
    <row r="3" spans="1:27" x14ac:dyDescent="0.25">
      <c r="A3" s="283" t="s">
        <v>224</v>
      </c>
      <c r="B3" s="230"/>
      <c r="C3" s="230"/>
      <c r="D3" s="230"/>
      <c r="E3" s="230"/>
      <c r="F3" s="230"/>
      <c r="G3" s="230"/>
      <c r="H3" s="230"/>
      <c r="I3" s="230"/>
      <c r="J3" s="230"/>
      <c r="K3" s="230"/>
      <c r="L3" s="230"/>
      <c r="M3" s="230"/>
      <c r="N3" s="230"/>
      <c r="O3" s="230"/>
      <c r="P3" s="230"/>
    </row>
    <row r="5" spans="1:27" ht="76.5" x14ac:dyDescent="0.25">
      <c r="A5" s="143" t="s">
        <v>225</v>
      </c>
      <c r="B5" s="143" t="s">
        <v>226</v>
      </c>
      <c r="C5" s="143" t="s">
        <v>227</v>
      </c>
      <c r="D5" s="143" t="s">
        <v>228</v>
      </c>
      <c r="E5" s="143" t="s">
        <v>229</v>
      </c>
      <c r="F5" s="143" t="s">
        <v>230</v>
      </c>
      <c r="G5" s="143" t="s">
        <v>231</v>
      </c>
      <c r="H5" s="147" t="s">
        <v>232</v>
      </c>
      <c r="I5" s="143" t="s">
        <v>233</v>
      </c>
      <c r="J5" s="143" t="s">
        <v>234</v>
      </c>
      <c r="K5" s="143" t="s">
        <v>235</v>
      </c>
      <c r="L5" s="143" t="s">
        <v>236</v>
      </c>
      <c r="M5" s="143" t="s">
        <v>237</v>
      </c>
      <c r="N5" s="143" t="s">
        <v>238</v>
      </c>
      <c r="O5" s="143" t="s">
        <v>239</v>
      </c>
      <c r="P5" s="172" t="s">
        <v>240</v>
      </c>
      <c r="Q5" s="173" t="s">
        <v>72</v>
      </c>
      <c r="R5" s="173" t="s">
        <v>290</v>
      </c>
      <c r="S5" s="144"/>
      <c r="T5" s="144"/>
      <c r="U5" s="144"/>
      <c r="V5" s="144"/>
      <c r="X5" s="144"/>
      <c r="Y5" s="144"/>
      <c r="Z5" s="144"/>
      <c r="AA5" s="144"/>
    </row>
    <row r="6" spans="1:27" x14ac:dyDescent="0.25">
      <c r="A6" s="145" t="s">
        <v>241</v>
      </c>
      <c r="B6" s="145" t="s">
        <v>242</v>
      </c>
      <c r="C6" s="146">
        <v>4657889</v>
      </c>
      <c r="D6" s="146">
        <v>4310000</v>
      </c>
      <c r="E6" s="146">
        <v>547001</v>
      </c>
      <c r="F6" s="146">
        <v>3762999</v>
      </c>
      <c r="G6" s="146">
        <v>4162093</v>
      </c>
      <c r="H6" s="148">
        <v>3980000</v>
      </c>
      <c r="I6" s="146">
        <v>4821984</v>
      </c>
      <c r="J6" s="175">
        <v>2626052</v>
      </c>
      <c r="K6" s="175">
        <v>2717930</v>
      </c>
      <c r="L6" s="175">
        <v>2733189</v>
      </c>
      <c r="M6" s="175">
        <v>3036567</v>
      </c>
      <c r="N6" s="175">
        <v>3037918</v>
      </c>
      <c r="O6" s="146">
        <v>3792777</v>
      </c>
      <c r="P6" s="176">
        <v>3038051</v>
      </c>
      <c r="Q6" s="22">
        <v>72522</v>
      </c>
      <c r="R6" s="23"/>
      <c r="S6" s="30"/>
      <c r="T6" s="30"/>
      <c r="U6" s="30"/>
      <c r="V6" s="30"/>
      <c r="X6" s="30"/>
      <c r="Y6" s="30"/>
      <c r="Z6" s="30"/>
      <c r="AA6" s="30"/>
    </row>
    <row r="7" spans="1:27" x14ac:dyDescent="0.25">
      <c r="A7" s="145" t="s">
        <v>241</v>
      </c>
      <c r="B7" s="145" t="s">
        <v>243</v>
      </c>
      <c r="C7" s="146">
        <v>9898884</v>
      </c>
      <c r="D7" s="146">
        <v>10040000</v>
      </c>
      <c r="E7" s="146">
        <v>1671788</v>
      </c>
      <c r="F7" s="146">
        <v>8368212</v>
      </c>
      <c r="G7" s="146">
        <v>9411581</v>
      </c>
      <c r="H7" s="148">
        <v>8790000</v>
      </c>
      <c r="I7" s="146">
        <v>10962562</v>
      </c>
      <c r="J7" s="175">
        <v>5910673</v>
      </c>
      <c r="K7" s="175">
        <v>6349150</v>
      </c>
      <c r="L7" s="175">
        <v>6545058</v>
      </c>
      <c r="M7" s="175">
        <v>7141085</v>
      </c>
      <c r="N7" s="175">
        <v>7190755</v>
      </c>
      <c r="O7" s="146">
        <v>9334835</v>
      </c>
      <c r="P7" s="176">
        <v>7190755</v>
      </c>
      <c r="Q7" s="22">
        <v>272940</v>
      </c>
      <c r="R7" s="23"/>
      <c r="S7" s="30"/>
      <c r="T7" s="30"/>
      <c r="U7" s="30"/>
      <c r="V7" s="30"/>
      <c r="X7" s="30"/>
      <c r="Y7" s="30"/>
      <c r="Z7" s="30"/>
      <c r="AA7" s="30"/>
    </row>
    <row r="8" spans="1:27" x14ac:dyDescent="0.25">
      <c r="A8" s="145" t="s">
        <v>241</v>
      </c>
      <c r="B8" s="145" t="s">
        <v>244</v>
      </c>
      <c r="C8" s="146">
        <v>3778499</v>
      </c>
      <c r="D8" s="146">
        <v>2720000</v>
      </c>
      <c r="E8" s="146">
        <v>402610</v>
      </c>
      <c r="F8" s="146">
        <v>2317390</v>
      </c>
      <c r="G8" s="146">
        <v>2540447</v>
      </c>
      <c r="H8" s="148">
        <v>2390000</v>
      </c>
      <c r="I8" s="146">
        <v>3498456</v>
      </c>
      <c r="J8" s="175">
        <v>1602580</v>
      </c>
      <c r="K8" s="175">
        <v>1700321</v>
      </c>
      <c r="L8" s="175">
        <v>1873559</v>
      </c>
      <c r="M8" s="175">
        <v>2005467</v>
      </c>
      <c r="N8" s="175">
        <v>1977649</v>
      </c>
      <c r="O8" s="146">
        <v>2526071</v>
      </c>
      <c r="P8" s="176">
        <v>1977649</v>
      </c>
      <c r="Q8" s="22">
        <v>50198</v>
      </c>
      <c r="R8" s="23"/>
      <c r="S8" s="30"/>
      <c r="T8" s="30"/>
      <c r="U8" s="30"/>
      <c r="V8" s="30"/>
      <c r="X8" s="30"/>
      <c r="Y8" s="30"/>
      <c r="Z8" s="30"/>
      <c r="AA8" s="30"/>
    </row>
    <row r="9" spans="1:27" x14ac:dyDescent="0.25">
      <c r="A9" s="145" t="s">
        <v>241</v>
      </c>
      <c r="B9" s="145" t="s">
        <v>245</v>
      </c>
      <c r="C9" s="146">
        <v>6093566</v>
      </c>
      <c r="D9" s="146">
        <v>5580000</v>
      </c>
      <c r="E9" s="146">
        <v>967983</v>
      </c>
      <c r="F9" s="146">
        <v>4612017</v>
      </c>
      <c r="G9" s="146">
        <v>4949135</v>
      </c>
      <c r="H9" s="148">
        <v>4820000</v>
      </c>
      <c r="I9" s="146">
        <v>5698040</v>
      </c>
      <c r="J9" s="175">
        <v>3259468</v>
      </c>
      <c r="K9" s="175">
        <v>3148900</v>
      </c>
      <c r="L9" s="175">
        <v>3375771</v>
      </c>
      <c r="M9" s="175">
        <v>3688586</v>
      </c>
      <c r="N9" s="175">
        <v>3543787</v>
      </c>
      <c r="O9" s="146">
        <v>4820572</v>
      </c>
      <c r="P9" s="176">
        <v>3543787</v>
      </c>
      <c r="Q9" s="22">
        <v>65243</v>
      </c>
      <c r="R9" s="23"/>
      <c r="S9" s="30"/>
      <c r="T9" s="30"/>
      <c r="U9" s="30"/>
      <c r="V9" s="30"/>
      <c r="X9" s="30"/>
      <c r="Y9" s="30"/>
      <c r="Z9" s="30"/>
      <c r="AA9" s="30"/>
    </row>
    <row r="10" spans="1:27" x14ac:dyDescent="0.25">
      <c r="A10" s="145" t="s">
        <v>241</v>
      </c>
      <c r="B10" s="145" t="s">
        <v>246</v>
      </c>
      <c r="C10" s="146">
        <v>6921196</v>
      </c>
      <c r="D10" s="146">
        <v>6430000</v>
      </c>
      <c r="E10" s="146">
        <v>1222221</v>
      </c>
      <c r="F10" s="146">
        <v>5207779</v>
      </c>
      <c r="G10" s="146">
        <v>5738604</v>
      </c>
      <c r="H10" s="148">
        <v>5390000</v>
      </c>
      <c r="I10" s="146">
        <v>7093900</v>
      </c>
      <c r="J10" s="175">
        <v>3662624</v>
      </c>
      <c r="K10" s="175">
        <v>3943431</v>
      </c>
      <c r="L10" s="175">
        <v>3859338</v>
      </c>
      <c r="M10" s="175">
        <v>4420358</v>
      </c>
      <c r="N10" s="175">
        <v>4278070</v>
      </c>
      <c r="O10" s="146">
        <v>5695696</v>
      </c>
      <c r="P10" s="176">
        <v>4278070</v>
      </c>
      <c r="Q10" s="22">
        <v>118272</v>
      </c>
      <c r="R10" s="23"/>
      <c r="S10" s="30"/>
      <c r="T10" s="30"/>
      <c r="U10" s="30"/>
      <c r="V10" s="30"/>
      <c r="X10" s="30"/>
      <c r="Y10" s="30"/>
      <c r="Z10" s="30"/>
      <c r="AA10" s="30"/>
    </row>
    <row r="11" spans="1:27" x14ac:dyDescent="0.25">
      <c r="A11" s="145" t="s">
        <v>241</v>
      </c>
      <c r="B11" s="145" t="s">
        <v>247</v>
      </c>
      <c r="C11" s="146">
        <v>11360408</v>
      </c>
      <c r="D11" s="146">
        <v>11050000</v>
      </c>
      <c r="E11" s="146">
        <v>2239418</v>
      </c>
      <c r="F11" s="146">
        <v>8810582</v>
      </c>
      <c r="G11" s="146">
        <v>9819352</v>
      </c>
      <c r="H11" s="148">
        <v>9620000</v>
      </c>
      <c r="I11" s="146">
        <v>12138236</v>
      </c>
      <c r="J11" s="175">
        <v>6217455</v>
      </c>
      <c r="K11" s="175">
        <v>8103136</v>
      </c>
      <c r="L11" s="175">
        <v>6779016</v>
      </c>
      <c r="M11" s="175">
        <v>8845083</v>
      </c>
      <c r="N11" s="175">
        <v>7542912</v>
      </c>
      <c r="O11" s="146">
        <v>11287807</v>
      </c>
      <c r="P11" s="176">
        <v>7542912</v>
      </c>
      <c r="Q11" s="22">
        <v>127709</v>
      </c>
      <c r="R11" s="23"/>
      <c r="S11" s="30"/>
      <c r="T11" s="30"/>
      <c r="U11" s="30"/>
      <c r="V11" s="30"/>
      <c r="X11" s="30"/>
      <c r="Y11" s="30"/>
      <c r="Z11" s="30"/>
      <c r="AA11" s="30"/>
    </row>
    <row r="12" spans="1:27" x14ac:dyDescent="0.25">
      <c r="A12" s="145" t="s">
        <v>241</v>
      </c>
      <c r="B12" s="145" t="s">
        <v>248</v>
      </c>
      <c r="C12" s="146">
        <v>26891557</v>
      </c>
      <c r="D12" s="146">
        <v>27780000</v>
      </c>
      <c r="E12" s="146">
        <v>1690102</v>
      </c>
      <c r="F12" s="146">
        <v>26089898</v>
      </c>
      <c r="G12" s="146">
        <v>26851626</v>
      </c>
      <c r="H12" s="148">
        <v>24300000</v>
      </c>
      <c r="I12" s="146">
        <v>28761730</v>
      </c>
      <c r="J12" s="175">
        <v>19992824</v>
      </c>
      <c r="K12" s="175">
        <v>18243784</v>
      </c>
      <c r="L12" s="175">
        <v>19432641</v>
      </c>
      <c r="M12" s="175">
        <v>19758335</v>
      </c>
      <c r="N12" s="175">
        <v>20184752</v>
      </c>
      <c r="O12" s="146">
        <v>24801378</v>
      </c>
      <c r="P12" s="176">
        <v>20184752</v>
      </c>
      <c r="Q12" s="22">
        <v>224042</v>
      </c>
      <c r="R12" s="23"/>
      <c r="S12" s="30"/>
      <c r="T12" s="30"/>
      <c r="U12" s="30"/>
      <c r="V12" s="30"/>
      <c r="X12" s="30"/>
      <c r="Y12" s="30"/>
      <c r="Z12" s="30"/>
      <c r="AA12" s="30"/>
    </row>
    <row r="13" spans="1:27" x14ac:dyDescent="0.25">
      <c r="A13" s="145" t="s">
        <v>241</v>
      </c>
      <c r="B13" s="145" t="s">
        <v>249</v>
      </c>
      <c r="C13" s="146">
        <v>19760498</v>
      </c>
      <c r="D13" s="146">
        <v>15300000</v>
      </c>
      <c r="E13" s="146">
        <v>6665820</v>
      </c>
      <c r="F13" s="146">
        <v>8634180</v>
      </c>
      <c r="G13" s="146">
        <v>10533483</v>
      </c>
      <c r="H13" s="148">
        <v>9030000</v>
      </c>
      <c r="I13" s="146">
        <v>14547312</v>
      </c>
      <c r="J13" s="175">
        <v>7258992</v>
      </c>
      <c r="K13" s="175">
        <v>9873789</v>
      </c>
      <c r="L13" s="175">
        <v>5877990</v>
      </c>
      <c r="M13" s="175">
        <v>11211875</v>
      </c>
      <c r="N13" s="175">
        <v>6085462</v>
      </c>
      <c r="O13" s="146">
        <v>14752133</v>
      </c>
      <c r="P13" s="176">
        <v>6085462</v>
      </c>
      <c r="Q13" s="22">
        <v>546</v>
      </c>
      <c r="R13" s="23"/>
      <c r="S13" s="30"/>
      <c r="T13" s="30"/>
      <c r="U13" s="30"/>
      <c r="V13" s="30"/>
      <c r="X13" s="30"/>
      <c r="Y13" s="30"/>
      <c r="Z13" s="30"/>
      <c r="AA13" s="30"/>
    </row>
    <row r="14" spans="1:27" x14ac:dyDescent="0.25">
      <c r="A14" s="145" t="s">
        <v>241</v>
      </c>
      <c r="B14" s="145" t="s">
        <v>250</v>
      </c>
      <c r="C14" s="146">
        <v>4747401</v>
      </c>
      <c r="D14" s="146">
        <v>4360000</v>
      </c>
      <c r="E14" s="146">
        <v>630837</v>
      </c>
      <c r="F14" s="146">
        <v>3729163</v>
      </c>
      <c r="G14" s="146">
        <v>4207011</v>
      </c>
      <c r="H14" s="148">
        <v>3740000</v>
      </c>
      <c r="I14" s="146">
        <v>4777515</v>
      </c>
      <c r="J14" s="175">
        <v>2730785</v>
      </c>
      <c r="K14" s="175">
        <v>2902050</v>
      </c>
      <c r="L14" s="175">
        <v>2850911</v>
      </c>
      <c r="M14" s="175">
        <v>3215292</v>
      </c>
      <c r="N14" s="175">
        <v>3110586</v>
      </c>
      <c r="O14" s="146">
        <v>3879626</v>
      </c>
      <c r="P14" s="176">
        <v>3111162</v>
      </c>
      <c r="Q14" s="22">
        <v>36634</v>
      </c>
      <c r="R14" s="174">
        <v>845474</v>
      </c>
      <c r="S14" s="30"/>
      <c r="T14" s="30"/>
      <c r="U14" s="30"/>
      <c r="V14" s="30"/>
      <c r="X14" s="30"/>
      <c r="Y14" s="30"/>
      <c r="Z14" s="30"/>
      <c r="AA14" s="30"/>
    </row>
    <row r="15" spans="1:27" x14ac:dyDescent="0.25">
      <c r="A15" s="145" t="s">
        <v>241</v>
      </c>
      <c r="B15" s="145" t="s">
        <v>251</v>
      </c>
      <c r="C15" s="146">
        <v>5041185</v>
      </c>
      <c r="D15" s="146">
        <v>4200157</v>
      </c>
      <c r="E15" s="146">
        <v>983885</v>
      </c>
      <c r="F15" s="146">
        <v>3216272</v>
      </c>
      <c r="G15" s="146">
        <v>3547805</v>
      </c>
      <c r="H15" s="148">
        <v>3430000</v>
      </c>
      <c r="I15" s="146">
        <v>4917933</v>
      </c>
      <c r="J15" s="175">
        <v>2228845</v>
      </c>
      <c r="K15" s="175">
        <v>2736049</v>
      </c>
      <c r="L15" s="175">
        <v>2753891</v>
      </c>
      <c r="M15" s="175">
        <v>2982440</v>
      </c>
      <c r="N15" s="175">
        <v>3238961</v>
      </c>
      <c r="O15" s="146">
        <v>3942646</v>
      </c>
      <c r="P15" s="176">
        <v>3238961</v>
      </c>
      <c r="Q15" s="22">
        <v>23170</v>
      </c>
      <c r="R15" s="23"/>
      <c r="S15" s="30"/>
      <c r="T15" s="30"/>
      <c r="U15" s="30"/>
      <c r="V15" s="30"/>
      <c r="X15" s="30"/>
      <c r="Y15" s="30"/>
      <c r="Z15" s="30"/>
      <c r="AA15" s="30"/>
    </row>
    <row r="16" spans="1:27" x14ac:dyDescent="0.25">
      <c r="A16" s="145" t="s">
        <v>241</v>
      </c>
      <c r="B16" s="145" t="s">
        <v>252</v>
      </c>
      <c r="C16" s="146">
        <v>2946670</v>
      </c>
      <c r="D16" s="146">
        <v>2947000</v>
      </c>
      <c r="E16" s="146">
        <v>239683</v>
      </c>
      <c r="F16" s="146">
        <v>2707317</v>
      </c>
      <c r="G16" s="146">
        <v>2690645</v>
      </c>
      <c r="H16" s="148">
        <v>2730000</v>
      </c>
      <c r="I16" s="146">
        <v>2977544</v>
      </c>
      <c r="J16" s="175">
        <v>2065535</v>
      </c>
      <c r="K16" s="175">
        <v>1555583</v>
      </c>
      <c r="L16" s="175">
        <v>1850369</v>
      </c>
      <c r="M16" s="175">
        <v>1749122</v>
      </c>
      <c r="N16" s="175">
        <v>2061716</v>
      </c>
      <c r="O16" s="146">
        <v>2144457</v>
      </c>
      <c r="P16" s="176">
        <v>2061716</v>
      </c>
      <c r="Q16" s="22">
        <v>0</v>
      </c>
      <c r="R16" s="23"/>
      <c r="S16" s="30"/>
      <c r="T16" s="30"/>
      <c r="U16" s="30"/>
      <c r="V16" s="30"/>
      <c r="X16" s="30"/>
      <c r="Y16" s="30"/>
      <c r="Z16" s="30"/>
      <c r="AA16" s="30"/>
    </row>
    <row r="17" spans="1:27" x14ac:dyDescent="0.25">
      <c r="A17" s="145" t="s">
        <v>241</v>
      </c>
      <c r="B17" s="145" t="s">
        <v>253</v>
      </c>
      <c r="C17" s="146">
        <v>-70157</v>
      </c>
      <c r="D17" s="146">
        <v>-70157</v>
      </c>
      <c r="E17" s="146">
        <v>0</v>
      </c>
      <c r="F17" s="146">
        <v>-70157</v>
      </c>
      <c r="G17" s="146">
        <v>-53057</v>
      </c>
      <c r="H17" s="148">
        <v>0</v>
      </c>
      <c r="I17" s="146">
        <v>-53457</v>
      </c>
      <c r="J17" s="175">
        <v>-70157</v>
      </c>
      <c r="K17" s="175">
        <v>2815405</v>
      </c>
      <c r="L17" s="175">
        <v>3004791</v>
      </c>
      <c r="M17" s="175">
        <v>2879163</v>
      </c>
      <c r="N17" s="175">
        <v>3044441</v>
      </c>
      <c r="O17" s="146">
        <v>73130</v>
      </c>
      <c r="P17" s="176">
        <v>3044441</v>
      </c>
      <c r="Q17" s="22">
        <v>0</v>
      </c>
      <c r="R17" s="23"/>
      <c r="S17" s="30"/>
      <c r="T17" s="30"/>
      <c r="U17" s="30"/>
      <c r="V17" s="30"/>
      <c r="X17" s="30"/>
      <c r="Y17" s="30"/>
      <c r="Z17" s="30"/>
      <c r="AA17" s="30"/>
    </row>
    <row r="18" spans="1:27" x14ac:dyDescent="0.25">
      <c r="A18" s="145" t="s">
        <v>241</v>
      </c>
      <c r="B18" s="145" t="s">
        <v>130</v>
      </c>
      <c r="C18" s="146">
        <v>102027596</v>
      </c>
      <c r="D18" s="146">
        <v>94647000</v>
      </c>
      <c r="E18" s="146">
        <v>17261348</v>
      </c>
      <c r="F18" s="146">
        <v>77385652</v>
      </c>
      <c r="G18" s="146">
        <v>84398725</v>
      </c>
      <c r="H18" s="148">
        <v>78220000</v>
      </c>
      <c r="I18" s="146">
        <v>100141755</v>
      </c>
      <c r="J18" s="175">
        <v>57485676</v>
      </c>
      <c r="K18" s="175">
        <v>64089529</v>
      </c>
      <c r="L18" s="175">
        <v>60936526</v>
      </c>
      <c r="M18" s="175">
        <v>70933373</v>
      </c>
      <c r="N18" s="175">
        <v>65297007</v>
      </c>
      <c r="O18" s="146">
        <v>87051130</v>
      </c>
      <c r="P18" s="176">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7" customWidth="1"/>
    <col min="2" max="2" width="10" style="157" customWidth="1"/>
    <col min="3" max="3" width="11.7109375" style="71" customWidth="1"/>
    <col min="4" max="4" width="11.7109375" style="157" customWidth="1"/>
    <col min="5" max="5" width="2" style="157" hidden="1" customWidth="1"/>
    <col min="6" max="6" width="17.28515625" style="157" customWidth="1"/>
    <col min="7" max="7" width="13.42578125" style="157" customWidth="1"/>
    <col min="8" max="8" width="10.7109375" style="157" customWidth="1"/>
    <col min="9" max="9" width="11.7109375" style="157" customWidth="1"/>
    <col min="10" max="12" width="10.7109375" style="157" customWidth="1"/>
    <col min="13" max="13" width="11.28515625" style="157" customWidth="1"/>
    <col min="14" max="14" width="11.5703125" style="157" customWidth="1"/>
    <col min="15" max="15" width="11.140625" style="157" customWidth="1"/>
    <col min="16" max="16" width="98.28515625" style="150" customWidth="1"/>
    <col min="17" max="17" width="12.140625" style="150" customWidth="1"/>
    <col min="18" max="18" width="10.28515625" style="157" customWidth="1"/>
    <col min="19" max="16384" width="9.140625" style="157"/>
  </cols>
  <sheetData>
    <row r="1" spans="1:19" x14ac:dyDescent="0.25">
      <c r="A1" s="36" t="s">
        <v>280</v>
      </c>
      <c r="B1" s="36"/>
    </row>
    <row r="2" spans="1:19" x14ac:dyDescent="0.25">
      <c r="M2" s="36" t="s">
        <v>150</v>
      </c>
      <c r="P2" s="177" t="s">
        <v>292</v>
      </c>
    </row>
    <row r="3" spans="1:19" s="36" customFormat="1" ht="15" customHeight="1" x14ac:dyDescent="0.25">
      <c r="A3" s="266" t="s">
        <v>151</v>
      </c>
      <c r="B3" s="270" t="s">
        <v>303</v>
      </c>
      <c r="C3" s="272" t="str">
        <f>'PU Wise OWE'!$B$7</f>
        <v>Actuals upto May' 20</v>
      </c>
      <c r="D3" s="270" t="s">
        <v>173</v>
      </c>
      <c r="E3" s="270"/>
      <c r="F3" s="272" t="str">
        <f>'PU Wise OWE'!$B$5</f>
        <v xml:space="preserve">OBG(SL) 2021-22 </v>
      </c>
      <c r="G3" s="270" t="s">
        <v>309</v>
      </c>
      <c r="H3" s="270" t="s">
        <v>317</v>
      </c>
      <c r="I3" s="272" t="str">
        <f>'PU Wise OWE'!B8</f>
        <v>Actuals upto May' 21</v>
      </c>
      <c r="J3" s="270" t="s">
        <v>205</v>
      </c>
      <c r="K3" s="273" t="s">
        <v>207</v>
      </c>
      <c r="L3" s="273"/>
      <c r="M3" s="273" t="s">
        <v>147</v>
      </c>
      <c r="N3" s="273"/>
      <c r="O3" s="248" t="s">
        <v>315</v>
      </c>
      <c r="P3" s="178" t="s">
        <v>293</v>
      </c>
      <c r="Q3" s="158"/>
    </row>
    <row r="4" spans="1:19" ht="15.6" customHeight="1" x14ac:dyDescent="0.25">
      <c r="A4" s="267"/>
      <c r="B4" s="271"/>
      <c r="C4" s="271"/>
      <c r="D4" s="271"/>
      <c r="E4" s="271"/>
      <c r="F4" s="271"/>
      <c r="G4" s="271"/>
      <c r="H4" s="271"/>
      <c r="I4" s="271"/>
      <c r="J4" s="271"/>
      <c r="K4" s="19" t="s">
        <v>145</v>
      </c>
      <c r="L4" s="18" t="s">
        <v>146</v>
      </c>
      <c r="M4" s="19" t="s">
        <v>145</v>
      </c>
      <c r="N4" s="18" t="s">
        <v>146</v>
      </c>
      <c r="O4" s="248"/>
      <c r="P4" s="177" t="s">
        <v>294</v>
      </c>
      <c r="R4" s="71" t="s">
        <v>281</v>
      </c>
    </row>
    <row r="5" spans="1:19" ht="15.75" x14ac:dyDescent="0.25">
      <c r="A5" s="63" t="s">
        <v>148</v>
      </c>
      <c r="B5" s="105">
        <v>4575.6000000000004</v>
      </c>
      <c r="C5" s="72">
        <f>ROUND('PU Wise OWE'!$AD$128/10000,2)</f>
        <v>735.34</v>
      </c>
      <c r="D5" s="68">
        <f>C5/C7</f>
        <v>0.50291693738672505</v>
      </c>
      <c r="E5" s="68"/>
      <c r="F5" s="22">
        <f>ROUND('PU Wise OWE'!$AD$126/10000,2)</f>
        <v>4658.2700000000004</v>
      </c>
      <c r="G5" s="68">
        <f>F5/F7</f>
        <v>0.58469561943014947</v>
      </c>
      <c r="H5" s="23">
        <f>ROUND('PU Wise OWE'!$AD$127/10000,2)</f>
        <v>840.24</v>
      </c>
      <c r="I5" s="23">
        <f>ROUND('PU Wise OWE'!$AD$129/10000,2)</f>
        <v>786.2</v>
      </c>
      <c r="J5" s="24">
        <f>I5/$I$7</f>
        <v>0.48746008618284409</v>
      </c>
      <c r="K5" s="22">
        <f>H5-I5</f>
        <v>54.039999999999964</v>
      </c>
      <c r="L5" s="24">
        <f>K5/I5</f>
        <v>6.8735690663953145E-2</v>
      </c>
      <c r="M5" s="22">
        <f>I5-C5</f>
        <v>50.860000000000014</v>
      </c>
      <c r="N5" s="54">
        <f>M5/C5</f>
        <v>6.9165284086273038E-2</v>
      </c>
      <c r="O5" s="54">
        <f>I5/F5</f>
        <v>0.1687751032035498</v>
      </c>
      <c r="P5" s="150">
        <f>10.57+1.36+2.68+11.45+3.4+9.35</f>
        <v>38.809999999999995</v>
      </c>
      <c r="Q5" s="167">
        <f>Q28+I5-I28</f>
        <v>1102.3679999999999</v>
      </c>
      <c r="R5" s="70">
        <f>Q5-F5</f>
        <v>-3555.9020000000005</v>
      </c>
      <c r="S5" s="70"/>
    </row>
    <row r="6" spans="1:19" ht="15.75" x14ac:dyDescent="0.25">
      <c r="A6" s="80" t="s">
        <v>144</v>
      </c>
      <c r="B6" s="105">
        <v>3242.41</v>
      </c>
      <c r="C6" s="72">
        <f>C7-C5</f>
        <v>726.81000000000006</v>
      </c>
      <c r="D6" s="68">
        <f>C6/C7</f>
        <v>0.49708306261327501</v>
      </c>
      <c r="E6" s="68"/>
      <c r="F6" s="21">
        <f t="shared" ref="F6:I6" si="0">F7-F5</f>
        <v>3308.7299999999996</v>
      </c>
      <c r="G6" s="68">
        <f>F6/F7</f>
        <v>0.41530438056985058</v>
      </c>
      <c r="H6" s="21">
        <f t="shared" si="0"/>
        <v>813.21</v>
      </c>
      <c r="I6" s="21">
        <f t="shared" si="0"/>
        <v>826.64999999999986</v>
      </c>
      <c r="J6" s="24">
        <f t="shared" ref="J6:J7" si="1">I6/$I$7</f>
        <v>0.51253991381715591</v>
      </c>
      <c r="K6" s="22">
        <f t="shared" ref="K6:K7" si="2">H6-I6</f>
        <v>-13.439999999999827</v>
      </c>
      <c r="L6" s="24">
        <f t="shared" ref="L6:L7" si="3">K6/I6</f>
        <v>-1.625839230629629E-2</v>
      </c>
      <c r="M6" s="22">
        <f>I6-C6</f>
        <v>99.839999999999804</v>
      </c>
      <c r="N6" s="54">
        <f>M6/C6</f>
        <v>0.13736740000825498</v>
      </c>
      <c r="O6" s="54">
        <f>I6/F6</f>
        <v>0.24983906211748919</v>
      </c>
      <c r="P6" s="150">
        <f>26.18+9.93</f>
        <v>36.11</v>
      </c>
      <c r="Q6" s="167">
        <f>Q85+I6-I85</f>
        <v>1503.6559999999997</v>
      </c>
      <c r="R6" s="70">
        <f>Q6-F6</f>
        <v>-1805.0739999999998</v>
      </c>
      <c r="S6" s="70"/>
    </row>
    <row r="7" spans="1:19" x14ac:dyDescent="0.25">
      <c r="A7" s="27" t="s">
        <v>171</v>
      </c>
      <c r="B7" s="106">
        <f>SUM(B5:B6)</f>
        <v>7818.01</v>
      </c>
      <c r="C7" s="73">
        <f>ROUND('PU Wise OWE'!BK128/10000,2)</f>
        <v>1462.15</v>
      </c>
      <c r="D7" s="69">
        <f>SUM(D5:D6)</f>
        <v>1</v>
      </c>
      <c r="E7" s="69"/>
      <c r="F7" s="26">
        <f>ROUND('PU Wise OWE'!BK126/10000,2)</f>
        <v>7967</v>
      </c>
      <c r="G7" s="69">
        <f>SUM(G5:G6)</f>
        <v>1</v>
      </c>
      <c r="H7" s="25">
        <f>ROUND('PU Wise OWE'!BK127/10000,2)</f>
        <v>1653.45</v>
      </c>
      <c r="I7" s="25">
        <f>ROUND('PU Wise OWE'!BK129/10000,2)</f>
        <v>1612.85</v>
      </c>
      <c r="J7" s="56">
        <f t="shared" si="1"/>
        <v>1</v>
      </c>
      <c r="K7" s="26">
        <f t="shared" si="2"/>
        <v>40.600000000000136</v>
      </c>
      <c r="L7" s="56">
        <f t="shared" si="3"/>
        <v>2.51728307034133E-2</v>
      </c>
      <c r="M7" s="26">
        <f>I7-C7</f>
        <v>150.69999999999982</v>
      </c>
      <c r="N7" s="57">
        <f>M7/C7</f>
        <v>0.10306740074547742</v>
      </c>
      <c r="O7" s="54">
        <f>I7/F7</f>
        <v>0.20244132044684321</v>
      </c>
      <c r="Q7" s="70">
        <f>SUM(Q5:Q6)</f>
        <v>2606.0239999999994</v>
      </c>
      <c r="R7" s="70">
        <f>Q7-F7</f>
        <v>-5360.9760000000006</v>
      </c>
      <c r="S7" s="70"/>
    </row>
    <row r="8" spans="1:19" x14ac:dyDescent="0.25">
      <c r="A8" s="32"/>
      <c r="B8" s="32"/>
      <c r="C8" s="74"/>
      <c r="D8" s="33"/>
      <c r="E8" s="33"/>
      <c r="F8" s="34"/>
      <c r="G8" s="34"/>
      <c r="H8" s="34"/>
      <c r="I8" s="31"/>
      <c r="J8" s="31"/>
      <c r="K8" s="31"/>
      <c r="L8" s="31"/>
      <c r="M8" s="34"/>
      <c r="N8" s="31"/>
    </row>
    <row r="9" spans="1:19" ht="14.45" customHeight="1" x14ac:dyDescent="0.25">
      <c r="C9" s="74"/>
      <c r="D9" s="33"/>
      <c r="E9" s="33"/>
      <c r="F9" s="34"/>
      <c r="G9" s="34"/>
      <c r="H9" s="34"/>
      <c r="I9" s="31"/>
      <c r="J9" s="31"/>
      <c r="K9" s="31"/>
      <c r="L9" s="31"/>
      <c r="M9" s="34"/>
      <c r="N9" s="31"/>
    </row>
    <row r="10" spans="1:19" x14ac:dyDescent="0.25">
      <c r="A10" s="64" t="s">
        <v>172</v>
      </c>
      <c r="B10" s="64"/>
      <c r="C10" s="75"/>
      <c r="D10" s="65"/>
      <c r="E10" s="65"/>
      <c r="F10" s="65"/>
      <c r="G10" s="65"/>
      <c r="H10" s="65"/>
      <c r="I10" s="65"/>
      <c r="J10" s="65"/>
      <c r="K10" s="65"/>
      <c r="L10" s="65"/>
      <c r="M10" s="36" t="s">
        <v>150</v>
      </c>
    </row>
    <row r="11" spans="1:19" ht="15" customHeight="1" x14ac:dyDescent="0.25">
      <c r="A11" s="265"/>
      <c r="B11" s="265" t="s">
        <v>303</v>
      </c>
      <c r="C11" s="260" t="str">
        <f>'PU Wise OWE'!$B$7</f>
        <v>Actuals upto May' 20</v>
      </c>
      <c r="D11" s="265" t="s">
        <v>173</v>
      </c>
      <c r="E11" s="265"/>
      <c r="F11" s="281" t="str">
        <f>'PU Wise OWE'!$B$5</f>
        <v xml:space="preserve">OBG(SL) 2021-22 </v>
      </c>
      <c r="G11" s="265" t="s">
        <v>310</v>
      </c>
      <c r="H11" s="265" t="s">
        <v>317</v>
      </c>
      <c r="I11" s="260" t="str">
        <f>'PU Wise OWE'!B8</f>
        <v>Actuals upto May' 21</v>
      </c>
      <c r="J11" s="265" t="s">
        <v>205</v>
      </c>
      <c r="K11" s="262" t="s">
        <v>207</v>
      </c>
      <c r="L11" s="262"/>
      <c r="M11" s="262" t="s">
        <v>147</v>
      </c>
      <c r="N11" s="262"/>
      <c r="O11" s="249" t="s">
        <v>315</v>
      </c>
      <c r="P11" s="285" t="s">
        <v>268</v>
      </c>
      <c r="Q11" s="166"/>
    </row>
    <row r="12" spans="1:19" ht="17.25" customHeight="1" x14ac:dyDescent="0.25">
      <c r="A12" s="261"/>
      <c r="B12" s="261"/>
      <c r="C12" s="261"/>
      <c r="D12" s="261"/>
      <c r="E12" s="261"/>
      <c r="F12" s="282"/>
      <c r="G12" s="261"/>
      <c r="H12" s="261"/>
      <c r="I12" s="261"/>
      <c r="J12" s="261"/>
      <c r="K12" s="66" t="s">
        <v>145</v>
      </c>
      <c r="L12" s="67" t="s">
        <v>146</v>
      </c>
      <c r="M12" s="66" t="s">
        <v>145</v>
      </c>
      <c r="N12" s="67" t="s">
        <v>146</v>
      </c>
      <c r="O12" s="249"/>
      <c r="P12" s="285"/>
      <c r="Q12" s="166"/>
    </row>
    <row r="13" spans="1:19" ht="15.75" x14ac:dyDescent="0.25">
      <c r="A13" s="20" t="s">
        <v>152</v>
      </c>
      <c r="B13" s="107">
        <v>2522.8000000000002</v>
      </c>
      <c r="C13" s="72">
        <f>ROUND('PU Wise OWE'!$C$128/10000,2)</f>
        <v>424.69</v>
      </c>
      <c r="D13" s="68">
        <f>C13/$C$7</f>
        <v>0.29045583558458432</v>
      </c>
      <c r="E13" s="21"/>
      <c r="F13" s="22">
        <f>ROUND('PU Wise OWE'!$C$126/10000,2)</f>
        <v>2509.4499999999998</v>
      </c>
      <c r="G13" s="24">
        <f>F13/$F$7</f>
        <v>0.3149805447470817</v>
      </c>
      <c r="H13" s="23">
        <f>ROUND('PU Wise OWE'!$C$127/10000,2)</f>
        <v>451.7</v>
      </c>
      <c r="I13" s="23">
        <f>ROUND('PU Wise OWE'!$C$129/10000,2)</f>
        <v>432.33</v>
      </c>
      <c r="J13" s="24">
        <f>I13/$I$7</f>
        <v>0.26805344576371021</v>
      </c>
      <c r="K13" s="22">
        <f>H13-I13</f>
        <v>19.370000000000005</v>
      </c>
      <c r="L13" s="24">
        <f>K13/I13</f>
        <v>4.4803737885411622E-2</v>
      </c>
      <c r="M13" s="22">
        <f t="shared" ref="M13:M28" si="4">I13-C13</f>
        <v>7.6399999999999864</v>
      </c>
      <c r="N13" s="54">
        <f t="shared" ref="N13:N28" si="5">M13/C13</f>
        <v>1.7989592408580345E-2</v>
      </c>
      <c r="O13" s="54">
        <f>I13/F13</f>
        <v>0.17228077865667776</v>
      </c>
      <c r="P13" s="159"/>
      <c r="Q13" s="167">
        <f>(I13/10)*12</f>
        <v>518.79599999999994</v>
      </c>
      <c r="R13" s="171">
        <f t="shared" ref="R13:R27" si="6">Q13-F13</f>
        <v>-1990.654</v>
      </c>
    </row>
    <row r="14" spans="1:19" ht="15.75" x14ac:dyDescent="0.25">
      <c r="A14" s="20" t="s">
        <v>153</v>
      </c>
      <c r="B14" s="107">
        <v>441.91</v>
      </c>
      <c r="C14" s="72">
        <f>ROUND('PU Wise OWE'!$D$128/10000,2)</f>
        <v>74.12</v>
      </c>
      <c r="D14" s="68">
        <f t="shared" ref="D14:D27" si="7">C14/$C$7</f>
        <v>5.0692473412440583E-2</v>
      </c>
      <c r="E14" s="21"/>
      <c r="F14" s="22">
        <f>ROUND('PU Wise OWE'!$D$126/10000,2)</f>
        <v>451.98</v>
      </c>
      <c r="G14" s="24">
        <f t="shared" ref="G14:G27" si="8">F14/$F$7</f>
        <v>5.673151750972763E-2</v>
      </c>
      <c r="H14" s="23">
        <f>ROUND('PU Wise OWE'!$D$127/10000,2)</f>
        <v>81.36</v>
      </c>
      <c r="I14" s="23">
        <f>ROUND('PU Wise OWE'!$D$129/10000,2)</f>
        <v>76.38</v>
      </c>
      <c r="J14" s="24">
        <f t="shared" ref="J14:J28" si="9">I14/$I$7</f>
        <v>4.7357162786371948E-2</v>
      </c>
      <c r="K14" s="22">
        <f t="shared" ref="K14:K28" si="10">H14-I14</f>
        <v>4.980000000000004</v>
      </c>
      <c r="L14" s="24">
        <f t="shared" ref="L14:L28" si="11">K14/I14</f>
        <v>6.5200314218381836E-2</v>
      </c>
      <c r="M14" s="22">
        <f t="shared" si="4"/>
        <v>2.2599999999999909</v>
      </c>
      <c r="N14" s="54">
        <f t="shared" si="5"/>
        <v>3.0491095520776994E-2</v>
      </c>
      <c r="O14" s="54">
        <f t="shared" ref="O14:O27" si="12">I14/F14</f>
        <v>0.16898977830877471</v>
      </c>
      <c r="P14" s="159"/>
      <c r="Q14" s="167">
        <f>(I14/10)*12</f>
        <v>91.656000000000006</v>
      </c>
      <c r="R14" s="70">
        <f t="shared" si="6"/>
        <v>-360.32400000000001</v>
      </c>
    </row>
    <row r="15" spans="1:19" ht="15.75" x14ac:dyDescent="0.25">
      <c r="A15" s="23" t="s">
        <v>174</v>
      </c>
      <c r="B15" s="22">
        <v>98.2</v>
      </c>
      <c r="C15" s="72">
        <f>ROUND('PU Wise OWE'!$E$128/10000,2)</f>
        <v>0.3</v>
      </c>
      <c r="D15" s="68">
        <f t="shared" si="7"/>
        <v>2.0517730738980268E-4</v>
      </c>
      <c r="E15" s="21"/>
      <c r="F15" s="22">
        <f>ROUND('PU Wise OWE'!$E$126/10000,2)</f>
        <v>99.13</v>
      </c>
      <c r="G15" s="24">
        <f t="shared" si="8"/>
        <v>1.244257562445086E-2</v>
      </c>
      <c r="H15" s="23">
        <f>ROUND('PU Wise OWE'!$E$127/10000,2)</f>
        <v>0</v>
      </c>
      <c r="I15" s="23">
        <f>ROUND('PU Wise OWE'!$E$129/10000,2)</f>
        <v>0.15</v>
      </c>
      <c r="J15" s="24">
        <f t="shared" si="9"/>
        <v>9.3003069101280339E-5</v>
      </c>
      <c r="K15" s="22">
        <f t="shared" si="10"/>
        <v>-0.15</v>
      </c>
      <c r="L15" s="24">
        <f t="shared" si="11"/>
        <v>-1</v>
      </c>
      <c r="M15" s="22">
        <f t="shared" si="4"/>
        <v>-0.15</v>
      </c>
      <c r="N15" s="54">
        <f t="shared" si="5"/>
        <v>-0.5</v>
      </c>
      <c r="O15" s="54">
        <f t="shared" si="12"/>
        <v>1.5131645314233834E-3</v>
      </c>
      <c r="P15" s="159" t="s">
        <v>269</v>
      </c>
      <c r="Q15" s="167">
        <f>F15</f>
        <v>99.13</v>
      </c>
      <c r="R15" s="70">
        <f t="shared" si="6"/>
        <v>0</v>
      </c>
    </row>
    <row r="16" spans="1:19" ht="15.75" x14ac:dyDescent="0.25">
      <c r="A16" s="23" t="s">
        <v>175</v>
      </c>
      <c r="B16" s="22">
        <v>264.85000000000002</v>
      </c>
      <c r="C16" s="72">
        <f>ROUND('PU Wise OWE'!$F$128/10000,2)</f>
        <v>43.74</v>
      </c>
      <c r="D16" s="68">
        <f t="shared" si="7"/>
        <v>2.9914851417433233E-2</v>
      </c>
      <c r="E16" s="21"/>
      <c r="F16" s="22">
        <f>ROUND('PU Wise OWE'!$F$126/10000,2)</f>
        <v>286.05</v>
      </c>
      <c r="G16" s="24">
        <f t="shared" si="8"/>
        <v>3.5904355466298485E-2</v>
      </c>
      <c r="H16" s="23">
        <f>ROUND('PU Wise OWE'!$F$127/10000,2)</f>
        <v>51.49</v>
      </c>
      <c r="I16" s="23">
        <f>ROUND('PU Wise OWE'!$F$129/10000,2)</f>
        <v>45.72</v>
      </c>
      <c r="J16" s="24">
        <f t="shared" si="9"/>
        <v>2.8347335462070248E-2</v>
      </c>
      <c r="K16" s="22">
        <f t="shared" si="10"/>
        <v>5.7700000000000031</v>
      </c>
      <c r="L16" s="24">
        <f t="shared" si="11"/>
        <v>0.12620297462817154</v>
      </c>
      <c r="M16" s="22">
        <f t="shared" si="4"/>
        <v>1.9799999999999969</v>
      </c>
      <c r="N16" s="54">
        <f t="shared" si="5"/>
        <v>4.5267489711934082E-2</v>
      </c>
      <c r="O16" s="54">
        <f t="shared" si="12"/>
        <v>0.15983219716832719</v>
      </c>
      <c r="P16" s="159"/>
      <c r="Q16" s="167">
        <f>(I16/10)*12</f>
        <v>54.864000000000004</v>
      </c>
      <c r="R16" s="70">
        <f t="shared" si="6"/>
        <v>-231.18600000000001</v>
      </c>
    </row>
    <row r="17" spans="1:18" ht="15.75" x14ac:dyDescent="0.25">
      <c r="A17" s="23" t="s">
        <v>176</v>
      </c>
      <c r="B17" s="22">
        <v>134.78</v>
      </c>
      <c r="C17" s="72">
        <f>ROUND('PU Wise OWE'!$G$128/10000,2)</f>
        <v>22.69</v>
      </c>
      <c r="D17" s="68">
        <f t="shared" si="7"/>
        <v>1.5518243682248743E-2</v>
      </c>
      <c r="E17" s="21"/>
      <c r="F17" s="22">
        <f>ROUND('PU Wise OWE'!$G$126/10000,2)</f>
        <v>148.21</v>
      </c>
      <c r="G17" s="24">
        <f t="shared" si="8"/>
        <v>1.8602987322706165E-2</v>
      </c>
      <c r="H17" s="23">
        <f>ROUND('PU Wise OWE'!$G$127/10000,2)</f>
        <v>26.68</v>
      </c>
      <c r="I17" s="23">
        <f>ROUND('PU Wise OWE'!$G$129/10000,2)</f>
        <v>23.09</v>
      </c>
      <c r="J17" s="24">
        <f t="shared" si="9"/>
        <v>1.4316272436990421E-2</v>
      </c>
      <c r="K17" s="22">
        <f t="shared" si="10"/>
        <v>3.59</v>
      </c>
      <c r="L17" s="24">
        <f t="shared" si="11"/>
        <v>0.15547856214811606</v>
      </c>
      <c r="M17" s="22">
        <f t="shared" si="4"/>
        <v>0.39999999999999858</v>
      </c>
      <c r="N17" s="54">
        <f t="shared" si="5"/>
        <v>1.7628911414720078E-2</v>
      </c>
      <c r="O17" s="54">
        <f t="shared" si="12"/>
        <v>0.15579245664934888</v>
      </c>
      <c r="P17" s="159"/>
      <c r="Q17" s="167">
        <f>(I17/10)*12</f>
        <v>27.708000000000002</v>
      </c>
      <c r="R17" s="70">
        <f t="shared" si="6"/>
        <v>-120.50200000000001</v>
      </c>
    </row>
    <row r="18" spans="1:18" ht="15.75" x14ac:dyDescent="0.25">
      <c r="A18" s="20" t="s">
        <v>154</v>
      </c>
      <c r="B18" s="107">
        <v>247.05</v>
      </c>
      <c r="C18" s="72">
        <f>ROUND('PU Wise OWE'!$H$128/10000,2)</f>
        <v>59.7</v>
      </c>
      <c r="D18" s="68">
        <f t="shared" si="7"/>
        <v>4.0830284170570733E-2</v>
      </c>
      <c r="E18" s="21"/>
      <c r="F18" s="22">
        <f>ROUND('PU Wise OWE'!$H$126/10000,2)</f>
        <v>289.98</v>
      </c>
      <c r="G18" s="24">
        <f t="shared" si="8"/>
        <v>3.6397640266097653E-2</v>
      </c>
      <c r="H18" s="23">
        <f>ROUND('PU Wise OWE'!$H$127/10000,2)</f>
        <v>52.2</v>
      </c>
      <c r="I18" s="23">
        <f>ROUND('PU Wise OWE'!$H$129/10000,2)</f>
        <v>63.39</v>
      </c>
      <c r="J18" s="24">
        <f t="shared" si="9"/>
        <v>3.9303097002201075E-2</v>
      </c>
      <c r="K18" s="22">
        <f t="shared" si="10"/>
        <v>-11.189999999999998</v>
      </c>
      <c r="L18" s="24">
        <f t="shared" si="11"/>
        <v>-0.17652626597255083</v>
      </c>
      <c r="M18" s="22">
        <f t="shared" si="4"/>
        <v>3.6899999999999977</v>
      </c>
      <c r="N18" s="54">
        <f t="shared" si="5"/>
        <v>6.1809045226130614E-2</v>
      </c>
      <c r="O18" s="54">
        <f t="shared" si="12"/>
        <v>0.2186012828470929</v>
      </c>
      <c r="P18" s="159"/>
      <c r="Q18" s="167">
        <f>(I18/10)*12</f>
        <v>76.068000000000012</v>
      </c>
      <c r="R18" s="70">
        <f t="shared" si="6"/>
        <v>-213.91200000000001</v>
      </c>
    </row>
    <row r="19" spans="1:18" ht="72" customHeight="1" x14ac:dyDescent="0.25">
      <c r="A19" s="58" t="s">
        <v>155</v>
      </c>
      <c r="B19" s="108">
        <v>188.24</v>
      </c>
      <c r="C19" s="72">
        <f>ROUND('PU Wise OWE'!$J$128/10000,2)</f>
        <v>30.89</v>
      </c>
      <c r="D19" s="68">
        <f t="shared" si="7"/>
        <v>2.1126423417570015E-2</v>
      </c>
      <c r="E19" s="21"/>
      <c r="F19" s="22">
        <f>ROUND('PU Wise OWE'!$J$126/10000,2)</f>
        <v>198.27</v>
      </c>
      <c r="G19" s="24">
        <f t="shared" si="8"/>
        <v>2.4886406426509352E-2</v>
      </c>
      <c r="H19" s="23">
        <f>ROUND('PU Wise OWE'!$J$127/10000,2)</f>
        <v>35.69</v>
      </c>
      <c r="I19" s="23">
        <f>ROUND('PU Wise OWE'!$J$129/10000,2)</f>
        <v>35.43</v>
      </c>
      <c r="J19" s="24">
        <f t="shared" si="9"/>
        <v>2.1967324921722417E-2</v>
      </c>
      <c r="K19" s="22">
        <f t="shared" si="10"/>
        <v>0.25999999999999801</v>
      </c>
      <c r="L19" s="24">
        <f t="shared" si="11"/>
        <v>7.3384137736381035E-3</v>
      </c>
      <c r="M19" s="22">
        <f t="shared" si="4"/>
        <v>4.5399999999999991</v>
      </c>
      <c r="N19" s="54">
        <f t="shared" si="5"/>
        <v>0.14697313046293295</v>
      </c>
      <c r="O19" s="54">
        <f t="shared" si="12"/>
        <v>0.17869571796035708</v>
      </c>
      <c r="P19" s="160" t="s">
        <v>283</v>
      </c>
      <c r="Q19" s="167">
        <f>(I19-10.57)/10*2+I19</f>
        <v>40.402000000000001</v>
      </c>
      <c r="R19" s="171">
        <f t="shared" si="6"/>
        <v>-157.86799999999999</v>
      </c>
    </row>
    <row r="20" spans="1:18" ht="48" customHeight="1" x14ac:dyDescent="0.25">
      <c r="A20" s="20" t="s">
        <v>156</v>
      </c>
      <c r="B20" s="107">
        <v>12.03</v>
      </c>
      <c r="C20" s="72">
        <f>ROUND('PU Wise OWE'!$K$128/10000,2)</f>
        <v>0.44</v>
      </c>
      <c r="D20" s="68">
        <f t="shared" si="7"/>
        <v>3.009267175050439E-4</v>
      </c>
      <c r="E20" s="21"/>
      <c r="F20" s="22">
        <f>ROUND('PU Wise OWE'!$K$126/10000,2)</f>
        <v>11.75</v>
      </c>
      <c r="G20" s="24">
        <f t="shared" si="8"/>
        <v>1.4748336889669888E-3</v>
      </c>
      <c r="H20" s="23">
        <f>ROUND('PU Wise OWE'!$K$127/10000,2)</f>
        <v>2.11</v>
      </c>
      <c r="I20" s="23">
        <f>ROUND('PU Wise OWE'!$K$129/10000,2)</f>
        <v>0.21</v>
      </c>
      <c r="J20" s="24">
        <f t="shared" si="9"/>
        <v>1.3020429674179249E-4</v>
      </c>
      <c r="K20" s="22">
        <f t="shared" si="10"/>
        <v>1.9</v>
      </c>
      <c r="L20" s="24">
        <f t="shared" si="11"/>
        <v>9.0476190476190474</v>
      </c>
      <c r="M20" s="22">
        <f t="shared" si="4"/>
        <v>-0.23</v>
      </c>
      <c r="N20" s="54">
        <f t="shared" si="5"/>
        <v>-0.52272727272727271</v>
      </c>
      <c r="O20" s="54">
        <f t="shared" si="12"/>
        <v>1.7872340425531916E-2</v>
      </c>
      <c r="P20" s="160" t="s">
        <v>282</v>
      </c>
      <c r="Q20" s="167">
        <f>(I20-1.36)/10*2+I20</f>
        <v>-2.0000000000000046E-2</v>
      </c>
      <c r="R20" s="70">
        <f t="shared" si="6"/>
        <v>-11.77</v>
      </c>
    </row>
    <row r="21" spans="1:18" ht="60" x14ac:dyDescent="0.25">
      <c r="A21" s="20" t="s">
        <v>157</v>
      </c>
      <c r="B21" s="107">
        <v>48.93</v>
      </c>
      <c r="C21" s="72">
        <f>ROUND('PU Wise OWE'!$L$128/10000,2)</f>
        <v>9.15</v>
      </c>
      <c r="D21" s="68">
        <f t="shared" si="7"/>
        <v>6.2579078753889818E-3</v>
      </c>
      <c r="E21" s="21"/>
      <c r="F21" s="22">
        <f>ROUND('PU Wise OWE'!$L$126/10000,2)</f>
        <v>52.98</v>
      </c>
      <c r="G21" s="24">
        <f t="shared" si="8"/>
        <v>6.6499309652315796E-3</v>
      </c>
      <c r="H21" s="23">
        <f>ROUND('PU Wise OWE'!$L$127/10000,2)</f>
        <v>9.5399999999999991</v>
      </c>
      <c r="I21" s="23">
        <f>ROUND('PU Wise OWE'!$L$129/10000,2)</f>
        <v>5.45</v>
      </c>
      <c r="J21" s="24">
        <f t="shared" si="9"/>
        <v>3.3791115106798528E-3</v>
      </c>
      <c r="K21" s="22">
        <f t="shared" si="10"/>
        <v>4.089999999999999</v>
      </c>
      <c r="L21" s="24">
        <f t="shared" si="11"/>
        <v>0.75045871559633004</v>
      </c>
      <c r="M21" s="22">
        <f t="shared" si="4"/>
        <v>-3.7</v>
      </c>
      <c r="N21" s="54">
        <f t="shared" si="5"/>
        <v>-0.40437158469945356</v>
      </c>
      <c r="O21" s="54">
        <f t="shared" si="12"/>
        <v>0.10286900717251794</v>
      </c>
      <c r="P21" s="160" t="s">
        <v>284</v>
      </c>
      <c r="Q21" s="167">
        <f>(I21-2.68)/10*2+I21</f>
        <v>6.0040000000000004</v>
      </c>
      <c r="R21" s="70">
        <f t="shared" si="6"/>
        <v>-46.975999999999999</v>
      </c>
    </row>
    <row r="22" spans="1:18" ht="45" x14ac:dyDescent="0.25">
      <c r="A22" s="20" t="s">
        <v>179</v>
      </c>
      <c r="B22" s="107">
        <v>120.4</v>
      </c>
      <c r="C22" s="72">
        <f>ROUND('PU Wise OWE'!$M$128/10000,2)</f>
        <v>17.02</v>
      </c>
      <c r="D22" s="68">
        <f t="shared" si="7"/>
        <v>1.1640392572581471E-2</v>
      </c>
      <c r="E22" s="21"/>
      <c r="F22" s="22">
        <f>ROUND('PU Wise OWE'!$M$126/10000,2)</f>
        <v>149.94999999999999</v>
      </c>
      <c r="G22" s="24">
        <f t="shared" si="8"/>
        <v>1.882138822643404E-2</v>
      </c>
      <c r="H22" s="23">
        <f>ROUND('PU Wise OWE'!$M$127/10000,2)</f>
        <v>26.99</v>
      </c>
      <c r="I22" s="23">
        <f>ROUND('PU Wise OWE'!$M$129/10000,2)</f>
        <v>19.84</v>
      </c>
      <c r="J22" s="24">
        <f t="shared" si="9"/>
        <v>1.2301205939796014E-2</v>
      </c>
      <c r="K22" s="22">
        <f t="shared" si="10"/>
        <v>7.1499999999999986</v>
      </c>
      <c r="L22" s="24">
        <f t="shared" si="11"/>
        <v>0.36038306451612895</v>
      </c>
      <c r="M22" s="22">
        <f t="shared" si="4"/>
        <v>2.8200000000000003</v>
      </c>
      <c r="N22" s="54">
        <f t="shared" si="5"/>
        <v>0.16568742655699178</v>
      </c>
      <c r="O22" s="54">
        <f t="shared" si="12"/>
        <v>0.13231077025675225</v>
      </c>
      <c r="P22" s="160" t="s">
        <v>270</v>
      </c>
      <c r="Q22" s="167">
        <f>(I22/10)*12</f>
        <v>23.808</v>
      </c>
      <c r="R22" s="70">
        <f t="shared" si="6"/>
        <v>-126.142</v>
      </c>
    </row>
    <row r="23" spans="1:18" ht="60" x14ac:dyDescent="0.25">
      <c r="A23" s="58" t="s">
        <v>158</v>
      </c>
      <c r="B23" s="108">
        <v>88.73</v>
      </c>
      <c r="C23" s="72">
        <f>ROUND('PU Wise OWE'!$P$128/10000,2)</f>
        <v>16.559999999999999</v>
      </c>
      <c r="D23" s="68">
        <f t="shared" si="7"/>
        <v>1.1325787367917107E-2</v>
      </c>
      <c r="E23" s="21"/>
      <c r="F23" s="22">
        <f>ROUND('PU Wise OWE'!$P$126/10000,2)</f>
        <v>92.29</v>
      </c>
      <c r="G23" s="24">
        <f t="shared" si="8"/>
        <v>1.1584034140830929E-2</v>
      </c>
      <c r="H23" s="23">
        <f>ROUND('PU Wise OWE'!$P$127/10000,2)</f>
        <v>16.61</v>
      </c>
      <c r="I23" s="23">
        <f>ROUND('PU Wise OWE'!$P$129/10000,2)</f>
        <v>22.39</v>
      </c>
      <c r="J23" s="24">
        <f t="shared" si="9"/>
        <v>1.388225811451778E-2</v>
      </c>
      <c r="K23" s="22">
        <f t="shared" si="10"/>
        <v>-5.7800000000000011</v>
      </c>
      <c r="L23" s="24">
        <f t="shared" si="11"/>
        <v>-0.25815096025011169</v>
      </c>
      <c r="M23" s="22">
        <f t="shared" si="4"/>
        <v>5.8300000000000018</v>
      </c>
      <c r="N23" s="54">
        <f t="shared" si="5"/>
        <v>0.35205314009661848</v>
      </c>
      <c r="O23" s="54">
        <f t="shared" si="12"/>
        <v>0.24260483259291363</v>
      </c>
      <c r="P23" s="160" t="s">
        <v>291</v>
      </c>
      <c r="Q23" s="167">
        <f>(I23-11.45)/10*2+I23</f>
        <v>24.577999999999999</v>
      </c>
      <c r="R23" s="171">
        <f t="shared" si="6"/>
        <v>-67.712000000000003</v>
      </c>
    </row>
    <row r="24" spans="1:18" ht="34.15" customHeight="1" x14ac:dyDescent="0.25">
      <c r="A24" s="58" t="s">
        <v>159</v>
      </c>
      <c r="B24" s="108">
        <v>81.78</v>
      </c>
      <c r="C24" s="72">
        <f>ROUND('PU Wise OWE'!$S$128/10000,2)</f>
        <v>3.84</v>
      </c>
      <c r="D24" s="68">
        <f t="shared" si="7"/>
        <v>2.6262695345894743E-3</v>
      </c>
      <c r="E24" s="21"/>
      <c r="F24" s="22">
        <f>ROUND('PU Wise OWE'!$S$126/10000,2)</f>
        <v>89.03</v>
      </c>
      <c r="G24" s="24">
        <f t="shared" si="8"/>
        <v>1.1174846240743065E-2</v>
      </c>
      <c r="H24" s="23">
        <f>ROUND('PU Wise OWE'!$S$127/10000,2)</f>
        <v>35.61</v>
      </c>
      <c r="I24" s="23">
        <f>ROUND('PU Wise OWE'!$S$129/10000,2)</f>
        <v>16.350000000000001</v>
      </c>
      <c r="J24" s="24">
        <f t="shared" si="9"/>
        <v>1.013733453203956E-2</v>
      </c>
      <c r="K24" s="22">
        <f t="shared" si="10"/>
        <v>19.259999999999998</v>
      </c>
      <c r="L24" s="24">
        <f t="shared" si="11"/>
        <v>1.1779816513761465</v>
      </c>
      <c r="M24" s="22">
        <f t="shared" si="4"/>
        <v>12.510000000000002</v>
      </c>
      <c r="N24" s="54">
        <f t="shared" si="5"/>
        <v>3.2578125000000004</v>
      </c>
      <c r="O24" s="54">
        <f t="shared" si="12"/>
        <v>0.18364596203526903</v>
      </c>
      <c r="P24" s="160" t="s">
        <v>271</v>
      </c>
      <c r="Q24" s="167">
        <f>F24</f>
        <v>89.03</v>
      </c>
      <c r="R24" s="70">
        <f t="shared" si="6"/>
        <v>0</v>
      </c>
    </row>
    <row r="25" spans="1:18" ht="28.9" customHeight="1" x14ac:dyDescent="0.25">
      <c r="A25" s="58" t="s">
        <v>160</v>
      </c>
      <c r="B25" s="108">
        <v>90.5</v>
      </c>
      <c r="C25" s="72">
        <f>ROUND('PU Wise OWE'!$T$128/10000,2)</f>
        <v>13.22</v>
      </c>
      <c r="D25" s="68">
        <f t="shared" si="7"/>
        <v>9.0414800123106379E-3</v>
      </c>
      <c r="E25" s="21"/>
      <c r="F25" s="22">
        <f>ROUND('PU Wise OWE'!$T$126/10000,2)</f>
        <v>83.15</v>
      </c>
      <c r="G25" s="24">
        <f t="shared" si="8"/>
        <v>1.0436801807455756E-2</v>
      </c>
      <c r="H25" s="22">
        <f>ROUND('PU Wise OWE'!$T$127/10000,2)</f>
        <v>14.97</v>
      </c>
      <c r="I25" s="23">
        <f>ROUND('PU Wise OWE'!$T$129/10000,2)</f>
        <v>12.99</v>
      </c>
      <c r="J25" s="24">
        <f t="shared" si="9"/>
        <v>8.0540657841708784E-3</v>
      </c>
      <c r="K25" s="22">
        <f t="shared" si="10"/>
        <v>1.9800000000000004</v>
      </c>
      <c r="L25" s="24">
        <f t="shared" si="11"/>
        <v>0.15242494226327949</v>
      </c>
      <c r="M25" s="22">
        <f t="shared" si="4"/>
        <v>-0.23000000000000043</v>
      </c>
      <c r="N25" s="54">
        <f t="shared" si="5"/>
        <v>-1.7397881996974313E-2</v>
      </c>
      <c r="O25" s="54">
        <f t="shared" si="12"/>
        <v>0.15622369212266987</v>
      </c>
      <c r="P25" s="160" t="s">
        <v>285</v>
      </c>
      <c r="Q25" s="167">
        <f>(I25-4)/10*2+I25</f>
        <v>14.788</v>
      </c>
      <c r="R25" s="70">
        <f t="shared" si="6"/>
        <v>-68.362000000000009</v>
      </c>
    </row>
    <row r="26" spans="1:18" ht="42.6" customHeight="1" x14ac:dyDescent="0.25">
      <c r="A26" s="58" t="s">
        <v>178</v>
      </c>
      <c r="B26" s="108">
        <v>41.07</v>
      </c>
      <c r="C26" s="72">
        <f>ROUND('PU Wise OWE'!$V$128/10000,2)</f>
        <v>5.96</v>
      </c>
      <c r="D26" s="68">
        <f t="shared" si="7"/>
        <v>4.076189173477413E-3</v>
      </c>
      <c r="E26" s="22"/>
      <c r="F26" s="22">
        <f>ROUND('PU Wise OWE'!$V$126/10000,2)</f>
        <v>34.5</v>
      </c>
      <c r="G26" s="24">
        <f t="shared" si="8"/>
        <v>4.3303627463286056E-3</v>
      </c>
      <c r="H26" s="22">
        <f>ROUND('PU Wise OWE'!$V$127/10000,2)</f>
        <v>6.21</v>
      </c>
      <c r="I26" s="23">
        <f>ROUND('PU Wise OWE'!$V$129/10000,2)</f>
        <v>5.72</v>
      </c>
      <c r="J26" s="24">
        <f t="shared" si="9"/>
        <v>3.5465170350621571E-3</v>
      </c>
      <c r="K26" s="22">
        <f t="shared" si="10"/>
        <v>0.49000000000000021</v>
      </c>
      <c r="L26" s="24">
        <f t="shared" si="11"/>
        <v>8.5664335664335706E-2</v>
      </c>
      <c r="M26" s="22">
        <f t="shared" si="4"/>
        <v>-0.24000000000000021</v>
      </c>
      <c r="N26" s="54">
        <f t="shared" si="5"/>
        <v>-4.0268456375838965E-2</v>
      </c>
      <c r="O26" s="54">
        <f t="shared" si="12"/>
        <v>0.16579710144927534</v>
      </c>
      <c r="P26" s="160" t="s">
        <v>288</v>
      </c>
      <c r="Q26" s="167">
        <f>(I26-3.4)/10*2+I26</f>
        <v>6.1839999999999993</v>
      </c>
      <c r="R26" s="70">
        <f t="shared" si="6"/>
        <v>-28.316000000000003</v>
      </c>
    </row>
    <row r="27" spans="1:18" ht="60" customHeight="1" x14ac:dyDescent="0.25">
      <c r="A27" s="58" t="s">
        <v>177</v>
      </c>
      <c r="B27" s="108">
        <v>169.78</v>
      </c>
      <c r="C27" s="72">
        <f>ROUND('PU Wise OWE'!$AC$128/10000,2)</f>
        <v>10.45</v>
      </c>
      <c r="D27" s="68">
        <f t="shared" si="7"/>
        <v>7.1470095407447929E-3</v>
      </c>
      <c r="E27" s="22"/>
      <c r="F27" s="22">
        <f>ROUND('PU Wise OWE'!$AC$126/10000,2)</f>
        <v>133.18</v>
      </c>
      <c r="G27" s="24">
        <f t="shared" si="8"/>
        <v>1.6716455378436048E-2</v>
      </c>
      <c r="H27" s="23">
        <f>ROUND('PU Wise OWE'!$AC$127/10000,2)</f>
        <v>23.97</v>
      </c>
      <c r="I27" s="23">
        <f>ROUND('PU Wise OWE'!$AC$129/10000,2)</f>
        <v>22.41</v>
      </c>
      <c r="J27" s="24">
        <f t="shared" si="9"/>
        <v>1.3894658523731285E-2</v>
      </c>
      <c r="K27" s="22">
        <f t="shared" si="10"/>
        <v>1.5599999999999987</v>
      </c>
      <c r="L27" s="24">
        <f t="shared" si="11"/>
        <v>6.9611780455153885E-2</v>
      </c>
      <c r="M27" s="22">
        <f t="shared" si="4"/>
        <v>11.96</v>
      </c>
      <c r="N27" s="54">
        <f t="shared" si="5"/>
        <v>1.1444976076555025</v>
      </c>
      <c r="O27" s="54">
        <f t="shared" si="12"/>
        <v>0.16826850878510285</v>
      </c>
      <c r="P27" s="160" t="s">
        <v>287</v>
      </c>
      <c r="Q27" s="167">
        <f>(I27-9.35)/10*2+I27</f>
        <v>25.021999999999998</v>
      </c>
      <c r="R27" s="70">
        <f t="shared" si="6"/>
        <v>-108.15800000000002</v>
      </c>
    </row>
    <row r="28" spans="1:18" x14ac:dyDescent="0.25">
      <c r="A28" s="25" t="s">
        <v>149</v>
      </c>
      <c r="B28" s="26">
        <f>SUM(B13:B27)</f>
        <v>4551.0499999999993</v>
      </c>
      <c r="C28" s="76">
        <f>SUM(C13:C27)</f>
        <v>732.77000000000021</v>
      </c>
      <c r="D28" s="56">
        <f>SUM(D13:D27)</f>
        <v>0.50115925178675236</v>
      </c>
      <c r="E28" s="26"/>
      <c r="F28" s="26">
        <f>F5</f>
        <v>4658.2700000000004</v>
      </c>
      <c r="G28" s="56">
        <f t="shared" ref="G28:I28" si="13">SUM(G13:G27)</f>
        <v>0.58113468055729889</v>
      </c>
      <c r="H28" s="26">
        <f>SUM(H13:H27)</f>
        <v>835.13</v>
      </c>
      <c r="I28" s="26">
        <f t="shared" si="13"/>
        <v>781.85</v>
      </c>
      <c r="J28" s="56">
        <f t="shared" si="9"/>
        <v>0.48476299717890692</v>
      </c>
      <c r="K28" s="26">
        <f t="shared" si="10"/>
        <v>53.279999999999973</v>
      </c>
      <c r="L28" s="56">
        <f t="shared" si="11"/>
        <v>6.814606382298391E-2</v>
      </c>
      <c r="M28" s="26">
        <f t="shared" si="4"/>
        <v>49.079999999999814</v>
      </c>
      <c r="N28" s="57">
        <f t="shared" si="5"/>
        <v>6.6978724565688819E-2</v>
      </c>
      <c r="Q28" s="76">
        <f>SUM(Q13:Q27)</f>
        <v>1098.018</v>
      </c>
      <c r="R28" s="76">
        <f>SUM(R13:R27)</f>
        <v>-3531.8819999999996</v>
      </c>
    </row>
    <row r="29" spans="1:18" x14ac:dyDescent="0.25">
      <c r="I29" s="70"/>
      <c r="J29" s="70"/>
      <c r="K29" s="70"/>
      <c r="L29" s="70"/>
      <c r="Q29" s="168"/>
    </row>
    <row r="30" spans="1:18" x14ac:dyDescent="0.25">
      <c r="Q30" s="168"/>
    </row>
    <row r="31" spans="1:18" x14ac:dyDescent="0.25">
      <c r="A31" s="77" t="s">
        <v>180</v>
      </c>
      <c r="B31" s="77"/>
      <c r="C31" s="78"/>
      <c r="D31" s="79"/>
      <c r="M31" s="157" t="s">
        <v>150</v>
      </c>
      <c r="Q31" s="168"/>
    </row>
    <row r="32" spans="1:18" ht="15" customHeight="1" x14ac:dyDescent="0.25">
      <c r="A32" s="237"/>
      <c r="B32" s="256" t="s">
        <v>303</v>
      </c>
      <c r="C32" s="234" t="str">
        <f>'PU Wise OWE'!$B$7</f>
        <v>Actuals upto May' 20</v>
      </c>
      <c r="D32" s="256" t="s">
        <v>173</v>
      </c>
      <c r="E32" s="256"/>
      <c r="F32" s="277" t="str">
        <f>'PU Wise OWE'!$B$5</f>
        <v xml:space="preserve">OBG(SL) 2021-22 </v>
      </c>
      <c r="G32" s="256" t="s">
        <v>310</v>
      </c>
      <c r="H32" s="256" t="s">
        <v>317</v>
      </c>
      <c r="I32" s="234" t="str">
        <f>'PU Wise OWE'!B8</f>
        <v>Actuals upto May' 21</v>
      </c>
      <c r="J32" s="256" t="s">
        <v>205</v>
      </c>
      <c r="K32" s="240" t="s">
        <v>207</v>
      </c>
      <c r="L32" s="240"/>
      <c r="M32" s="240" t="s">
        <v>147</v>
      </c>
      <c r="N32" s="240"/>
      <c r="O32" s="237" t="s">
        <v>315</v>
      </c>
      <c r="P32" s="285" t="s">
        <v>268</v>
      </c>
      <c r="Q32" s="169"/>
    </row>
    <row r="33" spans="1:18" ht="17.25" customHeight="1" x14ac:dyDescent="0.25">
      <c r="A33" s="237"/>
      <c r="B33" s="235"/>
      <c r="C33" s="235"/>
      <c r="D33" s="235"/>
      <c r="E33" s="235"/>
      <c r="F33" s="278"/>
      <c r="G33" s="235"/>
      <c r="H33" s="235"/>
      <c r="I33" s="235"/>
      <c r="J33" s="235"/>
      <c r="K33" s="81" t="s">
        <v>145</v>
      </c>
      <c r="L33" s="82" t="s">
        <v>146</v>
      </c>
      <c r="M33" s="81" t="s">
        <v>145</v>
      </c>
      <c r="N33" s="82" t="s">
        <v>146</v>
      </c>
      <c r="O33" s="237"/>
      <c r="P33" s="285"/>
      <c r="Q33" s="169"/>
    </row>
    <row r="34" spans="1:18" ht="15" customHeight="1" x14ac:dyDescent="0.25">
      <c r="A34" s="86" t="s">
        <v>181</v>
      </c>
      <c r="B34" s="109">
        <v>10.44</v>
      </c>
      <c r="C34" s="72">
        <f>ROUND(('PU Wise OWE'!$AE$128+'PU Wise OWE'!$AF$128)/10000,2)</f>
        <v>1.58</v>
      </c>
      <c r="D34" s="87">
        <f>C34/$C$7</f>
        <v>1.0806004855862942E-3</v>
      </c>
      <c r="E34" s="21"/>
      <c r="F34" s="22">
        <f>ROUND(('PU Wise OWE'!$AE$126+'PU Wise OWE'!$AF$126)/10000,2)</f>
        <v>9.56</v>
      </c>
      <c r="G34" s="24">
        <f t="shared" ref="G34:G37" si="14">F34/$F$7</f>
        <v>1.1999497928956947E-3</v>
      </c>
      <c r="H34" s="23">
        <f>ROUND(('PU Wise OWE'!$AE$127+'PU Wise OWE'!$AF$127)/10000,2)</f>
        <v>1.72</v>
      </c>
      <c r="I34" s="23">
        <f>ROUND(('PU Wise OWE'!$AE$129+'PU Wise OWE'!$AF$129)/10000,2)</f>
        <v>0.77</v>
      </c>
      <c r="J34" s="24">
        <f t="shared" ref="J34:J37" si="15">I34/$I$7</f>
        <v>4.7741575471990579E-4</v>
      </c>
      <c r="K34" s="22">
        <f t="shared" ref="K34" si="16">H34-I34</f>
        <v>0.95</v>
      </c>
      <c r="L34" s="24">
        <f t="shared" ref="L34" si="17">K34/I34</f>
        <v>1.2337662337662336</v>
      </c>
      <c r="M34" s="22">
        <f>I34-C34</f>
        <v>-0.81</v>
      </c>
      <c r="N34" s="54">
        <f>M34/C34</f>
        <v>-0.51265822784810122</v>
      </c>
      <c r="O34" s="54">
        <f t="shared" ref="O34:O37" si="18">I34/F34</f>
        <v>8.0543933054393307E-2</v>
      </c>
      <c r="P34" s="288" t="s">
        <v>279</v>
      </c>
      <c r="Q34" s="167">
        <f>(I34/10)*12</f>
        <v>0.92399999999999993</v>
      </c>
      <c r="R34" s="70">
        <f>Q34-F34</f>
        <v>-8.636000000000001</v>
      </c>
    </row>
    <row r="35" spans="1:18" ht="16.5" customHeight="1" x14ac:dyDescent="0.25">
      <c r="A35" s="86" t="s">
        <v>182</v>
      </c>
      <c r="B35" s="109">
        <v>21.76</v>
      </c>
      <c r="C35" s="72">
        <f>ROUND('PU Wise OWE'!$AG$128/10000,2)</f>
        <v>4.95</v>
      </c>
      <c r="D35" s="87">
        <f t="shared" ref="D35:D37" si="19">C35/$C$7</f>
        <v>3.3854255719317442E-3</v>
      </c>
      <c r="E35" s="21"/>
      <c r="F35" s="22">
        <f>ROUND('PU Wise OWE'!$AG$126/10000,2)</f>
        <v>7.15</v>
      </c>
      <c r="G35" s="24">
        <f t="shared" si="14"/>
        <v>8.9745198945650811E-4</v>
      </c>
      <c r="H35" s="23">
        <f>ROUND('PU Wise OWE'!$AG$127/10000,2)</f>
        <v>1.29</v>
      </c>
      <c r="I35" s="23">
        <f>ROUND('PU Wise OWE'!$AG$129/10000,2)</f>
        <v>4.9000000000000004</v>
      </c>
      <c r="J35" s="24">
        <f t="shared" si="15"/>
        <v>3.0381002573084915E-3</v>
      </c>
      <c r="K35" s="22">
        <f t="shared" ref="K35:K37" si="20">H35-I35</f>
        <v>-3.6100000000000003</v>
      </c>
      <c r="L35" s="24">
        <f t="shared" ref="L35:L37" si="21">K35/I35</f>
        <v>-0.73673469387755108</v>
      </c>
      <c r="M35" s="22">
        <f>I35-C35</f>
        <v>-4.9999999999999822E-2</v>
      </c>
      <c r="N35" s="54">
        <f>M35/C35</f>
        <v>-1.0101010101010065E-2</v>
      </c>
      <c r="O35" s="54">
        <f t="shared" si="18"/>
        <v>0.68531468531468531</v>
      </c>
      <c r="P35" s="289"/>
      <c r="Q35" s="167">
        <f>(I35/10)*12+6</f>
        <v>11.88</v>
      </c>
      <c r="R35" s="171">
        <f>Q35-F35</f>
        <v>4.7300000000000004</v>
      </c>
    </row>
    <row r="36" spans="1:18" ht="15.75" customHeight="1" x14ac:dyDescent="0.25">
      <c r="A36" s="86" t="s">
        <v>183</v>
      </c>
      <c r="B36" s="109">
        <v>2.4700000000000002</v>
      </c>
      <c r="C36" s="72">
        <f>ROUND('PU Wise OWE'!$AJ$128/10000,2)</f>
        <v>0.51</v>
      </c>
      <c r="D36" s="87">
        <f t="shared" si="19"/>
        <v>3.4880142256266453E-4</v>
      </c>
      <c r="E36" s="21"/>
      <c r="F36" s="22">
        <f>ROUND('PU Wise OWE'!$AJ$126/10000,2)</f>
        <v>2.23</v>
      </c>
      <c r="G36" s="24">
        <f t="shared" si="14"/>
        <v>2.7990460650181999E-4</v>
      </c>
      <c r="H36" s="23">
        <f>ROUND('PU Wise OWE'!$AJ$127/10000,2)</f>
        <v>0.4</v>
      </c>
      <c r="I36" s="23">
        <f>ROUND('PU Wise OWE'!$AJ$129/10000,2)</f>
        <v>0.15</v>
      </c>
      <c r="J36" s="24">
        <f t="shared" si="15"/>
        <v>9.3003069101280339E-5</v>
      </c>
      <c r="K36" s="22">
        <f t="shared" si="20"/>
        <v>0.25</v>
      </c>
      <c r="L36" s="24">
        <f t="shared" si="21"/>
        <v>1.6666666666666667</v>
      </c>
      <c r="M36" s="22">
        <f>I36-C36</f>
        <v>-0.36</v>
      </c>
      <c r="N36" s="54">
        <f>M36/C36</f>
        <v>-0.70588235294117641</v>
      </c>
      <c r="O36" s="54">
        <f t="shared" si="18"/>
        <v>6.726457399103139E-2</v>
      </c>
      <c r="P36" s="289"/>
      <c r="Q36" s="167">
        <f>(I36/10)*12</f>
        <v>0.18</v>
      </c>
      <c r="R36" s="70">
        <f>Q36-F36</f>
        <v>-2.0499999999999998</v>
      </c>
    </row>
    <row r="37" spans="1:18" x14ac:dyDescent="0.25">
      <c r="A37" s="25" t="s">
        <v>149</v>
      </c>
      <c r="B37" s="26">
        <v>34.619999999999997</v>
      </c>
      <c r="C37" s="76">
        <f>SUM(C34:C36)</f>
        <v>7.04</v>
      </c>
      <c r="D37" s="88">
        <f t="shared" si="19"/>
        <v>4.8148274800807024E-3</v>
      </c>
      <c r="E37" s="26"/>
      <c r="F37" s="76">
        <f t="shared" ref="F37:I37" si="22">SUM(F34:F36)</f>
        <v>18.940000000000001</v>
      </c>
      <c r="G37" s="56">
        <f t="shared" si="14"/>
        <v>2.3773063888540228E-3</v>
      </c>
      <c r="H37" s="76">
        <f t="shared" si="22"/>
        <v>3.4099999999999997</v>
      </c>
      <c r="I37" s="76">
        <f t="shared" si="22"/>
        <v>5.82</v>
      </c>
      <c r="J37" s="56">
        <f t="shared" si="15"/>
        <v>3.6085190811296778E-3</v>
      </c>
      <c r="K37" s="26">
        <f t="shared" si="20"/>
        <v>-2.4100000000000006</v>
      </c>
      <c r="L37" s="56">
        <f t="shared" si="21"/>
        <v>-0.41408934707903788</v>
      </c>
      <c r="M37" s="26">
        <f>I37-C37</f>
        <v>-1.2199999999999998</v>
      </c>
      <c r="N37" s="57">
        <f>M37/C37</f>
        <v>-0.1732954545454545</v>
      </c>
      <c r="O37" s="54">
        <f t="shared" si="18"/>
        <v>0.30728616684266102</v>
      </c>
      <c r="P37" s="290"/>
      <c r="Q37" s="76">
        <f>SUM(Q34:Q36)</f>
        <v>12.984</v>
      </c>
      <c r="R37" s="76">
        <f>SUM(R34:R36)</f>
        <v>-5.9560000000000004</v>
      </c>
    </row>
    <row r="38" spans="1:18" x14ac:dyDescent="0.25">
      <c r="Q38" s="168"/>
    </row>
    <row r="39" spans="1:18" ht="15.75" thickBot="1" x14ac:dyDescent="0.3">
      <c r="A39" s="84"/>
      <c r="B39" s="84"/>
      <c r="C39" s="85"/>
      <c r="D39" s="84"/>
      <c r="M39" s="157" t="s">
        <v>150</v>
      </c>
      <c r="Q39" s="168"/>
    </row>
    <row r="40" spans="1:18" ht="15" customHeight="1" x14ac:dyDescent="0.25">
      <c r="A40" s="237" t="s">
        <v>164</v>
      </c>
      <c r="B40" s="256" t="s">
        <v>303</v>
      </c>
      <c r="C40" s="234" t="str">
        <f>'PU Wise OWE'!$B$7</f>
        <v>Actuals upto May' 20</v>
      </c>
      <c r="D40" s="256" t="s">
        <v>173</v>
      </c>
      <c r="E40" s="256"/>
      <c r="F40" s="277" t="str">
        <f>'PU Wise OWE'!$B$5</f>
        <v xml:space="preserve">OBG(SL) 2021-22 </v>
      </c>
      <c r="G40" s="256" t="s">
        <v>310</v>
      </c>
      <c r="H40" s="256" t="s">
        <v>317</v>
      </c>
      <c r="I40" s="234" t="str">
        <f>'PU Wise OWE'!B8</f>
        <v>Actuals upto May' 21</v>
      </c>
      <c r="J40" s="256" t="s">
        <v>205</v>
      </c>
      <c r="K40" s="240" t="s">
        <v>207</v>
      </c>
      <c r="L40" s="240"/>
      <c r="M40" s="240" t="s">
        <v>147</v>
      </c>
      <c r="N40" s="240"/>
      <c r="O40" s="237" t="s">
        <v>315</v>
      </c>
      <c r="P40" s="286" t="s">
        <v>268</v>
      </c>
      <c r="Q40" s="169"/>
    </row>
    <row r="41" spans="1:18" ht="30" x14ac:dyDescent="0.25">
      <c r="A41" s="237"/>
      <c r="B41" s="235"/>
      <c r="C41" s="235"/>
      <c r="D41" s="235"/>
      <c r="E41" s="235"/>
      <c r="F41" s="278"/>
      <c r="G41" s="235"/>
      <c r="H41" s="235"/>
      <c r="I41" s="235"/>
      <c r="J41" s="235"/>
      <c r="K41" s="81" t="s">
        <v>145</v>
      </c>
      <c r="L41" s="82" t="s">
        <v>146</v>
      </c>
      <c r="M41" s="81" t="s">
        <v>145</v>
      </c>
      <c r="N41" s="82" t="s">
        <v>146</v>
      </c>
      <c r="O41" s="237"/>
      <c r="P41" s="287"/>
      <c r="Q41" s="169"/>
    </row>
    <row r="42" spans="1:18" ht="15.75" x14ac:dyDescent="0.25">
      <c r="A42" s="27" t="s">
        <v>165</v>
      </c>
      <c r="B42" s="106">
        <v>273.47000000000003</v>
      </c>
      <c r="C42" s="72">
        <f>SUM(C43:C47)</f>
        <v>60.300000000000004</v>
      </c>
      <c r="D42" s="87">
        <f t="shared" ref="D42:D49" si="23">C42/$C$7</f>
        <v>4.1240638785350343E-2</v>
      </c>
      <c r="E42" s="99"/>
      <c r="F42" s="21">
        <f>SUM(F43:F47)</f>
        <v>213.87</v>
      </c>
      <c r="G42" s="24">
        <f t="shared" ref="G42:G49" si="24">F42/$F$7</f>
        <v>2.684448349441446E-2</v>
      </c>
      <c r="H42" s="21">
        <f>SUM(H43:H47)</f>
        <v>38.5</v>
      </c>
      <c r="I42" s="21">
        <f>SUM(I43:I47)</f>
        <v>90.990000000000009</v>
      </c>
      <c r="J42" s="24">
        <f t="shared" ref="J42:J49" si="25">I42/$I$7</f>
        <v>5.6415661716836665E-2</v>
      </c>
      <c r="K42" s="22">
        <f>H42-I42</f>
        <v>-52.490000000000009</v>
      </c>
      <c r="L42" s="24">
        <f>K42/I42</f>
        <v>-0.57687657984393892</v>
      </c>
      <c r="M42" s="22">
        <f t="shared" ref="M42:M49" si="26">I42-C42</f>
        <v>30.690000000000005</v>
      </c>
      <c r="N42" s="54">
        <f t="shared" ref="N42:N49" si="27">M42/C42</f>
        <v>0.50895522388059711</v>
      </c>
      <c r="O42" s="54">
        <f t="shared" ref="O42:O49" si="28">I42/F42</f>
        <v>0.425445364006172</v>
      </c>
      <c r="P42" s="161"/>
      <c r="Q42" s="167">
        <v>266.16000000000003</v>
      </c>
      <c r="R42" s="70">
        <f t="shared" ref="R42:R48" si="29">Q42-F42</f>
        <v>52.29000000000002</v>
      </c>
    </row>
    <row r="43" spans="1:18" ht="15.75" x14ac:dyDescent="0.25">
      <c r="A43" s="59" t="s">
        <v>161</v>
      </c>
      <c r="B43" s="21">
        <v>19.690000000000001</v>
      </c>
      <c r="C43" s="72">
        <f>ROUND('PU Wise OWE'!$AK$84/10000,2)</f>
        <v>3.07</v>
      </c>
      <c r="D43" s="87">
        <f t="shared" si="23"/>
        <v>2.0996477789556474E-3</v>
      </c>
      <c r="E43" s="99"/>
      <c r="F43" s="21">
        <f>ROUND('PU Wise OWE'!$AK$82/10000,2)</f>
        <v>14.25</v>
      </c>
      <c r="G43" s="24">
        <f t="shared" si="24"/>
        <v>1.7886280908748589E-3</v>
      </c>
      <c r="H43" s="21">
        <f>ROUND('PU Wise OWE'!$AK$83/10000,2)</f>
        <v>2.57</v>
      </c>
      <c r="I43" s="21">
        <f>ROUND('PU Wise OWE'!$AK$85/10000,2)</f>
        <v>6.37</v>
      </c>
      <c r="J43" s="24">
        <f t="shared" si="25"/>
        <v>3.9495303345010386E-3</v>
      </c>
      <c r="K43" s="22">
        <f t="shared" ref="K43:K49" si="30">H43-I43</f>
        <v>-3.8000000000000003</v>
      </c>
      <c r="L43" s="24">
        <f t="shared" ref="L43:L49" si="31">K43/I43</f>
        <v>-0.59654631083202514</v>
      </c>
      <c r="M43" s="22">
        <f t="shared" si="26"/>
        <v>3.3000000000000003</v>
      </c>
      <c r="N43" s="54">
        <f t="shared" si="27"/>
        <v>1.0749185667752443</v>
      </c>
      <c r="O43" s="54">
        <f t="shared" si="28"/>
        <v>0.44701754385964915</v>
      </c>
      <c r="P43" s="161"/>
      <c r="Q43" s="167">
        <f>(I43/10)*12</f>
        <v>7.6440000000000001</v>
      </c>
      <c r="R43" s="70">
        <f t="shared" si="29"/>
        <v>-6.6059999999999999</v>
      </c>
    </row>
    <row r="44" spans="1:18" ht="15.75" x14ac:dyDescent="0.25">
      <c r="A44" s="60" t="s">
        <v>168</v>
      </c>
      <c r="B44" s="110">
        <v>114.4</v>
      </c>
      <c r="C44" s="72">
        <f>ROUND('PU Wise OWE'!$AR$84/10000,2)</f>
        <v>19.489999999999998</v>
      </c>
      <c r="D44" s="87">
        <f t="shared" si="23"/>
        <v>1.3329685736757513E-2</v>
      </c>
      <c r="E44" s="99"/>
      <c r="F44" s="21">
        <f>ROUND('PU Wise OWE'!$AR$82/10000,2)</f>
        <v>78.95</v>
      </c>
      <c r="G44" s="24">
        <f t="shared" si="24"/>
        <v>9.9096272122505338E-3</v>
      </c>
      <c r="H44" s="21">
        <f>ROUND('PU Wise OWE'!$AR$83/10000,2)</f>
        <v>14.21</v>
      </c>
      <c r="I44" s="21">
        <f>ROUND('PU Wise OWE'!$AR$85/10000,2)</f>
        <v>33.82</v>
      </c>
      <c r="J44" s="24">
        <f t="shared" si="25"/>
        <v>2.0969091980035343E-2</v>
      </c>
      <c r="K44" s="22">
        <f t="shared" si="30"/>
        <v>-19.61</v>
      </c>
      <c r="L44" s="24">
        <f t="shared" si="31"/>
        <v>-0.57983441750443521</v>
      </c>
      <c r="M44" s="22">
        <f t="shared" si="26"/>
        <v>14.330000000000002</v>
      </c>
      <c r="N44" s="54">
        <f t="shared" si="27"/>
        <v>0.73524884556182668</v>
      </c>
      <c r="O44" s="54">
        <f t="shared" si="28"/>
        <v>0.42837238758708041</v>
      </c>
      <c r="P44" s="161"/>
      <c r="Q44" s="167">
        <f>(I44/10)*12</f>
        <v>40.584000000000003</v>
      </c>
      <c r="R44" s="70">
        <f t="shared" si="29"/>
        <v>-38.366</v>
      </c>
    </row>
    <row r="45" spans="1:18" ht="15.75" x14ac:dyDescent="0.25">
      <c r="A45" s="60" t="s">
        <v>169</v>
      </c>
      <c r="B45" s="110">
        <v>46.69</v>
      </c>
      <c r="C45" s="72">
        <f>ROUND('PU Wise OWE'!$AU$84/10000,2)</f>
        <v>8.98</v>
      </c>
      <c r="D45" s="87">
        <f t="shared" si="23"/>
        <v>6.1416407345347606E-3</v>
      </c>
      <c r="E45" s="99"/>
      <c r="F45" s="21">
        <f>ROUND('PU Wise OWE'!$AU$82/10000,2)</f>
        <v>34.83</v>
      </c>
      <c r="G45" s="24">
        <f t="shared" si="24"/>
        <v>4.3717836073804443E-3</v>
      </c>
      <c r="H45" s="21">
        <f>ROUND('PU Wise OWE'!$AU$83/10000,2)</f>
        <v>6.27</v>
      </c>
      <c r="I45" s="21">
        <f>ROUND('PU Wise OWE'!$AU$85/10000,2)</f>
        <v>14.05</v>
      </c>
      <c r="J45" s="24">
        <f t="shared" si="25"/>
        <v>8.7112874724865931E-3</v>
      </c>
      <c r="K45" s="22">
        <f t="shared" si="30"/>
        <v>-7.7800000000000011</v>
      </c>
      <c r="L45" s="24">
        <f t="shared" si="31"/>
        <v>-0.55373665480427048</v>
      </c>
      <c r="M45" s="22">
        <f t="shared" si="26"/>
        <v>5.07</v>
      </c>
      <c r="N45" s="54">
        <f t="shared" si="27"/>
        <v>0.56458797327394206</v>
      </c>
      <c r="O45" s="54">
        <f t="shared" si="28"/>
        <v>0.4033878840080391</v>
      </c>
      <c r="P45" s="161"/>
      <c r="Q45" s="167">
        <f>(I45/10)*12</f>
        <v>16.86</v>
      </c>
      <c r="R45" s="70">
        <f t="shared" si="29"/>
        <v>-17.97</v>
      </c>
    </row>
    <row r="46" spans="1:18" ht="15.75" x14ac:dyDescent="0.25">
      <c r="A46" s="59" t="s">
        <v>166</v>
      </c>
      <c r="B46" s="21">
        <v>54.55</v>
      </c>
      <c r="C46" s="72">
        <f>ROUND('PU Wise OWE'!$AZ$84/10000,2)</f>
        <v>4.41</v>
      </c>
      <c r="D46" s="87">
        <f t="shared" si="23"/>
        <v>3.0161064186300995E-3</v>
      </c>
      <c r="E46" s="99"/>
      <c r="F46" s="21">
        <f>ROUND('PU Wise OWE'!$AZ$82/10000,2)</f>
        <v>31.73</v>
      </c>
      <c r="G46" s="24">
        <f t="shared" si="24"/>
        <v>3.9826785490146861E-3</v>
      </c>
      <c r="H46" s="21">
        <f>ROUND('PU Wise OWE'!$AZ$83/10000,2)</f>
        <v>5.71</v>
      </c>
      <c r="I46" s="21">
        <f>ROUND('PU Wise OWE'!$AZ$85/10000,2)</f>
        <v>24.35</v>
      </c>
      <c r="J46" s="24">
        <f t="shared" si="25"/>
        <v>1.5097498217441177E-2</v>
      </c>
      <c r="K46" s="22">
        <f t="shared" si="30"/>
        <v>-18.64</v>
      </c>
      <c r="L46" s="24">
        <f t="shared" si="31"/>
        <v>-0.76550308008213552</v>
      </c>
      <c r="M46" s="22">
        <f t="shared" si="26"/>
        <v>19.940000000000001</v>
      </c>
      <c r="N46" s="54">
        <f t="shared" si="27"/>
        <v>4.5215419501133791</v>
      </c>
      <c r="O46" s="54">
        <f t="shared" si="28"/>
        <v>0.76741254333438391</v>
      </c>
      <c r="P46" s="161"/>
      <c r="Q46" s="167">
        <f>(I46/10)*12</f>
        <v>29.22</v>
      </c>
      <c r="R46" s="171">
        <f t="shared" si="29"/>
        <v>-2.5100000000000016</v>
      </c>
    </row>
    <row r="47" spans="1:18" ht="15.75" x14ac:dyDescent="0.25">
      <c r="A47" s="60" t="s">
        <v>167</v>
      </c>
      <c r="B47" s="110">
        <v>38.14</v>
      </c>
      <c r="C47" s="72">
        <f>ROUND('PU Wise OWE'!$BA$84/10000,2)</f>
        <v>24.35</v>
      </c>
      <c r="D47" s="87">
        <f t="shared" si="23"/>
        <v>1.6653558116472317E-2</v>
      </c>
      <c r="E47" s="99"/>
      <c r="F47" s="21">
        <f>ROUND('PU Wise OWE'!$BA$82/10000,2)</f>
        <v>54.11</v>
      </c>
      <c r="G47" s="24">
        <f t="shared" si="24"/>
        <v>6.791766034893937E-3</v>
      </c>
      <c r="H47" s="21">
        <f>ROUND('PU Wise OWE'!$BA$83/10000,2)</f>
        <v>9.74</v>
      </c>
      <c r="I47" s="21">
        <f>ROUND('PU Wise OWE'!$BA$85/10000,2)</f>
        <v>12.4</v>
      </c>
      <c r="J47" s="24">
        <f t="shared" si="25"/>
        <v>7.688253712372509E-3</v>
      </c>
      <c r="K47" s="22">
        <f t="shared" si="30"/>
        <v>-2.66</v>
      </c>
      <c r="L47" s="24">
        <f t="shared" si="31"/>
        <v>-0.21451612903225806</v>
      </c>
      <c r="M47" s="22">
        <f t="shared" si="26"/>
        <v>-11.950000000000001</v>
      </c>
      <c r="N47" s="54">
        <f t="shared" si="27"/>
        <v>-0.49075975359342916</v>
      </c>
      <c r="O47" s="54">
        <f t="shared" si="28"/>
        <v>0.22916281648493811</v>
      </c>
      <c r="P47" s="161"/>
      <c r="Q47" s="167">
        <f>(I47/10)*12</f>
        <v>14.879999999999999</v>
      </c>
      <c r="R47" s="70">
        <f t="shared" si="29"/>
        <v>-39.230000000000004</v>
      </c>
    </row>
    <row r="48" spans="1:18" ht="15.75" x14ac:dyDescent="0.25">
      <c r="A48" s="61" t="s">
        <v>170</v>
      </c>
      <c r="B48" s="105">
        <v>663.48</v>
      </c>
      <c r="C48" s="72">
        <f>ROUND('PU Wise OWE'!$AM$84/10000,2)-ROUND('PU Wise OWE'!$BJ$84/10000,2)</f>
        <v>96.85</v>
      </c>
      <c r="D48" s="87">
        <f t="shared" si="23"/>
        <v>6.623807406900796E-2</v>
      </c>
      <c r="E48" s="99"/>
      <c r="F48" s="21">
        <f>ROUND('PU Wise OWE'!$AM$82/10000,2)-ROUND('PU Wise OWE'!$BJ$82/10000,2)</f>
        <v>637.38</v>
      </c>
      <c r="G48" s="24">
        <f t="shared" si="24"/>
        <v>8.0002510355215259E-2</v>
      </c>
      <c r="H48" s="21">
        <f>ROUND('PU Wise OWE'!$AM$83/10000,2)-ROUND('PU Wise OWE'!$BJ$83/10000,2)</f>
        <v>115.37</v>
      </c>
      <c r="I48" s="21">
        <f>ROUND('PU Wise OWE'!$AM$85/10000,2)-ROUND('PU Wise OWE'!$BJ$85/10000,2)</f>
        <v>129.87</v>
      </c>
      <c r="J48" s="24">
        <f t="shared" si="25"/>
        <v>8.0522057227888522E-2</v>
      </c>
      <c r="K48" s="22">
        <f t="shared" si="30"/>
        <v>-14.5</v>
      </c>
      <c r="L48" s="24">
        <f t="shared" si="31"/>
        <v>-0.11165011165011164</v>
      </c>
      <c r="M48" s="22">
        <f t="shared" si="26"/>
        <v>33.02000000000001</v>
      </c>
      <c r="N48" s="54">
        <f t="shared" si="27"/>
        <v>0.34093959731543638</v>
      </c>
      <c r="O48" s="54">
        <f t="shared" si="28"/>
        <v>0.20375600112962441</v>
      </c>
      <c r="P48" s="161"/>
      <c r="Q48" s="167">
        <v>670.28</v>
      </c>
      <c r="R48" s="70">
        <f t="shared" si="29"/>
        <v>32.899999999999977</v>
      </c>
    </row>
    <row r="49" spans="1:18" s="36" customFormat="1" ht="15.75" thickBot="1" x14ac:dyDescent="0.3">
      <c r="A49" s="62" t="s">
        <v>130</v>
      </c>
      <c r="B49" s="76">
        <f>B42+B48</f>
        <v>936.95</v>
      </c>
      <c r="C49" s="76">
        <f>C42+C48</f>
        <v>157.15</v>
      </c>
      <c r="D49" s="88">
        <f t="shared" si="23"/>
        <v>0.10747871285435831</v>
      </c>
      <c r="E49" s="100"/>
      <c r="F49" s="26">
        <f>F42+F48</f>
        <v>851.25</v>
      </c>
      <c r="G49" s="56">
        <f t="shared" si="24"/>
        <v>0.10684699384962973</v>
      </c>
      <c r="H49" s="26">
        <f>H42+H48</f>
        <v>153.87</v>
      </c>
      <c r="I49" s="26">
        <f>I42+I48</f>
        <v>220.86</v>
      </c>
      <c r="J49" s="56">
        <f t="shared" si="25"/>
        <v>0.1369377189447252</v>
      </c>
      <c r="K49" s="26">
        <f t="shared" si="30"/>
        <v>-66.990000000000009</v>
      </c>
      <c r="L49" s="56">
        <f t="shared" si="31"/>
        <v>-0.30331431676174953</v>
      </c>
      <c r="M49" s="26">
        <f t="shared" si="26"/>
        <v>63.710000000000008</v>
      </c>
      <c r="N49" s="57">
        <f t="shared" si="27"/>
        <v>0.40540884505249764</v>
      </c>
      <c r="O49" s="54">
        <f t="shared" si="28"/>
        <v>0.25945374449339209</v>
      </c>
      <c r="P49" s="162"/>
      <c r="Q49" s="76">
        <f>Q42+Q48</f>
        <v>936.44</v>
      </c>
      <c r="R49" s="76">
        <f>R42+R48</f>
        <v>85.19</v>
      </c>
    </row>
    <row r="50" spans="1:18" x14ac:dyDescent="0.25">
      <c r="Q50" s="168"/>
    </row>
    <row r="51" spans="1:18" x14ac:dyDescent="0.25">
      <c r="A51" s="77" t="s">
        <v>184</v>
      </c>
      <c r="B51" s="77"/>
      <c r="Q51" s="168"/>
    </row>
    <row r="52" spans="1:18" ht="30" customHeight="1" x14ac:dyDescent="0.25">
      <c r="A52" s="83" t="s">
        <v>185</v>
      </c>
      <c r="B52" s="111">
        <v>188.88</v>
      </c>
      <c r="C52" s="72">
        <f>ROUND('PU Wise OWE'!$AK$128/10000,2)-C43</f>
        <v>20.64</v>
      </c>
      <c r="D52" s="87">
        <f t="shared" ref="D52:D56" si="32">C52/$C$7</f>
        <v>1.4116198748418424E-2</v>
      </c>
      <c r="E52" s="253"/>
      <c r="F52" s="22">
        <f>ROUND('PU Wise OWE'!$AK$126/10000,2)-F43</f>
        <v>121.82</v>
      </c>
      <c r="G52" s="24">
        <f t="shared" ref="G52:G54" si="33">F52/$F$7</f>
        <v>1.5290573616166687E-2</v>
      </c>
      <c r="H52" s="22">
        <f>ROUND('PU Wise OWE'!$AK$127/10000,2)-H43</f>
        <v>21.919999999999998</v>
      </c>
      <c r="I52" s="22">
        <f>ROUND('PU Wise OWE'!$AK$129/10000,2)-I43</f>
        <v>31.830000000000002</v>
      </c>
      <c r="J52" s="24">
        <f t="shared" ref="J52:J56" si="34">I52/$I$7</f>
        <v>1.9735251263291689E-2</v>
      </c>
      <c r="K52" s="22">
        <f>H52-I52</f>
        <v>-9.9100000000000037</v>
      </c>
      <c r="L52" s="24">
        <f>K52/I52</f>
        <v>-0.31134150172792974</v>
      </c>
      <c r="M52" s="22">
        <f>I52-C52</f>
        <v>11.190000000000001</v>
      </c>
      <c r="N52" s="54">
        <f>M52/C52</f>
        <v>0.54215116279069775</v>
      </c>
      <c r="O52" s="54">
        <f t="shared" ref="O52:O54" si="35">I52/F52</f>
        <v>0.26128714496798561</v>
      </c>
      <c r="P52" s="160" t="s">
        <v>272</v>
      </c>
      <c r="Q52" s="167">
        <f>(I52/10)*12</f>
        <v>38.196000000000005</v>
      </c>
      <c r="R52" s="171">
        <f>Q52-F52</f>
        <v>-83.623999999999995</v>
      </c>
    </row>
    <row r="53" spans="1:18" ht="15.75" x14ac:dyDescent="0.25">
      <c r="A53" s="20" t="s">
        <v>162</v>
      </c>
      <c r="B53" s="107">
        <v>121.46</v>
      </c>
      <c r="C53" s="72">
        <f>ROUND('PU Wise OWE'!$AL$128/10000,2)</f>
        <v>23.56</v>
      </c>
      <c r="D53" s="87">
        <f t="shared" si="32"/>
        <v>1.611325787367917E-2</v>
      </c>
      <c r="E53" s="254"/>
      <c r="F53" s="22">
        <f>ROUND('PU Wise OWE'!$AL$126/10000,2)</f>
        <v>109.58</v>
      </c>
      <c r="G53" s="24">
        <f t="shared" si="33"/>
        <v>1.3754236224425755E-2</v>
      </c>
      <c r="H53" s="23">
        <f>ROUND('PU Wise OWE'!$AL$127/10000,2)</f>
        <v>19.72</v>
      </c>
      <c r="I53" s="23">
        <f>ROUND('PU Wise OWE'!$AL$129/10000,2)</f>
        <v>10.32</v>
      </c>
      <c r="J53" s="24">
        <f t="shared" si="34"/>
        <v>6.3986111541680882E-3</v>
      </c>
      <c r="K53" s="22">
        <f t="shared" ref="K53:K54" si="36">H53-I53</f>
        <v>9.3999999999999986</v>
      </c>
      <c r="L53" s="24">
        <f t="shared" ref="L53:L54" si="37">K53/I53</f>
        <v>0.91085271317829442</v>
      </c>
      <c r="M53" s="22">
        <f>I53-C53</f>
        <v>-13.239999999999998</v>
      </c>
      <c r="N53" s="54">
        <f>M53/C53</f>
        <v>-0.56196943972835312</v>
      </c>
      <c r="O53" s="54">
        <f t="shared" si="35"/>
        <v>9.4177769665997446E-2</v>
      </c>
      <c r="P53" s="159" t="s">
        <v>273</v>
      </c>
      <c r="Q53" s="167">
        <f>(I53/10)*12</f>
        <v>12.384</v>
      </c>
      <c r="R53" s="70">
        <f>Q53-F53</f>
        <v>-97.195999999999998</v>
      </c>
    </row>
    <row r="54" spans="1:18" s="36" customFormat="1" x14ac:dyDescent="0.25">
      <c r="A54" s="25" t="s">
        <v>130</v>
      </c>
      <c r="B54" s="26">
        <f>SUM(B52:B53)</f>
        <v>310.33999999999997</v>
      </c>
      <c r="C54" s="76">
        <f>SUM(C52:C53)</f>
        <v>44.2</v>
      </c>
      <c r="D54" s="88">
        <f t="shared" si="32"/>
        <v>3.0229456622097597E-2</v>
      </c>
      <c r="E54" s="255"/>
      <c r="F54" s="76">
        <f t="shared" ref="F54:I54" si="38">SUM(F52:F53)</f>
        <v>231.39999999999998</v>
      </c>
      <c r="G54" s="56">
        <f t="shared" si="33"/>
        <v>2.9044809840592441E-2</v>
      </c>
      <c r="H54" s="76">
        <f t="shared" si="38"/>
        <v>41.64</v>
      </c>
      <c r="I54" s="76">
        <f t="shared" si="38"/>
        <v>42.150000000000006</v>
      </c>
      <c r="J54" s="56">
        <f t="shared" si="34"/>
        <v>2.6133862417459783E-2</v>
      </c>
      <c r="K54" s="26">
        <f t="shared" si="36"/>
        <v>-0.51000000000000512</v>
      </c>
      <c r="L54" s="56">
        <f t="shared" si="37"/>
        <v>-1.2099644128113998E-2</v>
      </c>
      <c r="M54" s="26">
        <f>I54-C54</f>
        <v>-2.0499999999999972</v>
      </c>
      <c r="N54" s="104">
        <f>M54/C54</f>
        <v>-4.6380090497737489E-2</v>
      </c>
      <c r="O54" s="54">
        <f t="shared" si="35"/>
        <v>0.18215211754537602</v>
      </c>
      <c r="P54" s="158"/>
      <c r="Q54" s="76">
        <f>SUM(Q52:Q53)</f>
        <v>50.580000000000005</v>
      </c>
      <c r="R54" s="76">
        <f>SUM(R52:R53)</f>
        <v>-180.82</v>
      </c>
    </row>
    <row r="55" spans="1:18" x14ac:dyDescent="0.25">
      <c r="Q55" s="168"/>
    </row>
    <row r="56" spans="1:18" s="36" customFormat="1" ht="38.450000000000003" customHeight="1" x14ac:dyDescent="0.25">
      <c r="A56" s="80" t="s">
        <v>163</v>
      </c>
      <c r="B56" s="112">
        <v>348.19</v>
      </c>
      <c r="C56" s="73">
        <f>ROUND('PU Wise OWE'!$AO$128/10000,2)</f>
        <v>66.760000000000005</v>
      </c>
      <c r="D56" s="88">
        <f t="shared" si="32"/>
        <v>4.5658790137810761E-2</v>
      </c>
      <c r="E56" s="55"/>
      <c r="F56" s="26">
        <f>ROUND('PU Wise OWE'!$AO$126/10000,2)</f>
        <v>304.54000000000002</v>
      </c>
      <c r="G56" s="56">
        <f t="shared" ref="G56" si="39">F56/$F$7</f>
        <v>3.8225178862809087E-2</v>
      </c>
      <c r="H56" s="25">
        <f>ROUND('PU Wise OWE'!$AO$127/10000,2)</f>
        <v>54.82</v>
      </c>
      <c r="I56" s="25">
        <f>ROUND('PU Wise OWE'!$AO$129/10000,2)</f>
        <v>41.73</v>
      </c>
      <c r="J56" s="56">
        <f t="shared" si="34"/>
        <v>2.587345382397619E-2</v>
      </c>
      <c r="K56" s="26">
        <f>H56-I56</f>
        <v>13.090000000000003</v>
      </c>
      <c r="L56" s="56">
        <f>K56/I56</f>
        <v>0.31368320153366891</v>
      </c>
      <c r="M56" s="26">
        <f>I56-C56</f>
        <v>-25.030000000000008</v>
      </c>
      <c r="N56" s="57">
        <f>M56/C56</f>
        <v>-0.37492510485320563</v>
      </c>
      <c r="O56" s="54">
        <f t="shared" ref="O56" si="40">I56/F56</f>
        <v>0.13702633480002624</v>
      </c>
      <c r="P56" s="160" t="s">
        <v>286</v>
      </c>
      <c r="Q56" s="167">
        <f>(I56-26.18)/10*2+I56</f>
        <v>44.839999999999996</v>
      </c>
      <c r="R56" s="171">
        <f>Q56-F56</f>
        <v>-259.70000000000005</v>
      </c>
    </row>
    <row r="57" spans="1:18" s="36" customFormat="1" x14ac:dyDescent="0.25">
      <c r="A57" s="118"/>
      <c r="B57" s="119"/>
      <c r="C57" s="115"/>
      <c r="D57" s="116"/>
      <c r="E57" s="117"/>
      <c r="F57" s="93"/>
      <c r="G57" s="92"/>
      <c r="H57" s="92"/>
      <c r="I57" s="90"/>
      <c r="J57" s="92"/>
      <c r="K57" s="92"/>
      <c r="L57" s="92"/>
      <c r="M57" s="26"/>
      <c r="N57" s="57"/>
      <c r="O57" s="102"/>
      <c r="P57" s="163"/>
      <c r="Q57" s="170"/>
    </row>
    <row r="58" spans="1:18" x14ac:dyDescent="0.25">
      <c r="B58" s="256" t="s">
        <v>303</v>
      </c>
      <c r="C58" s="234" t="str">
        <f>'PU Wise OWE'!$B$7</f>
        <v>Actuals upto May' 20</v>
      </c>
      <c r="D58" s="256" t="s">
        <v>173</v>
      </c>
      <c r="E58" s="256"/>
      <c r="F58" s="277" t="str">
        <f>'PU Wise OWE'!$B$5</f>
        <v xml:space="preserve">OBG(SL) 2021-22 </v>
      </c>
      <c r="G58" s="256" t="s">
        <v>310</v>
      </c>
      <c r="H58" s="256" t="s">
        <v>317</v>
      </c>
      <c r="I58" s="234" t="str">
        <f>'PU Wise OWE'!B8</f>
        <v>Actuals upto May' 21</v>
      </c>
      <c r="J58" s="256" t="s">
        <v>205</v>
      </c>
      <c r="K58" s="240" t="s">
        <v>207</v>
      </c>
      <c r="L58" s="240"/>
      <c r="M58" s="240" t="s">
        <v>147</v>
      </c>
      <c r="N58" s="240"/>
      <c r="O58" s="237" t="s">
        <v>315</v>
      </c>
      <c r="P58" s="285" t="s">
        <v>268</v>
      </c>
      <c r="Q58" s="169"/>
    </row>
    <row r="59" spans="1:18" ht="30" x14ac:dyDescent="0.25">
      <c r="A59" s="77" t="s">
        <v>186</v>
      </c>
      <c r="B59" s="235"/>
      <c r="C59" s="235"/>
      <c r="D59" s="235"/>
      <c r="E59" s="235"/>
      <c r="F59" s="278"/>
      <c r="G59" s="235"/>
      <c r="H59" s="235"/>
      <c r="I59" s="235"/>
      <c r="J59" s="235"/>
      <c r="K59" s="81" t="s">
        <v>145</v>
      </c>
      <c r="L59" s="82" t="s">
        <v>146</v>
      </c>
      <c r="M59" s="81" t="s">
        <v>145</v>
      </c>
      <c r="N59" s="82" t="s">
        <v>146</v>
      </c>
      <c r="O59" s="237"/>
      <c r="P59" s="285"/>
      <c r="Q59" s="169"/>
    </row>
    <row r="60" spans="1:18" ht="15.75" x14ac:dyDescent="0.25">
      <c r="A60" s="23" t="s">
        <v>187</v>
      </c>
      <c r="B60" s="22">
        <v>80.099999999999994</v>
      </c>
      <c r="C60" s="72">
        <f>ROUND('PU Wise OWE'!$AM$62/10000,2)</f>
        <v>4.57</v>
      </c>
      <c r="D60" s="87">
        <f t="shared" ref="D60:D64" si="41">C60/$C$7</f>
        <v>3.1255343159046611E-3</v>
      </c>
      <c r="E60" s="250"/>
      <c r="F60" s="22">
        <f>ROUND('PU Wise OWE'!$AM$60/10000,2)</f>
        <v>67.81</v>
      </c>
      <c r="G60" s="24">
        <f t="shared" ref="G60:G64" si="42">F60/$F$7</f>
        <v>8.5113593573490649E-3</v>
      </c>
      <c r="H60" s="23">
        <f>ROUND('PU Wise OWE'!$AM$61/10000,2)</f>
        <v>12.21</v>
      </c>
      <c r="I60" s="23">
        <f>ROUND('PU Wise OWE'!$AM$63/10000,2)</f>
        <v>14.03</v>
      </c>
      <c r="J60" s="96">
        <f t="shared" ref="J60:J64" si="43">I60/$I$7</f>
        <v>8.6988870632730888E-3</v>
      </c>
      <c r="K60" s="22">
        <f>H60-I60</f>
        <v>-1.8199999999999985</v>
      </c>
      <c r="L60" s="24">
        <f>K60/I60</f>
        <v>-0.12972202423378465</v>
      </c>
      <c r="M60" s="22">
        <f>I60-C60</f>
        <v>9.4599999999999991</v>
      </c>
      <c r="N60" s="54">
        <f>M60/C60</f>
        <v>2.0700218818380742</v>
      </c>
      <c r="O60" s="54">
        <f t="shared" ref="O60:O64" si="44">I60/F60</f>
        <v>0.20690163692670696</v>
      </c>
      <c r="P60" s="160"/>
      <c r="Q60" s="167">
        <f>(I60/10)*12</f>
        <v>16.835999999999999</v>
      </c>
      <c r="R60" s="70">
        <f>Q60-F60</f>
        <v>-50.974000000000004</v>
      </c>
    </row>
    <row r="61" spans="1:18" ht="46.15" customHeight="1" x14ac:dyDescent="0.25">
      <c r="A61" s="23" t="s">
        <v>188</v>
      </c>
      <c r="B61" s="22">
        <v>21.26</v>
      </c>
      <c r="C61" s="72">
        <f>ROUND('PU Wise OWE'!$AM$95/10000,2)</f>
        <v>2.81</v>
      </c>
      <c r="D61" s="87">
        <f t="shared" si="41"/>
        <v>1.921827445884485E-3</v>
      </c>
      <c r="E61" s="251"/>
      <c r="F61" s="22">
        <f>ROUND('PU Wise OWE'!$AM$93/10000,2)</f>
        <v>16.309999999999999</v>
      </c>
      <c r="G61" s="24">
        <f t="shared" si="42"/>
        <v>2.0471946780469437E-3</v>
      </c>
      <c r="H61" s="23">
        <f>ROUND('PU Wise OWE'!$AM$94/10000,2)</f>
        <v>2.94</v>
      </c>
      <c r="I61" s="23">
        <f>ROUND('PU Wise OWE'!$AM$96/10000,2)</f>
        <v>1.38</v>
      </c>
      <c r="J61" s="96">
        <f t="shared" si="43"/>
        <v>8.5562823573177914E-4</v>
      </c>
      <c r="K61" s="22">
        <f t="shared" ref="K61:K64" si="45">H61-I61</f>
        <v>1.56</v>
      </c>
      <c r="L61" s="24">
        <f t="shared" ref="L61:L64" si="46">K61/I61</f>
        <v>1.1304347826086958</v>
      </c>
      <c r="M61" s="22">
        <f>I61-C61</f>
        <v>-1.4300000000000002</v>
      </c>
      <c r="N61" s="54">
        <f>M61/C61</f>
        <v>-0.50889679715302494</v>
      </c>
      <c r="O61" s="54">
        <f t="shared" si="44"/>
        <v>8.4610668301655423E-2</v>
      </c>
      <c r="P61" s="160" t="s">
        <v>277</v>
      </c>
      <c r="Q61" s="167">
        <f>(I61/10)*12</f>
        <v>1.6559999999999997</v>
      </c>
      <c r="R61" s="70">
        <f>Q61-F61</f>
        <v>-14.654</v>
      </c>
    </row>
    <row r="62" spans="1:18" ht="43.15" customHeight="1" x14ac:dyDescent="0.25">
      <c r="A62" s="23" t="s">
        <v>189</v>
      </c>
      <c r="B62" s="22">
        <v>9.89</v>
      </c>
      <c r="C62" s="72">
        <f>ROUND('PU Wise OWE'!$AN$18/10000,2)</f>
        <v>2.12</v>
      </c>
      <c r="D62" s="87">
        <f t="shared" si="41"/>
        <v>1.4499196388879389E-3</v>
      </c>
      <c r="E62" s="251"/>
      <c r="F62" s="22">
        <f>ROUND('PU Wise OWE'!$AN$16/10000,2)</f>
        <v>10.1</v>
      </c>
      <c r="G62" s="24">
        <f>F62/$F$7</f>
        <v>1.2677293837077947E-3</v>
      </c>
      <c r="H62" s="23">
        <f>ROUND('PU Wise OWE'!$AN$17/10000,2)</f>
        <v>1.82</v>
      </c>
      <c r="I62" s="23">
        <f>ROUND('PU Wise OWE'!$AN$19/10000,2)</f>
        <v>2.57</v>
      </c>
      <c r="J62" s="96">
        <f t="shared" si="43"/>
        <v>1.5934525839352699E-3</v>
      </c>
      <c r="K62" s="22">
        <f t="shared" si="45"/>
        <v>-0.74999999999999978</v>
      </c>
      <c r="L62" s="24">
        <f t="shared" si="46"/>
        <v>-0.29182879377431897</v>
      </c>
      <c r="M62" s="22">
        <f>I62-C62</f>
        <v>0.44999999999999973</v>
      </c>
      <c r="N62" s="54">
        <f>M62/C62</f>
        <v>0.2122641509433961</v>
      </c>
      <c r="O62" s="54">
        <f t="shared" si="44"/>
        <v>0.25445544554455446</v>
      </c>
      <c r="P62" s="160" t="s">
        <v>274</v>
      </c>
      <c r="Q62" s="167">
        <f>(I62/10)*12</f>
        <v>3.0840000000000001</v>
      </c>
      <c r="R62" s="70">
        <f>Q62-F62</f>
        <v>-7.016</v>
      </c>
    </row>
    <row r="63" spans="1:18" ht="15.75" x14ac:dyDescent="0.25">
      <c r="A63" s="23" t="s">
        <v>190</v>
      </c>
      <c r="B63" s="22">
        <v>1.64</v>
      </c>
      <c r="C63" s="72">
        <f>ROUND('PU Wise OWE'!$AN$62/10000,2)</f>
        <v>3.75</v>
      </c>
      <c r="D63" s="87">
        <f t="shared" si="41"/>
        <v>2.5647163423725334E-3</v>
      </c>
      <c r="E63" s="251"/>
      <c r="F63" s="22">
        <f>ROUND('PU Wise OWE'!$AN$60/10000,2)</f>
        <v>1.46</v>
      </c>
      <c r="G63" s="24">
        <f>F63/$F$7</f>
        <v>1.8325593071419607E-4</v>
      </c>
      <c r="H63" s="23">
        <f>ROUND('PU Wise OWE'!$AN$61/10000,2)</f>
        <v>0.26</v>
      </c>
      <c r="I63" s="23">
        <f>ROUND('PU Wise OWE'!$AN$63/10000,2)</f>
        <v>1.19</v>
      </c>
      <c r="J63" s="96">
        <f t="shared" si="43"/>
        <v>7.3782434820349077E-4</v>
      </c>
      <c r="K63" s="22">
        <f t="shared" si="45"/>
        <v>-0.92999999999999994</v>
      </c>
      <c r="L63" s="24">
        <f t="shared" si="46"/>
        <v>-0.78151260504201681</v>
      </c>
      <c r="M63" s="22">
        <f>I63-C63</f>
        <v>-2.56</v>
      </c>
      <c r="N63" s="54">
        <f>M63/C63</f>
        <v>-0.68266666666666664</v>
      </c>
      <c r="O63" s="54">
        <f t="shared" si="44"/>
        <v>0.81506849315068497</v>
      </c>
      <c r="P63" s="159"/>
      <c r="Q63" s="167">
        <f>(I63/10)*12</f>
        <v>1.4279999999999999</v>
      </c>
      <c r="R63" s="70">
        <f>Q63-F63</f>
        <v>-3.2000000000000028E-2</v>
      </c>
    </row>
    <row r="64" spans="1:18" s="36" customFormat="1" x14ac:dyDescent="0.25">
      <c r="A64" s="25" t="s">
        <v>130</v>
      </c>
      <c r="B64" s="26">
        <f>SUM(B60:B63)</f>
        <v>112.89</v>
      </c>
      <c r="C64" s="76">
        <f>SUM(C60:C63)</f>
        <v>13.25</v>
      </c>
      <c r="D64" s="88">
        <f t="shared" si="41"/>
        <v>9.0619977430496188E-3</v>
      </c>
      <c r="E64" s="252"/>
      <c r="F64" s="26">
        <f>SUM(F60:F63)</f>
        <v>95.679999999999993</v>
      </c>
      <c r="G64" s="56">
        <f t="shared" si="42"/>
        <v>1.2009539349817999E-2</v>
      </c>
      <c r="H64" s="26">
        <f>SUM(H60:H63)</f>
        <v>17.23</v>
      </c>
      <c r="I64" s="26">
        <f>SUM(I60:I63)</f>
        <v>19.170000000000002</v>
      </c>
      <c r="J64" s="56">
        <f t="shared" si="43"/>
        <v>1.1885792231143629E-2</v>
      </c>
      <c r="K64" s="26">
        <f t="shared" si="45"/>
        <v>-1.9400000000000013</v>
      </c>
      <c r="L64" s="56">
        <f t="shared" si="46"/>
        <v>-0.10119979134063647</v>
      </c>
      <c r="M64" s="26">
        <f>I64-C64</f>
        <v>5.9200000000000017</v>
      </c>
      <c r="N64" s="57">
        <f>M64/C64</f>
        <v>0.44679245283018881</v>
      </c>
      <c r="O64" s="54">
        <f t="shared" si="44"/>
        <v>0.2003553511705686</v>
      </c>
      <c r="P64" s="158"/>
      <c r="Q64" s="76">
        <f>SUM(Q60:Q63)</f>
        <v>23.003999999999998</v>
      </c>
      <c r="R64" s="76">
        <f>SUM(R60:R63)</f>
        <v>-72.676000000000002</v>
      </c>
    </row>
    <row r="65" spans="1:18" x14ac:dyDescent="0.25">
      <c r="Q65" s="168"/>
    </row>
    <row r="66" spans="1:18" x14ac:dyDescent="0.25">
      <c r="A66" s="77" t="s">
        <v>191</v>
      </c>
      <c r="B66" s="77"/>
      <c r="Q66" s="168"/>
    </row>
    <row r="67" spans="1:18" ht="27.6" customHeight="1" x14ac:dyDescent="0.25">
      <c r="A67" s="23" t="s">
        <v>192</v>
      </c>
      <c r="B67" s="22">
        <v>1117.51</v>
      </c>
      <c r="C67" s="72">
        <f>ROUND('PU Wise OWE'!$AP$73/10000,2)</f>
        <v>396.03</v>
      </c>
      <c r="D67" s="87">
        <f t="shared" ref="D67:D69" si="47">C67/$C$7</f>
        <v>0.27085456348527848</v>
      </c>
      <c r="E67" s="23"/>
      <c r="F67" s="22">
        <f>ROUND('PU Wise OWE'!$AP$71/10000,2)</f>
        <v>1543.31</v>
      </c>
      <c r="G67" s="24">
        <f t="shared" ref="G67:G69" si="48">F67/$F$7</f>
        <v>0.1937128153633739</v>
      </c>
      <c r="H67" s="23">
        <f>ROUND('PU Wise OWE'!$AP$72/10000,2)</f>
        <v>494.28</v>
      </c>
      <c r="I67" s="23">
        <f>ROUND('PU Wise OWE'!$AP$74/10000,2)</f>
        <v>445.06</v>
      </c>
      <c r="J67" s="96">
        <f t="shared" ref="J67:J69" si="49">I67/$I$7</f>
        <v>0.27594630622810556</v>
      </c>
      <c r="K67" s="22">
        <f>H67-I67</f>
        <v>49.21999999999997</v>
      </c>
      <c r="L67" s="24">
        <f>K67/I67</f>
        <v>0.11059183031501364</v>
      </c>
      <c r="M67" s="22">
        <f>I67-C67</f>
        <v>49.03000000000003</v>
      </c>
      <c r="N67" s="54">
        <f>M67/C67</f>
        <v>0.12380375224099192</v>
      </c>
      <c r="O67" s="54">
        <f t="shared" ref="O67:O68" si="50">I67/F67</f>
        <v>0.28838016989457727</v>
      </c>
      <c r="P67" s="160" t="s">
        <v>278</v>
      </c>
      <c r="Q67" s="167">
        <f>(I67-256.76-544.78)/10*2+I67</f>
        <v>373.76400000000001</v>
      </c>
      <c r="R67" s="70">
        <f>Q67-F67</f>
        <v>-1169.5459999999998</v>
      </c>
    </row>
    <row r="68" spans="1:18" ht="15.75" x14ac:dyDescent="0.25">
      <c r="A68" s="89" t="s">
        <v>193</v>
      </c>
      <c r="B68" s="113">
        <v>38.520000000000003</v>
      </c>
      <c r="C68" s="72">
        <f>ROUND('PU Wise OWE'!$AP$128/10000,2)-C67</f>
        <v>8.6800000000000068</v>
      </c>
      <c r="D68" s="87">
        <f t="shared" si="47"/>
        <v>5.9364634271449621E-3</v>
      </c>
      <c r="E68" s="23"/>
      <c r="F68" s="22">
        <f>ROUND('PU Wise OWE'!$AP$126/10000,2)-F67</f>
        <v>35.230000000000018</v>
      </c>
      <c r="G68" s="24">
        <f t="shared" si="48"/>
        <v>4.4219907116857058E-3</v>
      </c>
      <c r="H68" s="23">
        <f>ROUND('PU Wise OWE'!$AP$127/10000,2)-H67</f>
        <v>6.3400000000000318</v>
      </c>
      <c r="I68" s="23">
        <f>ROUND('PU Wise OWE'!$AP$129/10000,2)-I67</f>
        <v>8.8100000000000023</v>
      </c>
      <c r="J68" s="96">
        <f t="shared" si="49"/>
        <v>5.4623802585485335E-3</v>
      </c>
      <c r="K68" s="22">
        <f t="shared" ref="K68:K69" si="51">H68-I68</f>
        <v>-2.4699999999999704</v>
      </c>
      <c r="L68" s="24">
        <f t="shared" ref="L68:L69" si="52">K68/I68</f>
        <v>-0.2803632236095312</v>
      </c>
      <c r="M68" s="22">
        <f>I68-C68</f>
        <v>0.12999999999999545</v>
      </c>
      <c r="N68" s="54">
        <f>M68/C68</f>
        <v>1.4976958525345087E-2</v>
      </c>
      <c r="O68" s="54">
        <f t="shared" si="50"/>
        <v>0.25007096224808395</v>
      </c>
      <c r="P68" s="159"/>
      <c r="Q68" s="167">
        <f>(I68/10)*12</f>
        <v>10.572000000000003</v>
      </c>
      <c r="R68" s="70">
        <f>Q68-F68</f>
        <v>-24.658000000000015</v>
      </c>
    </row>
    <row r="69" spans="1:18" s="36" customFormat="1" x14ac:dyDescent="0.25">
      <c r="A69" s="25" t="s">
        <v>130</v>
      </c>
      <c r="B69" s="26">
        <f>SUM(B67:B68)</f>
        <v>1156.03</v>
      </c>
      <c r="C69" s="76">
        <f>SUM(C67:C68)</f>
        <v>404.71</v>
      </c>
      <c r="D69" s="88">
        <f t="shared" si="47"/>
        <v>0.27679102691242347</v>
      </c>
      <c r="E69" s="90"/>
      <c r="F69" s="91">
        <f>SUM(F67:F68)</f>
        <v>1578.54</v>
      </c>
      <c r="G69" s="92">
        <f t="shared" si="48"/>
        <v>0.19813480607505962</v>
      </c>
      <c r="H69" s="91">
        <f>SUM(H67:H68)</f>
        <v>500.62</v>
      </c>
      <c r="I69" s="91">
        <f>SUM(I67:I68)</f>
        <v>453.87</v>
      </c>
      <c r="J69" s="56">
        <f t="shared" si="49"/>
        <v>0.28140868648665407</v>
      </c>
      <c r="K69" s="22">
        <f t="shared" si="51"/>
        <v>46.75</v>
      </c>
      <c r="L69" s="24">
        <f t="shared" si="52"/>
        <v>0.10300306255095071</v>
      </c>
      <c r="M69" s="93">
        <f>I69-C69</f>
        <v>49.160000000000025</v>
      </c>
      <c r="N69" s="103">
        <f>M69/C69</f>
        <v>0.12146969434904012</v>
      </c>
      <c r="P69" s="164"/>
      <c r="Q69" s="76">
        <f>SUM(Q67:Q68)</f>
        <v>384.33600000000001</v>
      </c>
      <c r="R69" s="76">
        <f>SUM(R67:R68)</f>
        <v>-1194.2039999999997</v>
      </c>
    </row>
    <row r="70" spans="1:18" x14ac:dyDescent="0.25">
      <c r="E70" s="31"/>
      <c r="F70" s="34"/>
      <c r="G70" s="34"/>
      <c r="H70" s="34"/>
      <c r="I70" s="31"/>
      <c r="J70" s="31"/>
      <c r="K70" s="31"/>
      <c r="L70" s="31"/>
      <c r="M70" s="34"/>
      <c r="N70" s="94"/>
      <c r="Q70" s="168"/>
    </row>
    <row r="71" spans="1:18" x14ac:dyDescent="0.25">
      <c r="A71" s="77" t="s">
        <v>195</v>
      </c>
      <c r="B71" s="77"/>
      <c r="E71" s="31"/>
      <c r="F71" s="34"/>
      <c r="G71" s="34"/>
      <c r="H71" s="34"/>
      <c r="I71" s="31"/>
      <c r="J71" s="31"/>
      <c r="K71" s="31"/>
      <c r="L71" s="31"/>
      <c r="M71" s="34"/>
      <c r="N71" s="94"/>
      <c r="Q71" s="168"/>
    </row>
    <row r="72" spans="1:18" ht="38.450000000000003" customHeight="1" x14ac:dyDescent="0.25">
      <c r="A72" s="23" t="s">
        <v>194</v>
      </c>
      <c r="B72" s="22">
        <v>12.31</v>
      </c>
      <c r="C72" s="72">
        <f>ROUND('PU Wise OWE'!$AQ$29/10000,2)+ROUND('PU Wise OWE'!$BB$29/10000,2)</f>
        <v>4.49</v>
      </c>
      <c r="D72" s="87">
        <f t="shared" ref="D72:D74" si="53">C72/$C$7</f>
        <v>3.0708203672673803E-3</v>
      </c>
      <c r="E72" s="23"/>
      <c r="F72" s="72">
        <f>ROUND('PU Wise OWE'!$AQ$27/10000,2)+ROUND('PU Wise OWE'!$BB$27/10000,2)</f>
        <v>11.17</v>
      </c>
      <c r="G72" s="24">
        <f t="shared" ref="G72:G74" si="54">F72/$F$7</f>
        <v>1.402033387724363E-3</v>
      </c>
      <c r="H72" s="72">
        <f>ROUND('PU Wise OWE'!$AQ$28/10000,2)+ROUND('PU Wise OWE'!$BB$28/10000,2)</f>
        <v>2.0099999999999998</v>
      </c>
      <c r="I72" s="72">
        <f>ROUND('PU Wise OWE'!$AQ$30/10000,2)+ROUND('PU Wise OWE'!$BB$30/10000,2)</f>
        <v>2.15</v>
      </c>
      <c r="J72" s="96">
        <f t="shared" ref="J72:J74" si="55">I72/$I$7</f>
        <v>1.333043990451685E-3</v>
      </c>
      <c r="K72" s="22">
        <f>H72-I72</f>
        <v>-0.14000000000000012</v>
      </c>
      <c r="L72" s="24">
        <f>K72/I72</f>
        <v>-6.5116279069767496E-2</v>
      </c>
      <c r="M72" s="22">
        <f>I72-C72</f>
        <v>-2.3400000000000003</v>
      </c>
      <c r="N72" s="54">
        <f>M72/C72</f>
        <v>-0.52115812917594662</v>
      </c>
      <c r="O72" s="54">
        <f t="shared" ref="O72:O73" si="56">I72/F72</f>
        <v>0.19247985675917637</v>
      </c>
      <c r="P72" s="160" t="s">
        <v>289</v>
      </c>
      <c r="Q72" s="167">
        <f>(I72/10)*12</f>
        <v>2.58</v>
      </c>
      <c r="R72" s="70">
        <f>Q72-F72</f>
        <v>-8.59</v>
      </c>
    </row>
    <row r="73" spans="1:18" ht="52.9" customHeight="1" x14ac:dyDescent="0.25">
      <c r="A73" s="23" t="s">
        <v>196</v>
      </c>
      <c r="B73" s="22">
        <v>114.52</v>
      </c>
      <c r="C73" s="72">
        <f>ROUND('PU Wise OWE'!$AQ$40/10000,2)+ROUND('PU Wise OWE'!$BB$40/10000,2)</f>
        <v>4.63</v>
      </c>
      <c r="D73" s="87">
        <f t="shared" si="53"/>
        <v>3.1665697773826211E-3</v>
      </c>
      <c r="E73" s="23"/>
      <c r="F73" s="72">
        <f>ROUND('PU Wise OWE'!$AQ$38/10000,2)+ROUND('PU Wise OWE'!$BB$38/10000,2)</f>
        <v>79.58</v>
      </c>
      <c r="G73" s="24">
        <f t="shared" si="54"/>
        <v>9.9887034015313167E-3</v>
      </c>
      <c r="H73" s="72">
        <f>ROUND('PU Wise OWE'!$AQ$39/10000,2)+ROUND('PU Wise OWE'!$BB$39/10000,2)</f>
        <v>14.330000000000002</v>
      </c>
      <c r="I73" s="72">
        <f>ROUND('PU Wise OWE'!$AQ$41/10000,2)+ROUND('PU Wise OWE'!$BB$41/10000,2)</f>
        <v>22.94</v>
      </c>
      <c r="J73" s="96">
        <f t="shared" si="55"/>
        <v>1.4223269367889141E-2</v>
      </c>
      <c r="K73" s="22">
        <f t="shared" ref="K73:K74" si="57">H73-I73</f>
        <v>-8.61</v>
      </c>
      <c r="L73" s="24">
        <f t="shared" ref="L73:L74" si="58">K73/I73</f>
        <v>-0.37532693984306881</v>
      </c>
      <c r="M73" s="22">
        <f>I73-C73</f>
        <v>18.310000000000002</v>
      </c>
      <c r="N73" s="54">
        <f>M73/C73</f>
        <v>3.9546436285097197</v>
      </c>
      <c r="O73" s="54">
        <f t="shared" si="56"/>
        <v>0.28826338275948732</v>
      </c>
      <c r="P73" s="160" t="s">
        <v>275</v>
      </c>
      <c r="Q73" s="167">
        <f>(I73/10)*12</f>
        <v>27.527999999999999</v>
      </c>
      <c r="R73" s="70">
        <f>Q73-F73</f>
        <v>-52.052</v>
      </c>
    </row>
    <row r="74" spans="1:18" s="36" customFormat="1" x14ac:dyDescent="0.25">
      <c r="A74" s="25" t="s">
        <v>130</v>
      </c>
      <c r="B74" s="26">
        <v>126.83</v>
      </c>
      <c r="C74" s="76">
        <f>SUM(C72:C73)</f>
        <v>9.120000000000001</v>
      </c>
      <c r="D74" s="88">
        <f t="shared" si="53"/>
        <v>6.2373901446500018E-3</v>
      </c>
      <c r="E74" s="25"/>
      <c r="F74" s="76">
        <f>SUM(F72:F73)</f>
        <v>90.75</v>
      </c>
      <c r="G74" s="56">
        <f t="shared" si="54"/>
        <v>1.139073678925568E-2</v>
      </c>
      <c r="H74" s="76">
        <f t="shared" ref="H74:I74" si="59">SUM(H72:H73)</f>
        <v>16.340000000000003</v>
      </c>
      <c r="I74" s="76">
        <f t="shared" si="59"/>
        <v>25.09</v>
      </c>
      <c r="J74" s="56">
        <f t="shared" si="55"/>
        <v>1.5556313358340826E-2</v>
      </c>
      <c r="K74" s="26">
        <f t="shared" si="57"/>
        <v>-8.7499999999999964</v>
      </c>
      <c r="L74" s="56">
        <f t="shared" si="58"/>
        <v>-0.34874451972897552</v>
      </c>
      <c r="M74" s="26">
        <f>I74-C74</f>
        <v>15.969999999999999</v>
      </c>
      <c r="N74" s="57">
        <f>M74/C74</f>
        <v>1.7510964912280698</v>
      </c>
      <c r="P74" s="164"/>
      <c r="Q74" s="76">
        <f>SUM(Q72:Q73)</f>
        <v>30.107999999999997</v>
      </c>
      <c r="R74" s="76">
        <f>SUM(R72:R73)</f>
        <v>-60.641999999999996</v>
      </c>
    </row>
    <row r="75" spans="1:18" x14ac:dyDescent="0.25">
      <c r="D75" s="31"/>
      <c r="E75" s="31"/>
      <c r="F75" s="34"/>
      <c r="G75" s="34"/>
      <c r="H75" s="34"/>
      <c r="I75" s="31"/>
      <c r="J75" s="31"/>
      <c r="K75" s="31"/>
      <c r="L75" s="31"/>
      <c r="M75" s="34"/>
      <c r="N75" s="94"/>
      <c r="Q75" s="168"/>
    </row>
    <row r="76" spans="1:18" x14ac:dyDescent="0.25">
      <c r="A76" s="77" t="s">
        <v>197</v>
      </c>
      <c r="B76" s="77"/>
      <c r="D76" s="31"/>
      <c r="E76" s="31"/>
      <c r="F76" s="34"/>
      <c r="G76" s="34"/>
      <c r="H76" s="34"/>
      <c r="I76" s="31"/>
      <c r="J76" s="31"/>
      <c r="K76" s="31"/>
      <c r="L76" s="31"/>
      <c r="M76" s="34"/>
      <c r="N76" s="94"/>
      <c r="Q76" s="168"/>
    </row>
    <row r="77" spans="1:18" ht="15.75" x14ac:dyDescent="0.25">
      <c r="A77" s="23" t="s">
        <v>199</v>
      </c>
      <c r="B77" s="22">
        <v>2</v>
      </c>
      <c r="C77" s="72">
        <f>ROUND('PU Wise OWE'!$AW$128/10000,2)</f>
        <v>0.37</v>
      </c>
      <c r="D77" s="87">
        <f t="shared" ref="D77:D83" si="60">C77/$C$7</f>
        <v>2.5305201244742328E-4</v>
      </c>
      <c r="E77" s="23"/>
      <c r="F77" s="22">
        <f>ROUND('PU Wise OWE'!$AW$126/10000,2)</f>
        <v>2.65</v>
      </c>
      <c r="G77" s="24">
        <f t="shared" ref="G77:G83" si="61">F77/$F$7</f>
        <v>3.3262206602234214E-4</v>
      </c>
      <c r="H77" s="23">
        <f>ROUND('PU Wise OWE'!$AW$127/10000,2)</f>
        <v>0.48</v>
      </c>
      <c r="I77" s="23">
        <f>ROUND('PU Wise OWE'!$AW$129/10000,2)</f>
        <v>0.24</v>
      </c>
      <c r="J77" s="96">
        <f t="shared" ref="J77:J85" si="62">I77/$I$7</f>
        <v>1.4880491056204855E-4</v>
      </c>
      <c r="K77" s="22">
        <f>H77-I77</f>
        <v>0.24</v>
      </c>
      <c r="L77" s="24">
        <f>K77/I77</f>
        <v>1</v>
      </c>
      <c r="M77" s="22">
        <f t="shared" ref="M77:M83" si="63">I77-C77</f>
        <v>-0.13</v>
      </c>
      <c r="N77" s="54">
        <f t="shared" ref="N77:N83" si="64">M77/C77</f>
        <v>-0.35135135135135137</v>
      </c>
      <c r="O77" s="54">
        <f t="shared" ref="O77:O82" si="65">I77/F77</f>
        <v>9.056603773584905E-2</v>
      </c>
      <c r="P77" s="159"/>
      <c r="Q77" s="167">
        <f t="shared" ref="Q77:Q82" si="66">(I77/10)*12</f>
        <v>0.28800000000000003</v>
      </c>
      <c r="R77" s="70">
        <f t="shared" ref="R77:R82" si="67">Q77-F77</f>
        <v>-2.3620000000000001</v>
      </c>
    </row>
    <row r="78" spans="1:18" ht="15.75" x14ac:dyDescent="0.25">
      <c r="A78" s="23" t="s">
        <v>198</v>
      </c>
      <c r="B78" s="22">
        <v>1.66</v>
      </c>
      <c r="C78" s="72">
        <f>ROUND('PU Wise OWE'!$AX$128/10000,2)</f>
        <v>0.27</v>
      </c>
      <c r="D78" s="87">
        <f t="shared" si="60"/>
        <v>1.8465957665082241E-4</v>
      </c>
      <c r="E78" s="23"/>
      <c r="F78" s="22">
        <f>ROUND('PU Wise OWE'!$AW$126/10000,2)</f>
        <v>2.65</v>
      </c>
      <c r="G78" s="24">
        <f t="shared" si="61"/>
        <v>3.3262206602234214E-4</v>
      </c>
      <c r="H78" s="23">
        <f>ROUND('PU Wise OWE'!$AX$127/10000,2)</f>
        <v>0.33</v>
      </c>
      <c r="I78" s="23">
        <f>ROUND('PU Wise OWE'!$AX$129/10000,2)</f>
        <v>0.22</v>
      </c>
      <c r="J78" s="96">
        <f t="shared" si="62"/>
        <v>1.3640450134854451E-4</v>
      </c>
      <c r="K78" s="22">
        <f t="shared" ref="K78:K83" si="68">H78-I78</f>
        <v>0.11000000000000001</v>
      </c>
      <c r="L78" s="24">
        <f t="shared" ref="L78:L83" si="69">K78/I78</f>
        <v>0.50000000000000011</v>
      </c>
      <c r="M78" s="22">
        <f t="shared" si="63"/>
        <v>-5.0000000000000017E-2</v>
      </c>
      <c r="N78" s="54">
        <f t="shared" si="64"/>
        <v>-0.18518518518518523</v>
      </c>
      <c r="O78" s="54">
        <f t="shared" si="65"/>
        <v>8.3018867924528311E-2</v>
      </c>
      <c r="P78" s="159"/>
      <c r="Q78" s="167">
        <f t="shared" si="66"/>
        <v>0.26400000000000001</v>
      </c>
      <c r="R78" s="70">
        <f t="shared" si="67"/>
        <v>-2.3860000000000001</v>
      </c>
    </row>
    <row r="79" spans="1:18" ht="34.15" customHeight="1" x14ac:dyDescent="0.25">
      <c r="A79" s="23" t="s">
        <v>200</v>
      </c>
      <c r="B79" s="22">
        <v>16.940000000000001</v>
      </c>
      <c r="C79" s="72">
        <f>ROUND('PU Wise OWE'!$BC$128/10000,2)</f>
        <v>3.22</v>
      </c>
      <c r="D79" s="87">
        <f t="shared" si="60"/>
        <v>2.2022364326505488E-3</v>
      </c>
      <c r="E79" s="23"/>
      <c r="F79" s="22">
        <f>ROUND('PU Wise OWE'!$BC$126/10000,2)</f>
        <v>14.88</v>
      </c>
      <c r="G79" s="24">
        <f t="shared" si="61"/>
        <v>1.8677042801556422E-3</v>
      </c>
      <c r="H79" s="23">
        <f>ROUND('PU Wise OWE'!$BC$127/10000,2)</f>
        <v>2.68</v>
      </c>
      <c r="I79" s="23">
        <f>ROUND('PU Wise OWE'!$BC$129/10000,2)</f>
        <v>2.12</v>
      </c>
      <c r="J79" s="96">
        <f t="shared" si="62"/>
        <v>1.3144433766314289E-3</v>
      </c>
      <c r="K79" s="22">
        <f t="shared" si="68"/>
        <v>0.56000000000000005</v>
      </c>
      <c r="L79" s="24">
        <f t="shared" si="69"/>
        <v>0.26415094339622641</v>
      </c>
      <c r="M79" s="22">
        <f t="shared" si="63"/>
        <v>-1.1000000000000001</v>
      </c>
      <c r="N79" s="54">
        <f t="shared" si="64"/>
        <v>-0.34161490683229817</v>
      </c>
      <c r="O79" s="54">
        <f t="shared" si="65"/>
        <v>0.1424731182795699</v>
      </c>
      <c r="P79" s="160" t="s">
        <v>276</v>
      </c>
      <c r="Q79" s="167">
        <f t="shared" si="66"/>
        <v>2.5440000000000005</v>
      </c>
      <c r="R79" s="70">
        <f t="shared" si="67"/>
        <v>-12.336</v>
      </c>
    </row>
    <row r="80" spans="1:18" ht="52.9" customHeight="1" x14ac:dyDescent="0.25">
      <c r="A80" s="23" t="s">
        <v>201</v>
      </c>
      <c r="B80" s="22">
        <v>16.95</v>
      </c>
      <c r="C80" s="72">
        <f>ROUND('PU Wise OWE'!$BD$128/10000,2)</f>
        <v>3.08</v>
      </c>
      <c r="D80" s="87">
        <f t="shared" si="60"/>
        <v>2.1064870225353076E-3</v>
      </c>
      <c r="E80" s="23"/>
      <c r="F80" s="22">
        <f>ROUND('PU Wise OWE'!$BD$126/10000,2)</f>
        <v>14.88</v>
      </c>
      <c r="G80" s="24">
        <f t="shared" si="61"/>
        <v>1.8677042801556422E-3</v>
      </c>
      <c r="H80" s="23">
        <f>ROUND('PU Wise OWE'!$BD$127/10000,2)</f>
        <v>2.68</v>
      </c>
      <c r="I80" s="23">
        <f>ROUND('PU Wise OWE'!$BD$129/10000,2)</f>
        <v>2.12</v>
      </c>
      <c r="J80" s="96">
        <f t="shared" si="62"/>
        <v>1.3144433766314289E-3</v>
      </c>
      <c r="K80" s="22">
        <f t="shared" si="68"/>
        <v>0.56000000000000005</v>
      </c>
      <c r="L80" s="24">
        <f t="shared" si="69"/>
        <v>0.26415094339622641</v>
      </c>
      <c r="M80" s="22">
        <f t="shared" si="63"/>
        <v>-0.96</v>
      </c>
      <c r="N80" s="54">
        <f t="shared" si="64"/>
        <v>-0.31168831168831168</v>
      </c>
      <c r="O80" s="54">
        <f t="shared" si="65"/>
        <v>0.1424731182795699</v>
      </c>
      <c r="P80" s="160" t="s">
        <v>276</v>
      </c>
      <c r="Q80" s="167">
        <f t="shared" si="66"/>
        <v>2.5440000000000005</v>
      </c>
      <c r="R80" s="70">
        <f t="shared" si="67"/>
        <v>-12.336</v>
      </c>
    </row>
    <row r="81" spans="1:18" ht="43.9" customHeight="1" x14ac:dyDescent="0.25">
      <c r="A81" s="23" t="s">
        <v>202</v>
      </c>
      <c r="B81" s="22">
        <v>17.329999999999998</v>
      </c>
      <c r="C81" s="72">
        <f>ROUND('PU Wise OWE'!$BF$128/10000,2)</f>
        <v>3.55</v>
      </c>
      <c r="D81" s="87">
        <f t="shared" si="60"/>
        <v>2.4279314707793317E-3</v>
      </c>
      <c r="E81" s="23"/>
      <c r="F81" s="22">
        <f>ROUND('PU Wise OWE'!$BF$126/10000,2)</f>
        <v>12.96</v>
      </c>
      <c r="G81" s="24">
        <f t="shared" si="61"/>
        <v>1.626710179490398E-3</v>
      </c>
      <c r="H81" s="23">
        <f>ROUND('PU Wise OWE'!$BF$127/10000,2)</f>
        <v>2.33</v>
      </c>
      <c r="I81" s="23">
        <f>ROUND('PU Wise OWE'!$BF$129/10000,2)</f>
        <v>1.92</v>
      </c>
      <c r="J81" s="96">
        <f t="shared" si="62"/>
        <v>1.1904392844963884E-3</v>
      </c>
      <c r="K81" s="22">
        <f t="shared" si="68"/>
        <v>0.41000000000000014</v>
      </c>
      <c r="L81" s="24">
        <f t="shared" si="69"/>
        <v>0.21354166666666674</v>
      </c>
      <c r="M81" s="22">
        <f t="shared" si="63"/>
        <v>-1.63</v>
      </c>
      <c r="N81" s="54">
        <f t="shared" si="64"/>
        <v>-0.45915492957746479</v>
      </c>
      <c r="O81" s="54">
        <f t="shared" si="65"/>
        <v>0.14814814814814814</v>
      </c>
      <c r="P81" s="160" t="s">
        <v>276</v>
      </c>
      <c r="Q81" s="167">
        <f t="shared" si="66"/>
        <v>2.3040000000000003</v>
      </c>
      <c r="R81" s="70">
        <f t="shared" si="67"/>
        <v>-10.656000000000001</v>
      </c>
    </row>
    <row r="82" spans="1:18" ht="15.75" x14ac:dyDescent="0.25">
      <c r="A82" s="23" t="s">
        <v>203</v>
      </c>
      <c r="B82" s="22">
        <v>166.71</v>
      </c>
      <c r="C82" s="72">
        <f>ROUND('PU Wise OWE'!$BG$128/10000,2)-ROUND('PU Wise OWE'!$BG$117/10000,2)</f>
        <v>12.1400000000001</v>
      </c>
      <c r="D82" s="87">
        <f t="shared" si="60"/>
        <v>8.3028417057074162E-3</v>
      </c>
      <c r="E82" s="23"/>
      <c r="F82" s="22">
        <f>ROUND('PU Wise OWE'!$BG$126/10000,2)-ROUND('PU Wise OWE'!$BG$115/10000,2)</f>
        <v>127.09000000000015</v>
      </c>
      <c r="G82" s="24">
        <f t="shared" si="61"/>
        <v>1.5952052215388497E-2</v>
      </c>
      <c r="H82" s="23">
        <f>ROUND('PU Wise OWE'!$BG$127/10000,2)-ROUND('PU Wise OWE'!$BG$116/10000,2)</f>
        <v>22.870000000000118</v>
      </c>
      <c r="I82" s="23">
        <f>ROUND('PU Wise OWE'!$BG$129/10000,2)-ROUND('PU Wise OWE'!$BG$118/10000,2)</f>
        <v>10.400000000000091</v>
      </c>
      <c r="J82" s="96">
        <f t="shared" si="62"/>
        <v>6.4482127910221601E-3</v>
      </c>
      <c r="K82" s="22">
        <f t="shared" si="68"/>
        <v>12.470000000000027</v>
      </c>
      <c r="L82" s="24">
        <f t="shared" si="69"/>
        <v>1.1990384615384537</v>
      </c>
      <c r="M82" s="22">
        <f t="shared" si="63"/>
        <v>-1.7400000000000091</v>
      </c>
      <c r="N82" s="54">
        <f t="shared" si="64"/>
        <v>-0.14332784184513961</v>
      </c>
      <c r="O82" s="54">
        <f t="shared" si="65"/>
        <v>8.1831772759462421E-2</v>
      </c>
      <c r="P82" s="160"/>
      <c r="Q82" s="167">
        <f t="shared" si="66"/>
        <v>12.480000000000111</v>
      </c>
      <c r="R82" s="171">
        <f t="shared" si="67"/>
        <v>-114.61000000000004</v>
      </c>
    </row>
    <row r="83" spans="1:18" s="36" customFormat="1" x14ac:dyDescent="0.25">
      <c r="A83" s="25" t="s">
        <v>130</v>
      </c>
      <c r="B83" s="26">
        <f>SUM(B77:B82)</f>
        <v>221.59</v>
      </c>
      <c r="C83" s="76">
        <f>SUM(C77:C82)</f>
        <v>22.630000000000102</v>
      </c>
      <c r="D83" s="88">
        <f t="shared" si="60"/>
        <v>1.5477208220770852E-2</v>
      </c>
      <c r="E83" s="25"/>
      <c r="F83" s="76">
        <f>SUM(F77:F82)</f>
        <v>175.11000000000016</v>
      </c>
      <c r="G83" s="56">
        <f t="shared" si="61"/>
        <v>2.1979415087234864E-2</v>
      </c>
      <c r="H83" s="76">
        <f>SUM(H77:H82)</f>
        <v>31.370000000000118</v>
      </c>
      <c r="I83" s="76">
        <f>SUM(I77:I82)</f>
        <v>17.020000000000092</v>
      </c>
      <c r="J83" s="56">
        <f t="shared" si="62"/>
        <v>1.0552748240692E-2</v>
      </c>
      <c r="K83" s="26">
        <f t="shared" si="68"/>
        <v>14.350000000000026</v>
      </c>
      <c r="L83" s="56">
        <f t="shared" si="69"/>
        <v>0.84312573443007921</v>
      </c>
      <c r="M83" s="26">
        <f t="shared" si="63"/>
        <v>-5.6100000000000101</v>
      </c>
      <c r="N83" s="57">
        <f t="shared" si="64"/>
        <v>-0.24790101634997724</v>
      </c>
      <c r="O83" s="25"/>
      <c r="P83" s="158"/>
      <c r="Q83" s="76">
        <f>SUM(Q77:Q82)</f>
        <v>20.424000000000113</v>
      </c>
      <c r="R83" s="76">
        <f>SUM(R77:R82)</f>
        <v>-154.68600000000004</v>
      </c>
    </row>
    <row r="84" spans="1:18" x14ac:dyDescent="0.25">
      <c r="Q84" s="168"/>
    </row>
    <row r="85" spans="1:18" s="36" customFormat="1" ht="30" x14ac:dyDescent="0.25">
      <c r="A85" s="95" t="s">
        <v>204</v>
      </c>
      <c r="B85" s="114">
        <v>5247.44</v>
      </c>
      <c r="C85" s="76">
        <f>C37+C49+C54+C56+C64+C69+C74+C83</f>
        <v>724.86</v>
      </c>
      <c r="D85" s="88">
        <f t="shared" ref="D85" si="70">C85/$C$7</f>
        <v>0.49574941011524121</v>
      </c>
      <c r="E85" s="25"/>
      <c r="F85" s="76">
        <f>F37+F49+F54+F56+F64+F69+F74+F83</f>
        <v>3346.2100000000005</v>
      </c>
      <c r="G85" s="56">
        <f t="shared" ref="G85" si="71">F85/$F$7</f>
        <v>0.4200087862432535</v>
      </c>
      <c r="H85" s="76">
        <f>H37+H49+H54+H56+H64+H69+H74+H83</f>
        <v>819.30000000000018</v>
      </c>
      <c r="I85" s="76">
        <f>I37+I49+I54+I56+I64+I69+I74+I83</f>
        <v>825.71000000000026</v>
      </c>
      <c r="J85" s="56">
        <f t="shared" si="62"/>
        <v>0.51195709458412142</v>
      </c>
      <c r="K85" s="26">
        <f t="shared" ref="K85" si="72">H85-I85</f>
        <v>-6.4100000000000819</v>
      </c>
      <c r="L85" s="56">
        <f t="shared" ref="L85" si="73">K85/I85</f>
        <v>-7.7630160710177665E-3</v>
      </c>
      <c r="M85" s="26">
        <f>I85-C85</f>
        <v>100.85000000000025</v>
      </c>
      <c r="N85" s="57">
        <f>M85/C85</f>
        <v>0.13913031481941374</v>
      </c>
      <c r="O85" s="54">
        <f t="shared" ref="O85" si="74">I85/F85</f>
        <v>0.24675976702000177</v>
      </c>
      <c r="P85" s="158"/>
      <c r="Q85" s="76">
        <f>Q37+Q49+Q54+Q56+Q64+Q69+Q74+Q83</f>
        <v>1502.7160000000001</v>
      </c>
      <c r="R85" s="171">
        <f>Q85-F85</f>
        <v>-1843.4940000000004</v>
      </c>
    </row>
    <row r="86" spans="1:18" x14ac:dyDescent="0.25">
      <c r="Q86" s="168"/>
    </row>
    <row r="87" spans="1:18" s="150" customFormat="1" x14ac:dyDescent="0.25">
      <c r="A87" s="79"/>
      <c r="B87" s="256" t="s">
        <v>303</v>
      </c>
      <c r="C87" s="234" t="s">
        <v>312</v>
      </c>
      <c r="D87" s="256" t="s">
        <v>173</v>
      </c>
      <c r="E87" s="256"/>
      <c r="F87" s="277" t="s">
        <v>314</v>
      </c>
      <c r="G87" s="256" t="s">
        <v>316</v>
      </c>
      <c r="H87" s="155"/>
      <c r="I87" s="234" t="s">
        <v>313</v>
      </c>
      <c r="J87" s="256" t="s">
        <v>205</v>
      </c>
      <c r="K87" s="155"/>
      <c r="L87" s="155"/>
      <c r="M87" s="240" t="s">
        <v>147</v>
      </c>
      <c r="N87" s="240"/>
      <c r="O87" s="237" t="s">
        <v>315</v>
      </c>
      <c r="Q87" s="168"/>
    </row>
    <row r="88" spans="1:18" s="150" customFormat="1" x14ac:dyDescent="0.25">
      <c r="A88" s="135" t="s">
        <v>254</v>
      </c>
      <c r="B88" s="235"/>
      <c r="C88" s="235"/>
      <c r="D88" s="235"/>
      <c r="E88" s="235"/>
      <c r="F88" s="278"/>
      <c r="G88" s="235"/>
      <c r="H88" s="156"/>
      <c r="I88" s="284"/>
      <c r="J88" s="235"/>
      <c r="K88" s="156"/>
      <c r="L88" s="156"/>
      <c r="M88" s="81" t="s">
        <v>145</v>
      </c>
      <c r="N88" s="82" t="s">
        <v>146</v>
      </c>
      <c r="O88" s="237"/>
      <c r="Q88" s="168"/>
    </row>
    <row r="89" spans="1:18" s="150" customFormat="1" ht="15.75" x14ac:dyDescent="0.25">
      <c r="A89" s="23" t="s">
        <v>255</v>
      </c>
      <c r="B89" s="23">
        <v>0</v>
      </c>
      <c r="C89" s="151">
        <v>0</v>
      </c>
      <c r="D89" s="87">
        <f t="shared" ref="D89:D102" si="75">C89/$C$7</f>
        <v>0</v>
      </c>
      <c r="E89" s="23"/>
      <c r="F89" s="22">
        <v>0.69</v>
      </c>
      <c r="G89" s="24">
        <f t="shared" ref="G89:G102" si="76">F89/$F$7</f>
        <v>8.66072549265721E-5</v>
      </c>
      <c r="H89" s="24"/>
      <c r="I89" s="23">
        <v>0</v>
      </c>
      <c r="J89" s="96">
        <f t="shared" ref="J89:J102" si="77">I89/$I$7</f>
        <v>0</v>
      </c>
      <c r="K89" s="96"/>
      <c r="L89" s="96"/>
      <c r="M89" s="22">
        <f>I89-C89</f>
        <v>0</v>
      </c>
      <c r="N89" s="54">
        <v>0</v>
      </c>
      <c r="O89" s="54">
        <f t="shared" ref="O89:O102" si="78">I89/F89</f>
        <v>0</v>
      </c>
      <c r="Q89" s="167"/>
    </row>
    <row r="90" spans="1:18" s="150" customFormat="1" ht="15.75" x14ac:dyDescent="0.25">
      <c r="A90" s="23" t="s">
        <v>256</v>
      </c>
      <c r="B90" s="23">
        <v>33.630000000000003</v>
      </c>
      <c r="C90" s="152">
        <v>1.86</v>
      </c>
      <c r="D90" s="87">
        <f t="shared" si="75"/>
        <v>1.2720993058167767E-3</v>
      </c>
      <c r="E90" s="23"/>
      <c r="F90" s="22">
        <v>33.28</v>
      </c>
      <c r="G90" s="24">
        <f t="shared" si="76"/>
        <v>4.1772310781975647E-3</v>
      </c>
      <c r="H90" s="24"/>
      <c r="I90" s="22">
        <v>2.77</v>
      </c>
      <c r="J90" s="96">
        <f t="shared" si="77"/>
        <v>1.7174566760703104E-3</v>
      </c>
      <c r="K90" s="96"/>
      <c r="L90" s="96"/>
      <c r="M90" s="22">
        <f t="shared" ref="M90:M102" si="79">I90-C90</f>
        <v>0.90999999999999992</v>
      </c>
      <c r="N90" s="54">
        <f t="shared" ref="N90:N102" si="80">M90/C90</f>
        <v>0.48924731182795694</v>
      </c>
      <c r="O90" s="54">
        <f t="shared" si="78"/>
        <v>8.3233173076923073E-2</v>
      </c>
      <c r="Q90" s="167"/>
    </row>
    <row r="91" spans="1:18" s="150" customFormat="1" ht="15.75" x14ac:dyDescent="0.25">
      <c r="A91" s="23" t="s">
        <v>266</v>
      </c>
      <c r="B91" s="23">
        <v>7.44</v>
      </c>
      <c r="C91" s="152">
        <v>0.04</v>
      </c>
      <c r="D91" s="87">
        <f t="shared" si="75"/>
        <v>2.7356974318640359E-5</v>
      </c>
      <c r="E91" s="23"/>
      <c r="F91" s="22">
        <v>0.53</v>
      </c>
      <c r="G91" s="24">
        <f t="shared" si="76"/>
        <v>6.6524413204468433E-5</v>
      </c>
      <c r="H91" s="24"/>
      <c r="I91" s="22">
        <v>0</v>
      </c>
      <c r="J91" s="96">
        <f t="shared" si="77"/>
        <v>0</v>
      </c>
      <c r="K91" s="96"/>
      <c r="L91" s="96"/>
      <c r="M91" s="22">
        <f t="shared" si="79"/>
        <v>-0.04</v>
      </c>
      <c r="N91" s="54">
        <f t="shared" si="80"/>
        <v>-1</v>
      </c>
      <c r="O91" s="54">
        <f t="shared" si="78"/>
        <v>0</v>
      </c>
      <c r="Q91" s="167"/>
    </row>
    <row r="92" spans="1:18" s="150" customFormat="1" ht="15.75" x14ac:dyDescent="0.25">
      <c r="A92" s="153" t="s">
        <v>257</v>
      </c>
      <c r="B92" s="25">
        <f>SUM(B89:B91)</f>
        <v>41.07</v>
      </c>
      <c r="C92" s="25">
        <f>SUM(C89:C91)</f>
        <v>1.9000000000000001</v>
      </c>
      <c r="D92" s="88">
        <f t="shared" si="75"/>
        <v>1.2994562801354171E-3</v>
      </c>
      <c r="E92" s="25">
        <f t="shared" ref="E92:F92" si="81">SUM(E89:E90)</f>
        <v>0</v>
      </c>
      <c r="F92" s="26">
        <f t="shared" si="81"/>
        <v>33.97</v>
      </c>
      <c r="G92" s="56">
        <f t="shared" si="76"/>
        <v>4.2638383331241366E-3</v>
      </c>
      <c r="H92" s="56"/>
      <c r="I92" s="26">
        <f>SUM(I89:I91)</f>
        <v>2.77</v>
      </c>
      <c r="J92" s="56">
        <f t="shared" si="77"/>
        <v>1.7174566760703104E-3</v>
      </c>
      <c r="K92" s="56"/>
      <c r="L92" s="56"/>
      <c r="M92" s="26">
        <f t="shared" si="79"/>
        <v>0.86999999999999988</v>
      </c>
      <c r="N92" s="57">
        <f t="shared" si="80"/>
        <v>0.45789473684210519</v>
      </c>
      <c r="O92" s="57">
        <f t="shared" si="78"/>
        <v>8.1542537533117465E-2</v>
      </c>
      <c r="Q92" s="167"/>
    </row>
    <row r="93" spans="1:18" s="150" customFormat="1" ht="15.75" x14ac:dyDescent="0.25">
      <c r="A93" s="23" t="s">
        <v>258</v>
      </c>
      <c r="B93" s="25">
        <v>0</v>
      </c>
      <c r="C93" s="151">
        <v>0</v>
      </c>
      <c r="D93" s="87">
        <f t="shared" si="75"/>
        <v>0</v>
      </c>
      <c r="E93" s="23"/>
      <c r="F93" s="22">
        <v>0</v>
      </c>
      <c r="G93" s="24">
        <f t="shared" si="76"/>
        <v>0</v>
      </c>
      <c r="H93" s="24"/>
      <c r="I93" s="22">
        <v>0</v>
      </c>
      <c r="J93" s="96">
        <f t="shared" si="77"/>
        <v>0</v>
      </c>
      <c r="K93" s="96"/>
      <c r="L93" s="96"/>
      <c r="M93" s="22">
        <f t="shared" si="79"/>
        <v>0</v>
      </c>
      <c r="N93" s="54">
        <v>0</v>
      </c>
      <c r="O93" s="54">
        <v>0</v>
      </c>
      <c r="Q93" s="167"/>
    </row>
    <row r="94" spans="1:18" s="150" customFormat="1" ht="15.75" x14ac:dyDescent="0.25">
      <c r="A94" s="23" t="s">
        <v>259</v>
      </c>
      <c r="B94" s="25">
        <v>13.17</v>
      </c>
      <c r="C94" s="152">
        <v>0.17</v>
      </c>
      <c r="D94" s="87">
        <f t="shared" si="75"/>
        <v>1.1626714085422152E-4</v>
      </c>
      <c r="E94" s="23"/>
      <c r="F94" s="22">
        <v>14.55</v>
      </c>
      <c r="G94" s="24">
        <f t="shared" si="76"/>
        <v>1.8262834191038033E-3</v>
      </c>
      <c r="H94" s="24"/>
      <c r="I94" s="22">
        <v>3.38</v>
      </c>
      <c r="J94" s="96">
        <f t="shared" si="77"/>
        <v>2.0956691570821837E-3</v>
      </c>
      <c r="K94" s="96"/>
      <c r="L94" s="96"/>
      <c r="M94" s="22">
        <f t="shared" si="79"/>
        <v>3.21</v>
      </c>
      <c r="N94" s="54">
        <f t="shared" si="80"/>
        <v>18.882352941176467</v>
      </c>
      <c r="O94" s="54">
        <f t="shared" si="78"/>
        <v>0.23230240549828177</v>
      </c>
      <c r="Q94" s="167"/>
    </row>
    <row r="95" spans="1:18" s="150" customFormat="1" ht="15.75" x14ac:dyDescent="0.25">
      <c r="A95" s="23" t="s">
        <v>267</v>
      </c>
      <c r="B95" s="25">
        <v>-0.3</v>
      </c>
      <c r="C95" s="152">
        <v>0</v>
      </c>
      <c r="D95" s="87">
        <f t="shared" si="75"/>
        <v>0</v>
      </c>
      <c r="E95" s="23"/>
      <c r="F95" s="22">
        <v>0.05</v>
      </c>
      <c r="G95" s="24">
        <f t="shared" si="76"/>
        <v>6.2758880381573994E-6</v>
      </c>
      <c r="H95" s="24"/>
      <c r="I95" s="22">
        <v>0</v>
      </c>
      <c r="J95" s="96">
        <f t="shared" si="77"/>
        <v>0</v>
      </c>
      <c r="K95" s="96"/>
      <c r="L95" s="96"/>
      <c r="M95" s="22">
        <f t="shared" si="79"/>
        <v>0</v>
      </c>
      <c r="N95" s="54">
        <v>0</v>
      </c>
      <c r="O95" s="54">
        <f t="shared" si="78"/>
        <v>0</v>
      </c>
      <c r="Q95" s="167"/>
    </row>
    <row r="96" spans="1:18" s="150" customFormat="1" ht="15.75" x14ac:dyDescent="0.25">
      <c r="A96" s="153" t="s">
        <v>260</v>
      </c>
      <c r="B96" s="25">
        <f>SUM(B93:B95)</f>
        <v>12.87</v>
      </c>
      <c r="C96" s="25">
        <f>SUM(C93:C95)</f>
        <v>0.17</v>
      </c>
      <c r="D96" s="88">
        <f t="shared" si="75"/>
        <v>1.1626714085422152E-4</v>
      </c>
      <c r="E96" s="25">
        <f t="shared" ref="E96" si="82">SUM(E93:E94)</f>
        <v>0</v>
      </c>
      <c r="F96" s="26">
        <f>SUM(F93:F95)</f>
        <v>14.600000000000001</v>
      </c>
      <c r="G96" s="56">
        <f t="shared" si="76"/>
        <v>1.8325593071419608E-3</v>
      </c>
      <c r="H96" s="56"/>
      <c r="I96" s="26">
        <f>SUM(I93:I95)</f>
        <v>3.38</v>
      </c>
      <c r="J96" s="56">
        <f t="shared" si="77"/>
        <v>2.0956691570821837E-3</v>
      </c>
      <c r="K96" s="56"/>
      <c r="L96" s="56"/>
      <c r="M96" s="26">
        <f t="shared" si="79"/>
        <v>3.21</v>
      </c>
      <c r="N96" s="57">
        <f t="shared" si="80"/>
        <v>18.882352941176467</v>
      </c>
      <c r="O96" s="57">
        <f t="shared" si="78"/>
        <v>0.23150684931506846</v>
      </c>
      <c r="Q96" s="167"/>
    </row>
    <row r="97" spans="1:17" s="150" customFormat="1" ht="15.75" x14ac:dyDescent="0.25">
      <c r="A97" s="23" t="s">
        <v>261</v>
      </c>
      <c r="B97" s="26">
        <v>24.12</v>
      </c>
      <c r="C97" s="152">
        <v>1.61</v>
      </c>
      <c r="D97" s="87">
        <f t="shared" si="75"/>
        <v>1.1011182163252744E-3</v>
      </c>
      <c r="E97" s="23"/>
      <c r="F97" s="22">
        <v>17.600000000000001</v>
      </c>
      <c r="G97" s="24">
        <f t="shared" si="76"/>
        <v>2.2091125894314048E-3</v>
      </c>
      <c r="H97" s="24"/>
      <c r="I97" s="22">
        <v>0.15</v>
      </c>
      <c r="J97" s="96">
        <f t="shared" si="77"/>
        <v>9.3003069101280339E-5</v>
      </c>
      <c r="K97" s="96"/>
      <c r="L97" s="96"/>
      <c r="M97" s="22">
        <f t="shared" si="79"/>
        <v>-1.4600000000000002</v>
      </c>
      <c r="N97" s="54">
        <f t="shared" si="80"/>
        <v>-0.90683229813664601</v>
      </c>
      <c r="O97" s="54">
        <f t="shared" si="78"/>
        <v>8.5227272727272721E-3</v>
      </c>
      <c r="Q97" s="167"/>
    </row>
    <row r="98" spans="1:17" s="150" customFormat="1" ht="15.75" x14ac:dyDescent="0.25">
      <c r="A98" s="23" t="s">
        <v>262</v>
      </c>
      <c r="B98" s="25">
        <v>145.66</v>
      </c>
      <c r="C98" s="152">
        <v>4.3499999999999996</v>
      </c>
      <c r="D98" s="87">
        <f t="shared" si="75"/>
        <v>2.9750709571521386E-3</v>
      </c>
      <c r="E98" s="23"/>
      <c r="F98" s="22">
        <v>11.56</v>
      </c>
      <c r="G98" s="24">
        <f t="shared" si="76"/>
        <v>1.4509853144219907E-3</v>
      </c>
      <c r="H98" s="24"/>
      <c r="I98" s="22">
        <v>6.27</v>
      </c>
      <c r="J98" s="96">
        <f t="shared" si="77"/>
        <v>3.8875282884335183E-3</v>
      </c>
      <c r="K98" s="96"/>
      <c r="L98" s="96"/>
      <c r="M98" s="22">
        <f t="shared" si="79"/>
        <v>1.92</v>
      </c>
      <c r="N98" s="54">
        <f t="shared" si="80"/>
        <v>0.44137931034482758</v>
      </c>
      <c r="O98" s="54">
        <f t="shared" si="78"/>
        <v>0.54238754325259508</v>
      </c>
      <c r="Q98" s="167"/>
    </row>
    <row r="99" spans="1:17" s="150" customFormat="1" ht="15.75" x14ac:dyDescent="0.25">
      <c r="A99" s="153" t="s">
        <v>263</v>
      </c>
      <c r="B99" s="25">
        <f t="shared" ref="B99:I102" si="83">SUM(B97:B98)</f>
        <v>169.78</v>
      </c>
      <c r="C99" s="26">
        <f t="shared" si="83"/>
        <v>5.96</v>
      </c>
      <c r="D99" s="88">
        <f t="shared" si="75"/>
        <v>4.076189173477413E-3</v>
      </c>
      <c r="E99" s="25">
        <f t="shared" si="83"/>
        <v>0</v>
      </c>
      <c r="F99" s="26">
        <f t="shared" si="83"/>
        <v>29.160000000000004</v>
      </c>
      <c r="G99" s="56">
        <f t="shared" si="76"/>
        <v>3.6600979038533955E-3</v>
      </c>
      <c r="H99" s="56"/>
      <c r="I99" s="26">
        <f t="shared" si="83"/>
        <v>6.42</v>
      </c>
      <c r="J99" s="56">
        <f t="shared" si="77"/>
        <v>3.9805313575347985E-3</v>
      </c>
      <c r="K99" s="56"/>
      <c r="L99" s="56"/>
      <c r="M99" s="26">
        <f t="shared" si="79"/>
        <v>0.45999999999999996</v>
      </c>
      <c r="N99" s="57">
        <f t="shared" si="80"/>
        <v>7.7181208053691275E-2</v>
      </c>
      <c r="O99" s="57">
        <f t="shared" si="78"/>
        <v>0.22016460905349791</v>
      </c>
      <c r="Q99" s="167"/>
    </row>
    <row r="100" spans="1:17" s="150" customFormat="1" ht="15.75" x14ac:dyDescent="0.25">
      <c r="A100" s="23" t="s">
        <v>264</v>
      </c>
      <c r="B100" s="26">
        <v>12.31</v>
      </c>
      <c r="C100" s="152">
        <v>4.28</v>
      </c>
      <c r="D100" s="87">
        <f t="shared" si="75"/>
        <v>2.9271962520945184E-3</v>
      </c>
      <c r="E100" s="23"/>
      <c r="F100" s="22">
        <v>13.17</v>
      </c>
      <c r="G100" s="24">
        <f t="shared" si="76"/>
        <v>1.6530689092506589E-3</v>
      </c>
      <c r="H100" s="24"/>
      <c r="I100" s="22">
        <v>1.93</v>
      </c>
      <c r="J100" s="96">
        <f t="shared" si="77"/>
        <v>1.1966394891031404E-3</v>
      </c>
      <c r="K100" s="96"/>
      <c r="L100" s="96"/>
      <c r="M100" s="22">
        <f t="shared" si="79"/>
        <v>-2.3500000000000005</v>
      </c>
      <c r="N100" s="54">
        <f t="shared" si="80"/>
        <v>-0.54906542056074781</v>
      </c>
      <c r="O100" s="54">
        <f t="shared" si="78"/>
        <v>0.14654517843583903</v>
      </c>
      <c r="Q100" s="167"/>
    </row>
    <row r="101" spans="1:17" s="150" customFormat="1" ht="15.75" x14ac:dyDescent="0.25">
      <c r="A101" s="23" t="s">
        <v>265</v>
      </c>
      <c r="B101" s="25">
        <v>101.34</v>
      </c>
      <c r="C101" s="152">
        <v>1.64</v>
      </c>
      <c r="D101" s="87">
        <f t="shared" si="75"/>
        <v>1.1216359470642547E-3</v>
      </c>
      <c r="E101" s="23"/>
      <c r="F101" s="22">
        <v>65.03</v>
      </c>
      <c r="G101" s="24">
        <f t="shared" si="76"/>
        <v>8.1624199824275132E-3</v>
      </c>
      <c r="H101" s="24"/>
      <c r="I101" s="22">
        <v>5.95</v>
      </c>
      <c r="J101" s="96">
        <f t="shared" si="77"/>
        <v>3.6891217410174541E-3</v>
      </c>
      <c r="K101" s="96"/>
      <c r="L101" s="96"/>
      <c r="M101" s="22">
        <f t="shared" si="79"/>
        <v>4.3100000000000005</v>
      </c>
      <c r="N101" s="54">
        <f t="shared" si="80"/>
        <v>2.6280487804878052</v>
      </c>
      <c r="O101" s="54">
        <f t="shared" si="78"/>
        <v>9.1496232508073191E-2</v>
      </c>
      <c r="Q101" s="167"/>
    </row>
    <row r="102" spans="1:17" s="150" customFormat="1" ht="15.75" x14ac:dyDescent="0.25">
      <c r="A102" s="153" t="s">
        <v>295</v>
      </c>
      <c r="B102" s="25">
        <f t="shared" si="83"/>
        <v>113.65</v>
      </c>
      <c r="C102" s="26">
        <f t="shared" si="83"/>
        <v>5.92</v>
      </c>
      <c r="D102" s="88">
        <f t="shared" si="75"/>
        <v>4.0488321991587724E-3</v>
      </c>
      <c r="E102" s="25">
        <f t="shared" si="83"/>
        <v>0</v>
      </c>
      <c r="F102" s="26">
        <f t="shared" si="83"/>
        <v>78.2</v>
      </c>
      <c r="G102" s="56">
        <f t="shared" si="76"/>
        <v>9.815488891678173E-3</v>
      </c>
      <c r="H102" s="56"/>
      <c r="I102" s="26">
        <f t="shared" si="83"/>
        <v>7.88</v>
      </c>
      <c r="J102" s="56">
        <f t="shared" si="77"/>
        <v>4.8857612301205942E-3</v>
      </c>
      <c r="K102" s="56"/>
      <c r="L102" s="56"/>
      <c r="M102" s="26">
        <f t="shared" si="79"/>
        <v>1.96</v>
      </c>
      <c r="N102" s="57">
        <f t="shared" si="80"/>
        <v>0.33108108108108109</v>
      </c>
      <c r="O102" s="57">
        <f t="shared" si="78"/>
        <v>0.10076726342710997</v>
      </c>
      <c r="Q102" s="167"/>
    </row>
    <row r="103" spans="1:17" x14ac:dyDescent="0.25">
      <c r="Q103" s="168"/>
    </row>
    <row r="104" spans="1:17" x14ac:dyDescent="0.25">
      <c r="A104" s="79"/>
      <c r="B104" s="256" t="s">
        <v>303</v>
      </c>
      <c r="C104" s="234" t="str">
        <f>'PU Wise OWE'!$B$7</f>
        <v>Actuals upto May' 20</v>
      </c>
      <c r="D104" s="256" t="s">
        <v>173</v>
      </c>
      <c r="E104" s="256"/>
      <c r="F104" s="277" t="str">
        <f>'PU Wise OWE'!$B$5</f>
        <v xml:space="preserve">OBG(SL) 2021-22 </v>
      </c>
      <c r="G104" s="256" t="s">
        <v>316</v>
      </c>
      <c r="H104" s="155"/>
      <c r="I104" s="234" t="str">
        <f>I40</f>
        <v>Actuals upto May' 21</v>
      </c>
      <c r="J104" s="256" t="s">
        <v>205</v>
      </c>
      <c r="K104" s="155"/>
      <c r="L104" s="155"/>
      <c r="M104" s="240" t="s">
        <v>147</v>
      </c>
      <c r="N104" s="240"/>
      <c r="O104" s="237" t="s">
        <v>315</v>
      </c>
      <c r="Q104" s="168"/>
    </row>
    <row r="105" spans="1:17" x14ac:dyDescent="0.25">
      <c r="A105" s="135" t="s">
        <v>191</v>
      </c>
      <c r="B105" s="235"/>
      <c r="C105" s="235"/>
      <c r="D105" s="235"/>
      <c r="E105" s="235"/>
      <c r="F105" s="278"/>
      <c r="G105" s="235"/>
      <c r="H105" s="156"/>
      <c r="I105" s="235"/>
      <c r="J105" s="235"/>
      <c r="K105" s="156"/>
      <c r="L105" s="156"/>
      <c r="M105" s="81" t="s">
        <v>145</v>
      </c>
      <c r="N105" s="82" t="s">
        <v>146</v>
      </c>
      <c r="O105" s="237"/>
      <c r="Q105" s="168"/>
    </row>
    <row r="106" spans="1:17" ht="15.75" x14ac:dyDescent="0.25">
      <c r="A106" s="23" t="s">
        <v>218</v>
      </c>
      <c r="B106" s="23">
        <v>305.92</v>
      </c>
      <c r="C106" s="111">
        <v>19.18</v>
      </c>
      <c r="D106" s="87">
        <f t="shared" ref="D106:D109" si="84">C106/$C$7</f>
        <v>1.311766918578805E-2</v>
      </c>
      <c r="E106" s="23"/>
      <c r="F106" s="20">
        <v>115.89</v>
      </c>
      <c r="G106" s="24">
        <f t="shared" ref="G106:G109" si="85">F106/$F$7</f>
        <v>1.4546253294841219E-2</v>
      </c>
      <c r="H106" s="24"/>
      <c r="I106" s="107">
        <v>28.26</v>
      </c>
      <c r="J106" s="96">
        <f t="shared" ref="J106:J109" si="86">I106/$I$7</f>
        <v>1.7521778218681217E-2</v>
      </c>
      <c r="K106" s="96"/>
      <c r="L106" s="96"/>
      <c r="M106" s="22">
        <f>I106-C106</f>
        <v>9.0800000000000018</v>
      </c>
      <c r="N106" s="54">
        <f>M106/C106</f>
        <v>0.47340980187695525</v>
      </c>
      <c r="O106" s="54">
        <f t="shared" ref="O106:O109" si="87">I106/F106</f>
        <v>0.24385192855293814</v>
      </c>
      <c r="Q106" s="167"/>
    </row>
    <row r="107" spans="1:17" ht="15.75" x14ac:dyDescent="0.25">
      <c r="A107" s="23" t="s">
        <v>217</v>
      </c>
      <c r="B107" s="23">
        <v>266.58999999999997</v>
      </c>
      <c r="C107" s="83">
        <v>27.95</v>
      </c>
      <c r="D107" s="87">
        <f t="shared" si="84"/>
        <v>1.9115685805149947E-2</v>
      </c>
      <c r="E107" s="23"/>
      <c r="F107" s="107">
        <v>750</v>
      </c>
      <c r="G107" s="24">
        <f t="shared" si="85"/>
        <v>9.4138320572360989E-2</v>
      </c>
      <c r="H107" s="24"/>
      <c r="I107" s="107">
        <v>40.58</v>
      </c>
      <c r="J107" s="96">
        <f t="shared" si="86"/>
        <v>2.5160430294199707E-2</v>
      </c>
      <c r="K107" s="96"/>
      <c r="L107" s="96"/>
      <c r="M107" s="22">
        <f t="shared" ref="M107:M109" si="88">I107-C107</f>
        <v>12.629999999999999</v>
      </c>
      <c r="N107" s="54">
        <f t="shared" ref="N107:N109" si="89">M107/C107</f>
        <v>0.45187835420393557</v>
      </c>
      <c r="O107" s="54">
        <f t="shared" si="87"/>
        <v>5.4106666666666664E-2</v>
      </c>
      <c r="Q107" s="167"/>
    </row>
    <row r="108" spans="1:17" ht="15.75" x14ac:dyDescent="0.25">
      <c r="A108" s="89" t="s">
        <v>216</v>
      </c>
      <c r="B108" s="23">
        <v>544.78</v>
      </c>
      <c r="C108" s="83">
        <v>165.44</v>
      </c>
      <c r="D108" s="87">
        <f t="shared" si="84"/>
        <v>0.11314844578189652</v>
      </c>
      <c r="E108" s="23"/>
      <c r="F108" s="107">
        <v>676.5</v>
      </c>
      <c r="G108" s="24">
        <f t="shared" si="85"/>
        <v>8.491276515626961E-2</v>
      </c>
      <c r="H108" s="24"/>
      <c r="I108" s="20">
        <v>301.26</v>
      </c>
      <c r="J108" s="96">
        <f t="shared" si="86"/>
        <v>0.18678736398301143</v>
      </c>
      <c r="K108" s="96"/>
      <c r="L108" s="96"/>
      <c r="M108" s="22">
        <f t="shared" si="88"/>
        <v>135.82</v>
      </c>
      <c r="N108" s="54">
        <f t="shared" si="89"/>
        <v>0.82096228239845259</v>
      </c>
      <c r="O108" s="54">
        <f t="shared" si="87"/>
        <v>0.44532150776053214</v>
      </c>
      <c r="Q108" s="167"/>
    </row>
    <row r="109" spans="1:17" ht="15.75" x14ac:dyDescent="0.25">
      <c r="A109" s="25" t="s">
        <v>130</v>
      </c>
      <c r="B109" s="25">
        <f>SUM(B106:B108)</f>
        <v>1117.29</v>
      </c>
      <c r="C109" s="142">
        <f>+C106+C107+C108</f>
        <v>212.57</v>
      </c>
      <c r="D109" s="88">
        <f t="shared" si="84"/>
        <v>0.14538180077283452</v>
      </c>
      <c r="E109" s="25"/>
      <c r="F109" s="142">
        <f>+F106+F107+F108</f>
        <v>1542.3899999999999</v>
      </c>
      <c r="G109" s="56">
        <f t="shared" si="85"/>
        <v>0.19359733902347182</v>
      </c>
      <c r="H109" s="56"/>
      <c r="I109" s="106">
        <f>SUM(I106:I108)</f>
        <v>370.1</v>
      </c>
      <c r="J109" s="56">
        <f t="shared" si="86"/>
        <v>0.22946957249589239</v>
      </c>
      <c r="K109" s="56"/>
      <c r="L109" s="56"/>
      <c r="M109" s="26">
        <f t="shared" si="88"/>
        <v>157.53000000000003</v>
      </c>
      <c r="N109" s="57">
        <f t="shared" si="89"/>
        <v>0.74107352871995125</v>
      </c>
      <c r="O109" s="57">
        <f t="shared" si="87"/>
        <v>0.23995228184830039</v>
      </c>
      <c r="Q109" s="167"/>
    </row>
    <row r="110" spans="1:17" x14ac:dyDescent="0.25">
      <c r="C110" s="140"/>
      <c r="Q110" s="168"/>
    </row>
    <row r="111" spans="1:17" x14ac:dyDescent="0.25">
      <c r="A111" s="135" t="s">
        <v>219</v>
      </c>
      <c r="B111" s="23"/>
      <c r="C111" s="83"/>
      <c r="D111" s="23"/>
      <c r="E111" s="23"/>
      <c r="F111" s="23"/>
      <c r="G111" s="23"/>
      <c r="H111" s="23"/>
      <c r="I111" s="23"/>
      <c r="J111" s="23"/>
      <c r="K111" s="23"/>
      <c r="L111" s="23"/>
      <c r="M111" s="23"/>
      <c r="N111" s="23"/>
      <c r="O111" s="23"/>
      <c r="Q111" s="168"/>
    </row>
    <row r="112" spans="1:17" ht="15.75" x14ac:dyDescent="0.25">
      <c r="A112" s="23" t="s">
        <v>220</v>
      </c>
      <c r="B112" s="22">
        <v>28.69</v>
      </c>
      <c r="C112" s="111">
        <v>5.63</v>
      </c>
      <c r="D112" s="87">
        <f t="shared" ref="D112:D115" si="90">C112/$C$7</f>
        <v>3.8504941353486302E-3</v>
      </c>
      <c r="E112" s="23"/>
      <c r="F112" s="22">
        <v>27.91</v>
      </c>
      <c r="G112" s="24">
        <f t="shared" ref="G112:G115" si="91">F112/$F$7</f>
        <v>3.5032007028994601E-3</v>
      </c>
      <c r="H112" s="24"/>
      <c r="I112" s="23">
        <v>0.22</v>
      </c>
      <c r="J112" s="96">
        <f t="shared" ref="J112:J115" si="92">I112/$I$7</f>
        <v>1.3640450134854451E-4</v>
      </c>
      <c r="K112" s="96"/>
      <c r="L112" s="96"/>
      <c r="M112" s="22">
        <f>I112-C112</f>
        <v>-5.41</v>
      </c>
      <c r="N112" s="54">
        <f>M112/C112</f>
        <v>-0.96092362344582594</v>
      </c>
      <c r="O112" s="54">
        <f t="shared" ref="O112:O115" si="93">I112/F112</f>
        <v>7.8824793980652088E-3</v>
      </c>
      <c r="Q112" s="167"/>
    </row>
    <row r="113" spans="1:17" ht="15.75" x14ac:dyDescent="0.25">
      <c r="A113" s="23" t="s">
        <v>221</v>
      </c>
      <c r="B113" s="22">
        <v>38.6</v>
      </c>
      <c r="C113" s="83">
        <v>2.54</v>
      </c>
      <c r="D113" s="87">
        <f t="shared" si="90"/>
        <v>1.7371678692336627E-3</v>
      </c>
      <c r="E113" s="23"/>
      <c r="F113" s="23">
        <v>33.72</v>
      </c>
      <c r="G113" s="24">
        <f t="shared" si="91"/>
        <v>4.2324588929333502E-3</v>
      </c>
      <c r="H113" s="24"/>
      <c r="I113" s="22">
        <v>0.11</v>
      </c>
      <c r="J113" s="96">
        <f t="shared" si="92"/>
        <v>6.8202250674272256E-5</v>
      </c>
      <c r="K113" s="96"/>
      <c r="L113" s="96"/>
      <c r="M113" s="22">
        <f t="shared" ref="M113:M115" si="94">I113-C113</f>
        <v>-2.4300000000000002</v>
      </c>
      <c r="N113" s="54">
        <f t="shared" ref="N113:N115" si="95">M113/C113</f>
        <v>-0.95669291338582685</v>
      </c>
      <c r="O113" s="54">
        <f t="shared" si="93"/>
        <v>3.2621589561091344E-3</v>
      </c>
      <c r="Q113" s="167"/>
    </row>
    <row r="114" spans="1:17" ht="15.75" x14ac:dyDescent="0.25">
      <c r="A114" s="89" t="s">
        <v>222</v>
      </c>
      <c r="B114" s="23">
        <v>33.32</v>
      </c>
      <c r="C114" s="83">
        <v>2.81</v>
      </c>
      <c r="D114" s="87">
        <f t="shared" si="90"/>
        <v>1.921827445884485E-3</v>
      </c>
      <c r="E114" s="23"/>
      <c r="F114" s="23">
        <v>33.19</v>
      </c>
      <c r="G114" s="24">
        <f t="shared" si="91"/>
        <v>4.1659344797288812E-3</v>
      </c>
      <c r="H114" s="24"/>
      <c r="I114" s="22">
        <v>3.03</v>
      </c>
      <c r="J114" s="96">
        <f t="shared" si="92"/>
        <v>1.8786619958458628E-3</v>
      </c>
      <c r="K114" s="96"/>
      <c r="L114" s="96"/>
      <c r="M114" s="22">
        <f t="shared" si="94"/>
        <v>0.21999999999999975</v>
      </c>
      <c r="N114" s="54">
        <f t="shared" si="95"/>
        <v>7.8291814946619132E-2</v>
      </c>
      <c r="O114" s="54">
        <f t="shared" si="93"/>
        <v>9.1292557999397408E-2</v>
      </c>
      <c r="Q114" s="167"/>
    </row>
    <row r="115" spans="1:17" ht="15.75" x14ac:dyDescent="0.25">
      <c r="A115" s="25" t="s">
        <v>130</v>
      </c>
      <c r="B115" s="26">
        <f>SUM(B112:B114)</f>
        <v>100.61000000000001</v>
      </c>
      <c r="C115" s="149">
        <f>SUM(C112:C114)</f>
        <v>10.98</v>
      </c>
      <c r="D115" s="88">
        <f t="shared" si="90"/>
        <v>7.5094894504667779E-3</v>
      </c>
      <c r="E115" s="25"/>
      <c r="F115" s="25">
        <f>SUM(F112:F114)</f>
        <v>94.82</v>
      </c>
      <c r="G115" s="56">
        <f t="shared" si="91"/>
        <v>1.190159407556169E-2</v>
      </c>
      <c r="H115" s="56"/>
      <c r="I115" s="25">
        <f>SUM(I112:I114)</f>
        <v>3.36</v>
      </c>
      <c r="J115" s="56">
        <f t="shared" si="92"/>
        <v>2.0832687478686798E-3</v>
      </c>
      <c r="K115" s="56"/>
      <c r="L115" s="56"/>
      <c r="M115" s="26">
        <f t="shared" si="94"/>
        <v>-7.620000000000001</v>
      </c>
      <c r="N115" s="57">
        <f t="shared" si="95"/>
        <v>-0.69398907103825147</v>
      </c>
      <c r="O115" s="57">
        <f t="shared" si="93"/>
        <v>3.543556211769669E-2</v>
      </c>
      <c r="Q115" s="167"/>
    </row>
    <row r="118" spans="1:17" x14ac:dyDescent="0.25">
      <c r="B118" s="34"/>
      <c r="C118" s="141"/>
      <c r="D118" s="31"/>
      <c r="E118" s="31"/>
      <c r="F118" s="31"/>
    </row>
    <row r="119" spans="1:17" x14ac:dyDescent="0.25">
      <c r="B119" s="31"/>
      <c r="C119" s="141"/>
      <c r="D119" s="31"/>
      <c r="E119" s="31"/>
      <c r="F119" s="31"/>
    </row>
    <row r="120" spans="1:17" x14ac:dyDescent="0.25">
      <c r="B120" s="31"/>
      <c r="C120" s="141"/>
      <c r="D120" s="31"/>
      <c r="E120" s="31"/>
      <c r="F120" s="31"/>
    </row>
    <row r="121" spans="1:17" x14ac:dyDescent="0.25">
      <c r="B121" s="31"/>
      <c r="C121" s="141"/>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workbookViewId="0">
      <selection sqref="A1:XFD1048576"/>
    </sheetView>
  </sheetViews>
  <sheetFormatPr defaultRowHeight="15" x14ac:dyDescent="0.25"/>
  <cols>
    <col min="1" max="1" width="14.7109375" style="224" customWidth="1"/>
    <col min="2" max="13" width="10.85546875" style="224" customWidth="1"/>
    <col min="14" max="14" width="9.140625" style="224" customWidth="1"/>
    <col min="15" max="256" width="9.140625" style="224"/>
    <col min="257" max="257" width="14.7109375" style="224" customWidth="1"/>
    <col min="258" max="269" width="10.85546875" style="224" customWidth="1"/>
    <col min="270" max="270" width="9.140625" style="224" customWidth="1"/>
    <col min="271" max="512" width="9.140625" style="224"/>
    <col min="513" max="513" width="14.7109375" style="224" customWidth="1"/>
    <col min="514" max="525" width="10.85546875" style="224" customWidth="1"/>
    <col min="526" max="526" width="9.140625" style="224" customWidth="1"/>
    <col min="527" max="768" width="9.140625" style="224"/>
    <col min="769" max="769" width="14.7109375" style="224" customWidth="1"/>
    <col min="770" max="781" width="10.85546875" style="224" customWidth="1"/>
    <col min="782" max="782" width="9.140625" style="224" customWidth="1"/>
    <col min="783" max="1024" width="9.140625" style="224"/>
    <col min="1025" max="1025" width="14.7109375" style="224" customWidth="1"/>
    <col min="1026" max="1037" width="10.85546875" style="224" customWidth="1"/>
    <col min="1038" max="1038" width="9.140625" style="224" customWidth="1"/>
    <col min="1039" max="1280" width="9.140625" style="224"/>
    <col min="1281" max="1281" width="14.7109375" style="224" customWidth="1"/>
    <col min="1282" max="1293" width="10.85546875" style="224" customWidth="1"/>
    <col min="1294" max="1294" width="9.140625" style="224" customWidth="1"/>
    <col min="1295" max="1536" width="9.140625" style="224"/>
    <col min="1537" max="1537" width="14.7109375" style="224" customWidth="1"/>
    <col min="1538" max="1549" width="10.85546875" style="224" customWidth="1"/>
    <col min="1550" max="1550" width="9.140625" style="224" customWidth="1"/>
    <col min="1551" max="1792" width="9.140625" style="224"/>
    <col min="1793" max="1793" width="14.7109375" style="224" customWidth="1"/>
    <col min="1794" max="1805" width="10.85546875" style="224" customWidth="1"/>
    <col min="1806" max="1806" width="9.140625" style="224" customWidth="1"/>
    <col min="1807" max="2048" width="9.140625" style="224"/>
    <col min="2049" max="2049" width="14.7109375" style="224" customWidth="1"/>
    <col min="2050" max="2061" width="10.85546875" style="224" customWidth="1"/>
    <col min="2062" max="2062" width="9.140625" style="224" customWidth="1"/>
    <col min="2063" max="2304" width="9.140625" style="224"/>
    <col min="2305" max="2305" width="14.7109375" style="224" customWidth="1"/>
    <col min="2306" max="2317" width="10.85546875" style="224" customWidth="1"/>
    <col min="2318" max="2318" width="9.140625" style="224" customWidth="1"/>
    <col min="2319" max="2560" width="9.140625" style="224"/>
    <col min="2561" max="2561" width="14.7109375" style="224" customWidth="1"/>
    <col min="2562" max="2573" width="10.85546875" style="224" customWidth="1"/>
    <col min="2574" max="2574" width="9.140625" style="224" customWidth="1"/>
    <col min="2575" max="2816" width="9.140625" style="224"/>
    <col min="2817" max="2817" width="14.7109375" style="224" customWidth="1"/>
    <col min="2818" max="2829" width="10.85546875" style="224" customWidth="1"/>
    <col min="2830" max="2830" width="9.140625" style="224" customWidth="1"/>
    <col min="2831" max="3072" width="9.140625" style="224"/>
    <col min="3073" max="3073" width="14.7109375" style="224" customWidth="1"/>
    <col min="3074" max="3085" width="10.85546875" style="224" customWidth="1"/>
    <col min="3086" max="3086" width="9.140625" style="224" customWidth="1"/>
    <col min="3087" max="3328" width="9.140625" style="224"/>
    <col min="3329" max="3329" width="14.7109375" style="224" customWidth="1"/>
    <col min="3330" max="3341" width="10.85546875" style="224" customWidth="1"/>
    <col min="3342" max="3342" width="9.140625" style="224" customWidth="1"/>
    <col min="3343" max="3584" width="9.140625" style="224"/>
    <col min="3585" max="3585" width="14.7109375" style="224" customWidth="1"/>
    <col min="3586" max="3597" width="10.85546875" style="224" customWidth="1"/>
    <col min="3598" max="3598" width="9.140625" style="224" customWidth="1"/>
    <col min="3599" max="3840" width="9.140625" style="224"/>
    <col min="3841" max="3841" width="14.7109375" style="224" customWidth="1"/>
    <col min="3842" max="3853" width="10.85546875" style="224" customWidth="1"/>
    <col min="3854" max="3854" width="9.140625" style="224" customWidth="1"/>
    <col min="3855" max="4096" width="9.140625" style="224"/>
    <col min="4097" max="4097" width="14.7109375" style="224" customWidth="1"/>
    <col min="4098" max="4109" width="10.85546875" style="224" customWidth="1"/>
    <col min="4110" max="4110" width="9.140625" style="224" customWidth="1"/>
    <col min="4111" max="4352" width="9.140625" style="224"/>
    <col min="4353" max="4353" width="14.7109375" style="224" customWidth="1"/>
    <col min="4354" max="4365" width="10.85546875" style="224" customWidth="1"/>
    <col min="4366" max="4366" width="9.140625" style="224" customWidth="1"/>
    <col min="4367" max="4608" width="9.140625" style="224"/>
    <col min="4609" max="4609" width="14.7109375" style="224" customWidth="1"/>
    <col min="4610" max="4621" width="10.85546875" style="224" customWidth="1"/>
    <col min="4622" max="4622" width="9.140625" style="224" customWidth="1"/>
    <col min="4623" max="4864" width="9.140625" style="224"/>
    <col min="4865" max="4865" width="14.7109375" style="224" customWidth="1"/>
    <col min="4866" max="4877" width="10.85546875" style="224" customWidth="1"/>
    <col min="4878" max="4878" width="9.140625" style="224" customWidth="1"/>
    <col min="4879" max="5120" width="9.140625" style="224"/>
    <col min="5121" max="5121" width="14.7109375" style="224" customWidth="1"/>
    <col min="5122" max="5133" width="10.85546875" style="224" customWidth="1"/>
    <col min="5134" max="5134" width="9.140625" style="224" customWidth="1"/>
    <col min="5135" max="5376" width="9.140625" style="224"/>
    <col min="5377" max="5377" width="14.7109375" style="224" customWidth="1"/>
    <col min="5378" max="5389" width="10.85546875" style="224" customWidth="1"/>
    <col min="5390" max="5390" width="9.140625" style="224" customWidth="1"/>
    <col min="5391" max="5632" width="9.140625" style="224"/>
    <col min="5633" max="5633" width="14.7109375" style="224" customWidth="1"/>
    <col min="5634" max="5645" width="10.85546875" style="224" customWidth="1"/>
    <col min="5646" max="5646" width="9.140625" style="224" customWidth="1"/>
    <col min="5647" max="5888" width="9.140625" style="224"/>
    <col min="5889" max="5889" width="14.7109375" style="224" customWidth="1"/>
    <col min="5890" max="5901" width="10.85546875" style="224" customWidth="1"/>
    <col min="5902" max="5902" width="9.140625" style="224" customWidth="1"/>
    <col min="5903" max="6144" width="9.140625" style="224"/>
    <col min="6145" max="6145" width="14.7109375" style="224" customWidth="1"/>
    <col min="6146" max="6157" width="10.85546875" style="224" customWidth="1"/>
    <col min="6158" max="6158" width="9.140625" style="224" customWidth="1"/>
    <col min="6159" max="6400" width="9.140625" style="224"/>
    <col min="6401" max="6401" width="14.7109375" style="224" customWidth="1"/>
    <col min="6402" max="6413" width="10.85546875" style="224" customWidth="1"/>
    <col min="6414" max="6414" width="9.140625" style="224" customWidth="1"/>
    <col min="6415" max="6656" width="9.140625" style="224"/>
    <col min="6657" max="6657" width="14.7109375" style="224" customWidth="1"/>
    <col min="6658" max="6669" width="10.85546875" style="224" customWidth="1"/>
    <col min="6670" max="6670" width="9.140625" style="224" customWidth="1"/>
    <col min="6671" max="6912" width="9.140625" style="224"/>
    <col min="6913" max="6913" width="14.7109375" style="224" customWidth="1"/>
    <col min="6914" max="6925" width="10.85546875" style="224" customWidth="1"/>
    <col min="6926" max="6926" width="9.140625" style="224" customWidth="1"/>
    <col min="6927" max="7168" width="9.140625" style="224"/>
    <col min="7169" max="7169" width="14.7109375" style="224" customWidth="1"/>
    <col min="7170" max="7181" width="10.85546875" style="224" customWidth="1"/>
    <col min="7182" max="7182" width="9.140625" style="224" customWidth="1"/>
    <col min="7183" max="7424" width="9.140625" style="224"/>
    <col min="7425" max="7425" width="14.7109375" style="224" customWidth="1"/>
    <col min="7426" max="7437" width="10.85546875" style="224" customWidth="1"/>
    <col min="7438" max="7438" width="9.140625" style="224" customWidth="1"/>
    <col min="7439" max="7680" width="9.140625" style="224"/>
    <col min="7681" max="7681" width="14.7109375" style="224" customWidth="1"/>
    <col min="7682" max="7693" width="10.85546875" style="224" customWidth="1"/>
    <col min="7694" max="7694" width="9.140625" style="224" customWidth="1"/>
    <col min="7695" max="7936" width="9.140625" style="224"/>
    <col min="7937" max="7937" width="14.7109375" style="224" customWidth="1"/>
    <col min="7938" max="7949" width="10.85546875" style="224" customWidth="1"/>
    <col min="7950" max="7950" width="9.140625" style="224" customWidth="1"/>
    <col min="7951" max="8192" width="9.140625" style="224"/>
    <col min="8193" max="8193" width="14.7109375" style="224" customWidth="1"/>
    <col min="8194" max="8205" width="10.85546875" style="224" customWidth="1"/>
    <col min="8206" max="8206" width="9.140625" style="224" customWidth="1"/>
    <col min="8207" max="8448" width="9.140625" style="224"/>
    <col min="8449" max="8449" width="14.7109375" style="224" customWidth="1"/>
    <col min="8450" max="8461" width="10.85546875" style="224" customWidth="1"/>
    <col min="8462" max="8462" width="9.140625" style="224" customWidth="1"/>
    <col min="8463" max="8704" width="9.140625" style="224"/>
    <col min="8705" max="8705" width="14.7109375" style="224" customWidth="1"/>
    <col min="8706" max="8717" width="10.85546875" style="224" customWidth="1"/>
    <col min="8718" max="8718" width="9.140625" style="224" customWidth="1"/>
    <col min="8719" max="8960" width="9.140625" style="224"/>
    <col min="8961" max="8961" width="14.7109375" style="224" customWidth="1"/>
    <col min="8962" max="8973" width="10.85546875" style="224" customWidth="1"/>
    <col min="8974" max="8974" width="9.140625" style="224" customWidth="1"/>
    <col min="8975" max="9216" width="9.140625" style="224"/>
    <col min="9217" max="9217" width="14.7109375" style="224" customWidth="1"/>
    <col min="9218" max="9229" width="10.85546875" style="224" customWidth="1"/>
    <col min="9230" max="9230" width="9.140625" style="224" customWidth="1"/>
    <col min="9231" max="9472" width="9.140625" style="224"/>
    <col min="9473" max="9473" width="14.7109375" style="224" customWidth="1"/>
    <col min="9474" max="9485" width="10.85546875" style="224" customWidth="1"/>
    <col min="9486" max="9486" width="9.140625" style="224" customWidth="1"/>
    <col min="9487" max="9728" width="9.140625" style="224"/>
    <col min="9729" max="9729" width="14.7109375" style="224" customWidth="1"/>
    <col min="9730" max="9741" width="10.85546875" style="224" customWidth="1"/>
    <col min="9742" max="9742" width="9.140625" style="224" customWidth="1"/>
    <col min="9743" max="9984" width="9.140625" style="224"/>
    <col min="9985" max="9985" width="14.7109375" style="224" customWidth="1"/>
    <col min="9986" max="9997" width="10.85546875" style="224" customWidth="1"/>
    <col min="9998" max="9998" width="9.140625" style="224" customWidth="1"/>
    <col min="9999" max="10240" width="9.140625" style="224"/>
    <col min="10241" max="10241" width="14.7109375" style="224" customWidth="1"/>
    <col min="10242" max="10253" width="10.85546875" style="224" customWidth="1"/>
    <col min="10254" max="10254" width="9.140625" style="224" customWidth="1"/>
    <col min="10255" max="10496" width="9.140625" style="224"/>
    <col min="10497" max="10497" width="14.7109375" style="224" customWidth="1"/>
    <col min="10498" max="10509" width="10.85546875" style="224" customWidth="1"/>
    <col min="10510" max="10510" width="9.140625" style="224" customWidth="1"/>
    <col min="10511" max="10752" width="9.140625" style="224"/>
    <col min="10753" max="10753" width="14.7109375" style="224" customWidth="1"/>
    <col min="10754" max="10765" width="10.85546875" style="224" customWidth="1"/>
    <col min="10766" max="10766" width="9.140625" style="224" customWidth="1"/>
    <col min="10767" max="11008" width="9.140625" style="224"/>
    <col min="11009" max="11009" width="14.7109375" style="224" customWidth="1"/>
    <col min="11010" max="11021" width="10.85546875" style="224" customWidth="1"/>
    <col min="11022" max="11022" width="9.140625" style="224" customWidth="1"/>
    <col min="11023" max="11264" width="9.140625" style="224"/>
    <col min="11265" max="11265" width="14.7109375" style="224" customWidth="1"/>
    <col min="11266" max="11277" width="10.85546875" style="224" customWidth="1"/>
    <col min="11278" max="11278" width="9.140625" style="224" customWidth="1"/>
    <col min="11279" max="11520" width="9.140625" style="224"/>
    <col min="11521" max="11521" width="14.7109375" style="224" customWidth="1"/>
    <col min="11522" max="11533" width="10.85546875" style="224" customWidth="1"/>
    <col min="11534" max="11534" width="9.140625" style="224" customWidth="1"/>
    <col min="11535" max="11776" width="9.140625" style="224"/>
    <col min="11777" max="11777" width="14.7109375" style="224" customWidth="1"/>
    <col min="11778" max="11789" width="10.85546875" style="224" customWidth="1"/>
    <col min="11790" max="11790" width="9.140625" style="224" customWidth="1"/>
    <col min="11791" max="12032" width="9.140625" style="224"/>
    <col min="12033" max="12033" width="14.7109375" style="224" customWidth="1"/>
    <col min="12034" max="12045" width="10.85546875" style="224" customWidth="1"/>
    <col min="12046" max="12046" width="9.140625" style="224" customWidth="1"/>
    <col min="12047" max="12288" width="9.140625" style="224"/>
    <col min="12289" max="12289" width="14.7109375" style="224" customWidth="1"/>
    <col min="12290" max="12301" width="10.85546875" style="224" customWidth="1"/>
    <col min="12302" max="12302" width="9.140625" style="224" customWidth="1"/>
    <col min="12303" max="12544" width="9.140625" style="224"/>
    <col min="12545" max="12545" width="14.7109375" style="224" customWidth="1"/>
    <col min="12546" max="12557" width="10.85546875" style="224" customWidth="1"/>
    <col min="12558" max="12558" width="9.140625" style="224" customWidth="1"/>
    <col min="12559" max="12800" width="9.140625" style="224"/>
    <col min="12801" max="12801" width="14.7109375" style="224" customWidth="1"/>
    <col min="12802" max="12813" width="10.85546875" style="224" customWidth="1"/>
    <col min="12814" max="12814" width="9.140625" style="224" customWidth="1"/>
    <col min="12815" max="13056" width="9.140625" style="224"/>
    <col min="13057" max="13057" width="14.7109375" style="224" customWidth="1"/>
    <col min="13058" max="13069" width="10.85546875" style="224" customWidth="1"/>
    <col min="13070" max="13070" width="9.140625" style="224" customWidth="1"/>
    <col min="13071" max="13312" width="9.140625" style="224"/>
    <col min="13313" max="13313" width="14.7109375" style="224" customWidth="1"/>
    <col min="13314" max="13325" width="10.85546875" style="224" customWidth="1"/>
    <col min="13326" max="13326" width="9.140625" style="224" customWidth="1"/>
    <col min="13327" max="13568" width="9.140625" style="224"/>
    <col min="13569" max="13569" width="14.7109375" style="224" customWidth="1"/>
    <col min="13570" max="13581" width="10.85546875" style="224" customWidth="1"/>
    <col min="13582" max="13582" width="9.140625" style="224" customWidth="1"/>
    <col min="13583" max="13824" width="9.140625" style="224"/>
    <col min="13825" max="13825" width="14.7109375" style="224" customWidth="1"/>
    <col min="13826" max="13837" width="10.85546875" style="224" customWidth="1"/>
    <col min="13838" max="13838" width="9.140625" style="224" customWidth="1"/>
    <col min="13839" max="14080" width="9.140625" style="224"/>
    <col min="14081" max="14081" width="14.7109375" style="224" customWidth="1"/>
    <col min="14082" max="14093" width="10.85546875" style="224" customWidth="1"/>
    <col min="14094" max="14094" width="9.140625" style="224" customWidth="1"/>
    <col min="14095" max="14336" width="9.140625" style="224"/>
    <col min="14337" max="14337" width="14.7109375" style="224" customWidth="1"/>
    <col min="14338" max="14349" width="10.85546875" style="224" customWidth="1"/>
    <col min="14350" max="14350" width="9.140625" style="224" customWidth="1"/>
    <col min="14351" max="14592" width="9.140625" style="224"/>
    <col min="14593" max="14593" width="14.7109375" style="224" customWidth="1"/>
    <col min="14594" max="14605" width="10.85546875" style="224" customWidth="1"/>
    <col min="14606" max="14606" width="9.140625" style="224" customWidth="1"/>
    <col min="14607" max="14848" width="9.140625" style="224"/>
    <col min="14849" max="14849" width="14.7109375" style="224" customWidth="1"/>
    <col min="14850" max="14861" width="10.85546875" style="224" customWidth="1"/>
    <col min="14862" max="14862" width="9.140625" style="224" customWidth="1"/>
    <col min="14863" max="15104" width="9.140625" style="224"/>
    <col min="15105" max="15105" width="14.7109375" style="224" customWidth="1"/>
    <col min="15106" max="15117" width="10.85546875" style="224" customWidth="1"/>
    <col min="15118" max="15118" width="9.140625" style="224" customWidth="1"/>
    <col min="15119" max="15360" width="9.140625" style="224"/>
    <col min="15361" max="15361" width="14.7109375" style="224" customWidth="1"/>
    <col min="15362" max="15373" width="10.85546875" style="224" customWidth="1"/>
    <col min="15374" max="15374" width="9.140625" style="224" customWidth="1"/>
    <col min="15375" max="15616" width="9.140625" style="224"/>
    <col min="15617" max="15617" width="14.7109375" style="224" customWidth="1"/>
    <col min="15618" max="15629" width="10.85546875" style="224" customWidth="1"/>
    <col min="15630" max="15630" width="9.140625" style="224" customWidth="1"/>
    <col min="15631" max="15872" width="9.140625" style="224"/>
    <col min="15873" max="15873" width="14.7109375" style="224" customWidth="1"/>
    <col min="15874" max="15885" width="10.85546875" style="224" customWidth="1"/>
    <col min="15886" max="15886" width="9.140625" style="224" customWidth="1"/>
    <col min="15887" max="16128" width="9.140625" style="224"/>
    <col min="16129" max="16129" width="14.7109375" style="224" customWidth="1"/>
    <col min="16130" max="16141" width="10.85546875" style="224" customWidth="1"/>
    <col min="16142" max="16142" width="9.140625" style="224" customWidth="1"/>
    <col min="16143" max="16384" width="9.140625" style="224"/>
  </cols>
  <sheetData>
    <row r="1" spans="1:14" x14ac:dyDescent="0.25">
      <c r="A1" s="229" t="s">
        <v>325</v>
      </c>
      <c r="B1" s="230"/>
      <c r="C1" s="230"/>
      <c r="D1" s="230"/>
      <c r="E1" s="230"/>
      <c r="F1" s="230"/>
      <c r="G1" s="230"/>
      <c r="H1" s="230"/>
      <c r="I1" s="230"/>
      <c r="J1" s="230"/>
      <c r="K1" s="230"/>
      <c r="L1" s="230"/>
      <c r="M1" s="230"/>
      <c r="N1" s="230"/>
    </row>
    <row r="2" spans="1:14" x14ac:dyDescent="0.25">
      <c r="A2" s="229" t="s">
        <v>326</v>
      </c>
      <c r="B2" s="230"/>
      <c r="C2" s="230"/>
      <c r="D2" s="230"/>
      <c r="E2" s="230"/>
      <c r="F2" s="230"/>
      <c r="G2" s="230"/>
      <c r="H2" s="230"/>
      <c r="I2" s="230"/>
      <c r="J2" s="230"/>
      <c r="K2" s="230"/>
      <c r="L2" s="230"/>
      <c r="M2" s="230"/>
      <c r="N2" s="230"/>
    </row>
    <row r="3" spans="1:14" x14ac:dyDescent="0.25">
      <c r="A3" s="225" t="s">
        <v>0</v>
      </c>
      <c r="B3" s="225" t="s">
        <v>1</v>
      </c>
      <c r="C3" s="225" t="s">
        <v>2</v>
      </c>
      <c r="D3" s="225" t="s">
        <v>3</v>
      </c>
      <c r="E3" s="225" t="s">
        <v>4</v>
      </c>
      <c r="F3" s="225" t="s">
        <v>5</v>
      </c>
      <c r="G3" s="225" t="s">
        <v>6</v>
      </c>
      <c r="H3" s="225" t="s">
        <v>7</v>
      </c>
      <c r="I3" s="225" t="s">
        <v>8</v>
      </c>
      <c r="J3" s="225" t="s">
        <v>9</v>
      </c>
      <c r="K3" s="225" t="s">
        <v>10</v>
      </c>
      <c r="L3" s="225" t="s">
        <v>11</v>
      </c>
      <c r="M3" s="225" t="s">
        <v>12</v>
      </c>
      <c r="N3" s="225" t="s">
        <v>13</v>
      </c>
    </row>
    <row r="4" spans="1:14" x14ac:dyDescent="0.25">
      <c r="A4" s="225" t="s">
        <v>14</v>
      </c>
      <c r="B4" s="29">
        <v>498190</v>
      </c>
      <c r="C4" s="29">
        <v>788460</v>
      </c>
      <c r="D4" s="29">
        <v>163199</v>
      </c>
      <c r="E4" s="29">
        <v>275295</v>
      </c>
      <c r="F4" s="29">
        <v>412130</v>
      </c>
      <c r="G4" s="29">
        <v>735544</v>
      </c>
      <c r="H4" s="29">
        <v>966813</v>
      </c>
      <c r="I4" s="29">
        <v>2445</v>
      </c>
      <c r="J4" s="29">
        <v>147154</v>
      </c>
      <c r="K4" s="29">
        <v>257711</v>
      </c>
      <c r="L4" s="28" t="s">
        <v>15</v>
      </c>
      <c r="M4" s="28" t="s">
        <v>15</v>
      </c>
      <c r="N4" s="29">
        <v>4246941</v>
      </c>
    </row>
    <row r="5" spans="1:14" x14ac:dyDescent="0.25">
      <c r="A5" s="225" t="s">
        <v>16</v>
      </c>
      <c r="B5" s="29">
        <v>81777</v>
      </c>
      <c r="C5" s="29">
        <v>124481</v>
      </c>
      <c r="D5" s="29">
        <v>26710</v>
      </c>
      <c r="E5" s="29">
        <v>45606</v>
      </c>
      <c r="F5" s="29">
        <v>68570</v>
      </c>
      <c r="G5" s="29">
        <v>151980</v>
      </c>
      <c r="H5" s="29">
        <v>173067</v>
      </c>
      <c r="I5" s="29">
        <v>416</v>
      </c>
      <c r="J5" s="29">
        <v>25228</v>
      </c>
      <c r="K5" s="29">
        <v>43330</v>
      </c>
      <c r="L5" s="28" t="s">
        <v>15</v>
      </c>
      <c r="M5" s="28" t="s">
        <v>15</v>
      </c>
      <c r="N5" s="29">
        <v>741164</v>
      </c>
    </row>
    <row r="6" spans="1:14" x14ac:dyDescent="0.25">
      <c r="A6" s="225" t="s">
        <v>17</v>
      </c>
      <c r="B6" s="29">
        <v>651</v>
      </c>
      <c r="C6" s="29">
        <v>827</v>
      </c>
      <c r="D6" s="28" t="s">
        <v>15</v>
      </c>
      <c r="E6" s="29">
        <v>181</v>
      </c>
      <c r="F6" s="29">
        <v>61</v>
      </c>
      <c r="G6" s="29">
        <v>89</v>
      </c>
      <c r="H6" s="29">
        <v>1161</v>
      </c>
      <c r="I6" s="28" t="s">
        <v>15</v>
      </c>
      <c r="J6" s="28" t="s">
        <v>15</v>
      </c>
      <c r="K6" s="29">
        <v>27</v>
      </c>
      <c r="L6" s="28" t="s">
        <v>15</v>
      </c>
      <c r="M6" s="28" t="s">
        <v>15</v>
      </c>
      <c r="N6" s="29">
        <v>2997</v>
      </c>
    </row>
    <row r="7" spans="1:14" x14ac:dyDescent="0.25">
      <c r="A7" s="225" t="s">
        <v>18</v>
      </c>
      <c r="B7" s="29">
        <v>51803</v>
      </c>
      <c r="C7" s="29">
        <v>56755</v>
      </c>
      <c r="D7" s="29">
        <v>17426</v>
      </c>
      <c r="E7" s="29">
        <v>31184</v>
      </c>
      <c r="F7" s="29">
        <v>32677</v>
      </c>
      <c r="G7" s="29">
        <v>110921</v>
      </c>
      <c r="H7" s="29">
        <v>104727</v>
      </c>
      <c r="I7" s="29">
        <v>277</v>
      </c>
      <c r="J7" s="29">
        <v>11724</v>
      </c>
      <c r="K7" s="29">
        <v>19914</v>
      </c>
      <c r="L7" s="28" t="s">
        <v>15</v>
      </c>
      <c r="M7" s="28" t="s">
        <v>15</v>
      </c>
      <c r="N7" s="29">
        <v>437408</v>
      </c>
    </row>
    <row r="8" spans="1:14" x14ac:dyDescent="0.25">
      <c r="A8" s="225" t="s">
        <v>19</v>
      </c>
      <c r="B8" s="29">
        <v>19925</v>
      </c>
      <c r="C8" s="29">
        <v>42887</v>
      </c>
      <c r="D8" s="29">
        <v>10809</v>
      </c>
      <c r="E8" s="29">
        <v>15210</v>
      </c>
      <c r="F8" s="29">
        <v>22606</v>
      </c>
      <c r="G8" s="29">
        <v>38717</v>
      </c>
      <c r="H8" s="29">
        <v>52767</v>
      </c>
      <c r="I8" s="29">
        <v>106</v>
      </c>
      <c r="J8" s="29">
        <v>11037</v>
      </c>
      <c r="K8" s="29">
        <v>12865</v>
      </c>
      <c r="L8" s="28" t="s">
        <v>15</v>
      </c>
      <c r="M8" s="28" t="s">
        <v>15</v>
      </c>
      <c r="N8" s="29">
        <v>226929</v>
      </c>
    </row>
    <row r="9" spans="1:14" x14ac:dyDescent="0.25">
      <c r="A9" s="225" t="s">
        <v>20</v>
      </c>
      <c r="B9" s="28" t="s">
        <v>15</v>
      </c>
      <c r="C9" s="28" t="s">
        <v>15</v>
      </c>
      <c r="D9" s="28" t="s">
        <v>15</v>
      </c>
      <c r="E9" s="28" t="s">
        <v>15</v>
      </c>
      <c r="F9" s="28" t="s">
        <v>15</v>
      </c>
      <c r="G9" s="28" t="s">
        <v>15</v>
      </c>
      <c r="H9" s="28" t="s">
        <v>15</v>
      </c>
      <c r="I9" s="28" t="s">
        <v>15</v>
      </c>
      <c r="J9" s="28" t="s">
        <v>15</v>
      </c>
      <c r="K9" s="28" t="s">
        <v>15</v>
      </c>
      <c r="L9" s="29">
        <v>597037</v>
      </c>
      <c r="M9" s="28" t="s">
        <v>15</v>
      </c>
      <c r="N9" s="29">
        <v>597037</v>
      </c>
    </row>
    <row r="10" spans="1:14" x14ac:dyDescent="0.25">
      <c r="A10" s="225"/>
      <c r="B10" s="28"/>
      <c r="C10" s="28"/>
      <c r="D10" s="28"/>
      <c r="E10" s="28"/>
      <c r="F10" s="28"/>
      <c r="G10" s="28"/>
      <c r="H10" s="28"/>
      <c r="I10" s="28"/>
      <c r="J10" s="28"/>
      <c r="K10" s="28"/>
      <c r="L10" s="28"/>
      <c r="M10" s="28"/>
      <c r="N10" s="28"/>
    </row>
    <row r="11" spans="1:14" x14ac:dyDescent="0.25">
      <c r="A11" s="225" t="s">
        <v>21</v>
      </c>
      <c r="B11" s="29">
        <v>600</v>
      </c>
      <c r="C11" s="28" t="s">
        <v>15</v>
      </c>
      <c r="D11" s="29">
        <v>0</v>
      </c>
      <c r="E11" s="28" t="s">
        <v>15</v>
      </c>
      <c r="F11" s="29">
        <v>1246</v>
      </c>
      <c r="G11" s="29">
        <v>229642</v>
      </c>
      <c r="H11" s="29">
        <v>77124</v>
      </c>
      <c r="I11" s="29">
        <v>280</v>
      </c>
      <c r="J11" s="28" t="s">
        <v>15</v>
      </c>
      <c r="K11" s="28" t="s">
        <v>15</v>
      </c>
      <c r="L11" s="28" t="s">
        <v>15</v>
      </c>
      <c r="M11" s="28" t="s">
        <v>15</v>
      </c>
      <c r="N11" s="29">
        <v>308893</v>
      </c>
    </row>
    <row r="12" spans="1:14" x14ac:dyDescent="0.25">
      <c r="A12" s="225" t="s">
        <v>22</v>
      </c>
      <c r="B12" s="28" t="s">
        <v>15</v>
      </c>
      <c r="C12" s="28" t="s">
        <v>15</v>
      </c>
      <c r="D12" s="29">
        <v>145</v>
      </c>
      <c r="E12" s="29">
        <v>57</v>
      </c>
      <c r="F12" s="28" t="s">
        <v>15</v>
      </c>
      <c r="G12" s="29">
        <v>2444</v>
      </c>
      <c r="H12" s="29">
        <v>1714</v>
      </c>
      <c r="I12" s="28" t="s">
        <v>15</v>
      </c>
      <c r="J12" s="28" t="s">
        <v>15</v>
      </c>
      <c r="K12" s="28" t="s">
        <v>15</v>
      </c>
      <c r="L12" s="28" t="s">
        <v>15</v>
      </c>
      <c r="M12" s="28" t="s">
        <v>15</v>
      </c>
      <c r="N12" s="29">
        <v>4360</v>
      </c>
    </row>
    <row r="13" spans="1:14" x14ac:dyDescent="0.25">
      <c r="A13" s="225" t="s">
        <v>23</v>
      </c>
      <c r="B13" s="29">
        <v>804</v>
      </c>
      <c r="C13" s="29">
        <v>14448</v>
      </c>
      <c r="D13" s="29">
        <v>969</v>
      </c>
      <c r="E13" s="29">
        <v>5977</v>
      </c>
      <c r="F13" s="29">
        <v>5757</v>
      </c>
      <c r="G13" s="29">
        <v>31431</v>
      </c>
      <c r="H13" s="29">
        <v>36939</v>
      </c>
      <c r="I13" s="29">
        <v>119</v>
      </c>
      <c r="J13" s="29">
        <v>469</v>
      </c>
      <c r="K13" s="29">
        <v>3</v>
      </c>
      <c r="L13" s="28" t="s">
        <v>15</v>
      </c>
      <c r="M13" s="28" t="s">
        <v>15</v>
      </c>
      <c r="N13" s="29">
        <v>96915</v>
      </c>
    </row>
    <row r="14" spans="1:14" x14ac:dyDescent="0.25">
      <c r="A14" s="225" t="s">
        <v>24</v>
      </c>
      <c r="B14" s="29">
        <v>900</v>
      </c>
      <c r="C14" s="29">
        <v>64441</v>
      </c>
      <c r="D14" s="29">
        <v>1559</v>
      </c>
      <c r="E14" s="29">
        <v>2218</v>
      </c>
      <c r="F14" s="29">
        <v>5560</v>
      </c>
      <c r="G14" s="29">
        <v>39849</v>
      </c>
      <c r="H14" s="29">
        <v>20811</v>
      </c>
      <c r="I14" s="29">
        <v>33</v>
      </c>
      <c r="J14" s="29">
        <v>13987</v>
      </c>
      <c r="K14" s="29">
        <v>20868</v>
      </c>
      <c r="L14" s="28" t="s">
        <v>15</v>
      </c>
      <c r="M14" s="28" t="s">
        <v>15</v>
      </c>
      <c r="N14" s="29">
        <v>170226</v>
      </c>
    </row>
    <row r="15" spans="1:14" x14ac:dyDescent="0.25">
      <c r="A15" s="225" t="s">
        <v>25</v>
      </c>
      <c r="B15" s="29">
        <v>188</v>
      </c>
      <c r="C15" s="29">
        <v>154</v>
      </c>
      <c r="D15" s="29">
        <v>80</v>
      </c>
      <c r="E15" s="29">
        <v>24</v>
      </c>
      <c r="F15" s="29">
        <v>13</v>
      </c>
      <c r="G15" s="29">
        <v>26</v>
      </c>
      <c r="H15" s="29">
        <v>10</v>
      </c>
      <c r="I15" s="28" t="s">
        <v>15</v>
      </c>
      <c r="J15" s="29">
        <v>2128</v>
      </c>
      <c r="K15" s="29">
        <v>51</v>
      </c>
      <c r="L15" s="28" t="s">
        <v>15</v>
      </c>
      <c r="M15" s="28" t="s">
        <v>15</v>
      </c>
      <c r="N15" s="29">
        <v>2672</v>
      </c>
    </row>
    <row r="16" spans="1:14" x14ac:dyDescent="0.25">
      <c r="A16" s="225" t="s">
        <v>26</v>
      </c>
      <c r="B16" s="29">
        <v>2727</v>
      </c>
      <c r="C16" s="29">
        <v>900</v>
      </c>
      <c r="D16" s="28" t="s">
        <v>15</v>
      </c>
      <c r="E16" s="29">
        <v>417</v>
      </c>
      <c r="F16" s="29">
        <v>534</v>
      </c>
      <c r="G16" s="29">
        <v>899</v>
      </c>
      <c r="H16" s="29">
        <v>1550</v>
      </c>
      <c r="I16" s="28" t="s">
        <v>15</v>
      </c>
      <c r="J16" s="29">
        <v>174</v>
      </c>
      <c r="K16" s="29">
        <v>569</v>
      </c>
      <c r="L16" s="28" t="s">
        <v>15</v>
      </c>
      <c r="M16" s="28" t="s">
        <v>15</v>
      </c>
      <c r="N16" s="29">
        <v>7769</v>
      </c>
    </row>
    <row r="17" spans="1:14" x14ac:dyDescent="0.25">
      <c r="A17" s="225" t="s">
        <v>27</v>
      </c>
      <c r="B17" s="29">
        <v>11010</v>
      </c>
      <c r="C17" s="29">
        <v>40510</v>
      </c>
      <c r="D17" s="29">
        <v>3121</v>
      </c>
      <c r="E17" s="29">
        <v>3539</v>
      </c>
      <c r="F17" s="29">
        <v>34011</v>
      </c>
      <c r="G17" s="29">
        <v>1832</v>
      </c>
      <c r="H17" s="29">
        <v>36128</v>
      </c>
      <c r="I17" s="29">
        <v>11</v>
      </c>
      <c r="J17" s="29">
        <v>1527</v>
      </c>
      <c r="K17" s="29">
        <v>33894</v>
      </c>
      <c r="L17" s="28" t="s">
        <v>15</v>
      </c>
      <c r="M17" s="28" t="s">
        <v>15</v>
      </c>
      <c r="N17" s="29">
        <v>165584</v>
      </c>
    </row>
    <row r="18" spans="1:14" x14ac:dyDescent="0.25">
      <c r="A18" s="225"/>
      <c r="B18" s="28"/>
      <c r="C18" s="28"/>
      <c r="D18" s="28"/>
      <c r="E18" s="28"/>
      <c r="F18" s="28"/>
      <c r="G18" s="28"/>
      <c r="H18" s="28"/>
      <c r="I18" s="28"/>
      <c r="J18" s="28"/>
      <c r="K18" s="28"/>
      <c r="L18" s="28"/>
      <c r="M18" s="28"/>
      <c r="N18" s="28"/>
    </row>
    <row r="19" spans="1:14" x14ac:dyDescent="0.25">
      <c r="A19" s="225" t="s">
        <v>28</v>
      </c>
      <c r="B19" s="29">
        <v>2965</v>
      </c>
      <c r="C19" s="29">
        <v>324</v>
      </c>
      <c r="D19" s="29">
        <v>133</v>
      </c>
      <c r="E19" s="29">
        <v>61</v>
      </c>
      <c r="F19" s="29">
        <v>325</v>
      </c>
      <c r="G19" s="29">
        <v>467</v>
      </c>
      <c r="H19" s="29">
        <v>1818</v>
      </c>
      <c r="I19" s="28" t="s">
        <v>15</v>
      </c>
      <c r="J19" s="29">
        <v>121</v>
      </c>
      <c r="K19" s="29">
        <v>943</v>
      </c>
      <c r="L19" s="28" t="s">
        <v>15</v>
      </c>
      <c r="M19" s="28" t="s">
        <v>15</v>
      </c>
      <c r="N19" s="29">
        <v>7157</v>
      </c>
    </row>
    <row r="20" spans="1:14" x14ac:dyDescent="0.25">
      <c r="A20" s="225" t="s">
        <v>29</v>
      </c>
      <c r="B20" s="29">
        <v>2271</v>
      </c>
      <c r="C20" s="29">
        <v>271</v>
      </c>
      <c r="D20" s="29">
        <v>47</v>
      </c>
      <c r="E20" s="29">
        <v>30</v>
      </c>
      <c r="F20" s="29">
        <v>4763</v>
      </c>
      <c r="G20" s="29">
        <v>701</v>
      </c>
      <c r="H20" s="29">
        <v>304</v>
      </c>
      <c r="I20" s="28" t="s">
        <v>15</v>
      </c>
      <c r="J20" s="29">
        <v>68</v>
      </c>
      <c r="K20" s="29">
        <v>139</v>
      </c>
      <c r="L20" s="28" t="s">
        <v>15</v>
      </c>
      <c r="M20" s="28" t="s">
        <v>15</v>
      </c>
      <c r="N20" s="29">
        <v>8593</v>
      </c>
    </row>
    <row r="21" spans="1:14" x14ac:dyDescent="0.25">
      <c r="A21" s="225" t="s">
        <v>30</v>
      </c>
      <c r="B21" s="29">
        <v>663</v>
      </c>
      <c r="C21" s="29">
        <v>396</v>
      </c>
      <c r="D21" s="29">
        <v>139</v>
      </c>
      <c r="E21" s="29">
        <v>172</v>
      </c>
      <c r="F21" s="29">
        <v>158</v>
      </c>
      <c r="G21" s="29">
        <v>264</v>
      </c>
      <c r="H21" s="29">
        <v>187</v>
      </c>
      <c r="I21" s="28" t="s">
        <v>15</v>
      </c>
      <c r="J21" s="29">
        <v>117</v>
      </c>
      <c r="K21" s="29">
        <v>305</v>
      </c>
      <c r="L21" s="28" t="s">
        <v>15</v>
      </c>
      <c r="M21" s="28" t="s">
        <v>15</v>
      </c>
      <c r="N21" s="29">
        <v>2401</v>
      </c>
    </row>
    <row r="22" spans="1:14" x14ac:dyDescent="0.25">
      <c r="A22" s="225" t="s">
        <v>31</v>
      </c>
      <c r="B22" s="29">
        <v>25709</v>
      </c>
      <c r="C22" s="29">
        <v>10366</v>
      </c>
      <c r="D22" s="28" t="s">
        <v>15</v>
      </c>
      <c r="E22" s="29">
        <v>3886</v>
      </c>
      <c r="F22" s="29">
        <v>1506</v>
      </c>
      <c r="G22" s="29">
        <v>1268</v>
      </c>
      <c r="H22" s="29">
        <v>3415</v>
      </c>
      <c r="I22" s="28" t="s">
        <v>15</v>
      </c>
      <c r="J22" s="29">
        <v>138</v>
      </c>
      <c r="K22" s="29">
        <v>3229</v>
      </c>
      <c r="L22" s="28" t="s">
        <v>15</v>
      </c>
      <c r="M22" s="28" t="s">
        <v>15</v>
      </c>
      <c r="N22" s="29">
        <v>49517</v>
      </c>
    </row>
    <row r="23" spans="1:14" x14ac:dyDescent="0.25">
      <c r="A23" s="225"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25"/>
      <c r="B24" s="28"/>
      <c r="C24" s="28"/>
      <c r="D24" s="28"/>
      <c r="E24" s="28"/>
      <c r="F24" s="28"/>
      <c r="G24" s="28"/>
      <c r="H24" s="28"/>
      <c r="I24" s="28"/>
      <c r="J24" s="28"/>
      <c r="K24" s="28"/>
      <c r="L24" s="28"/>
      <c r="M24" s="28"/>
      <c r="N24" s="28"/>
    </row>
    <row r="25" spans="1:14" x14ac:dyDescent="0.25">
      <c r="A25" s="225" t="s">
        <v>33</v>
      </c>
      <c r="B25" s="29">
        <v>1942</v>
      </c>
      <c r="C25" s="29">
        <v>204</v>
      </c>
      <c r="D25" s="29">
        <v>15</v>
      </c>
      <c r="E25" s="28" t="s">
        <v>15</v>
      </c>
      <c r="F25" s="28" t="s">
        <v>15</v>
      </c>
      <c r="G25" s="29">
        <v>0</v>
      </c>
      <c r="H25" s="29">
        <v>2941</v>
      </c>
      <c r="I25" s="28" t="s">
        <v>15</v>
      </c>
      <c r="J25" s="29">
        <v>0</v>
      </c>
      <c r="K25" s="29">
        <v>0</v>
      </c>
      <c r="L25" s="28" t="s">
        <v>15</v>
      </c>
      <c r="M25" s="28" t="s">
        <v>15</v>
      </c>
      <c r="N25" s="29">
        <v>5101</v>
      </c>
    </row>
    <row r="26" spans="1:14" x14ac:dyDescent="0.25">
      <c r="A26" s="225" t="s">
        <v>35</v>
      </c>
      <c r="B26" s="28" t="s">
        <v>15</v>
      </c>
      <c r="C26" s="28" t="s">
        <v>15</v>
      </c>
      <c r="D26" s="28" t="s">
        <v>15</v>
      </c>
      <c r="E26" s="28" t="s">
        <v>15</v>
      </c>
      <c r="F26" s="28" t="s">
        <v>15</v>
      </c>
      <c r="G26" s="28" t="s">
        <v>15</v>
      </c>
      <c r="H26" s="28" t="s">
        <v>15</v>
      </c>
      <c r="I26" s="28" t="s">
        <v>15</v>
      </c>
      <c r="J26" s="29">
        <v>38352</v>
      </c>
      <c r="K26" s="28" t="s">
        <v>15</v>
      </c>
      <c r="L26" s="28" t="s">
        <v>15</v>
      </c>
      <c r="M26" s="28" t="s">
        <v>15</v>
      </c>
      <c r="N26" s="29">
        <v>38352</v>
      </c>
    </row>
    <row r="27" spans="1:14" x14ac:dyDescent="0.25">
      <c r="A27" s="225" t="s">
        <v>36</v>
      </c>
      <c r="B27" s="28" t="s">
        <v>15</v>
      </c>
      <c r="C27" s="28" t="s">
        <v>15</v>
      </c>
      <c r="D27" s="28" t="s">
        <v>15</v>
      </c>
      <c r="E27" s="28" t="s">
        <v>15</v>
      </c>
      <c r="F27" s="28" t="s">
        <v>15</v>
      </c>
      <c r="G27" s="28" t="s">
        <v>15</v>
      </c>
      <c r="H27" s="28" t="s">
        <v>15</v>
      </c>
      <c r="I27" s="28" t="s">
        <v>15</v>
      </c>
      <c r="J27" s="29">
        <v>132178</v>
      </c>
      <c r="K27" s="28" t="s">
        <v>15</v>
      </c>
      <c r="L27" s="28" t="s">
        <v>15</v>
      </c>
      <c r="M27" s="28" t="s">
        <v>15</v>
      </c>
      <c r="N27" s="29">
        <v>132178</v>
      </c>
    </row>
    <row r="28" spans="1:14" x14ac:dyDescent="0.25">
      <c r="A28" s="225" t="s">
        <v>37</v>
      </c>
      <c r="B28" s="29">
        <v>1213</v>
      </c>
      <c r="C28" s="29">
        <v>-25221</v>
      </c>
      <c r="D28" s="29">
        <v>109121</v>
      </c>
      <c r="E28" s="29">
        <v>34762</v>
      </c>
      <c r="F28" s="29">
        <v>58176</v>
      </c>
      <c r="G28" s="29">
        <v>23703</v>
      </c>
      <c r="H28" s="29">
        <v>755</v>
      </c>
      <c r="I28" s="29">
        <v>30654</v>
      </c>
      <c r="J28" s="29">
        <v>3698</v>
      </c>
      <c r="K28" s="29">
        <v>189</v>
      </c>
      <c r="L28" s="28" t="s">
        <v>15</v>
      </c>
      <c r="M28" s="28" t="s">
        <v>15</v>
      </c>
      <c r="N28" s="29">
        <v>237051</v>
      </c>
    </row>
    <row r="29" spans="1:14" x14ac:dyDescent="0.25">
      <c r="A29" s="225" t="s">
        <v>38</v>
      </c>
      <c r="B29" s="29">
        <v>3365</v>
      </c>
      <c r="C29" s="29">
        <v>59770</v>
      </c>
      <c r="D29" s="29">
        <v>19900</v>
      </c>
      <c r="E29" s="29">
        <v>2736</v>
      </c>
      <c r="F29" s="29">
        <v>53841</v>
      </c>
      <c r="G29" s="29">
        <v>5946</v>
      </c>
      <c r="H29" s="29">
        <v>5208</v>
      </c>
      <c r="I29" s="28" t="s">
        <v>15</v>
      </c>
      <c r="J29" s="29">
        <v>62837</v>
      </c>
      <c r="K29" s="29">
        <v>21976</v>
      </c>
      <c r="L29" s="28" t="s">
        <v>15</v>
      </c>
      <c r="M29" s="28" t="s">
        <v>15</v>
      </c>
      <c r="N29" s="29">
        <v>235579</v>
      </c>
    </row>
    <row r="30" spans="1:14" x14ac:dyDescent="0.25">
      <c r="A30" s="225" t="s">
        <v>39</v>
      </c>
      <c r="B30" s="29">
        <v>244</v>
      </c>
      <c r="C30" s="28" t="s">
        <v>15</v>
      </c>
      <c r="D30" s="28" t="s">
        <v>15</v>
      </c>
      <c r="E30" s="28" t="s">
        <v>15</v>
      </c>
      <c r="F30" s="28" t="s">
        <v>15</v>
      </c>
      <c r="G30" s="28" t="s">
        <v>15</v>
      </c>
      <c r="H30" s="28" t="s">
        <v>15</v>
      </c>
      <c r="I30" s="28" t="s">
        <v>15</v>
      </c>
      <c r="J30" s="28" t="s">
        <v>15</v>
      </c>
      <c r="K30" s="28" t="s">
        <v>15</v>
      </c>
      <c r="L30" s="28" t="s">
        <v>15</v>
      </c>
      <c r="M30" s="28" t="s">
        <v>15</v>
      </c>
      <c r="N30" s="29">
        <v>244</v>
      </c>
    </row>
    <row r="31" spans="1:14" x14ac:dyDescent="0.25">
      <c r="A31" s="225" t="s">
        <v>40</v>
      </c>
      <c r="B31" s="28" t="s">
        <v>15</v>
      </c>
      <c r="C31" s="28" t="s">
        <v>15</v>
      </c>
      <c r="D31" s="28" t="s">
        <v>15</v>
      </c>
      <c r="E31" s="28" t="s">
        <v>15</v>
      </c>
      <c r="F31" s="28" t="s">
        <v>15</v>
      </c>
      <c r="G31" s="29">
        <v>45711</v>
      </c>
      <c r="H31" s="28" t="s">
        <v>15</v>
      </c>
      <c r="I31" s="29">
        <v>1028535</v>
      </c>
      <c r="J31" s="29">
        <v>28056</v>
      </c>
      <c r="K31" s="28" t="s">
        <v>15</v>
      </c>
      <c r="L31" s="28" t="s">
        <v>15</v>
      </c>
      <c r="M31" s="28" t="s">
        <v>15</v>
      </c>
      <c r="N31" s="29">
        <v>1102303</v>
      </c>
    </row>
    <row r="32" spans="1:14" x14ac:dyDescent="0.25">
      <c r="A32" s="225" t="s">
        <v>41</v>
      </c>
      <c r="B32" s="28" t="s">
        <v>15</v>
      </c>
      <c r="C32" s="29">
        <v>21186</v>
      </c>
      <c r="D32" s="29">
        <v>40</v>
      </c>
      <c r="E32" s="28" t="s">
        <v>15</v>
      </c>
      <c r="F32" s="29">
        <v>240</v>
      </c>
      <c r="G32" s="29">
        <v>37539</v>
      </c>
      <c r="H32" s="29">
        <v>16</v>
      </c>
      <c r="I32" s="28" t="s">
        <v>15</v>
      </c>
      <c r="J32" s="29">
        <v>1</v>
      </c>
      <c r="K32" s="28" t="s">
        <v>15</v>
      </c>
      <c r="L32" s="28" t="s">
        <v>15</v>
      </c>
      <c r="M32" s="28" t="s">
        <v>15</v>
      </c>
      <c r="N32" s="29">
        <v>59023</v>
      </c>
    </row>
    <row r="33" spans="1:14" x14ac:dyDescent="0.25">
      <c r="A33" s="225" t="s">
        <v>43</v>
      </c>
      <c r="B33" s="29">
        <v>14901</v>
      </c>
      <c r="C33" s="29">
        <v>156055</v>
      </c>
      <c r="D33" s="29">
        <v>21645</v>
      </c>
      <c r="E33" s="29">
        <v>47326</v>
      </c>
      <c r="F33" s="29">
        <v>128757</v>
      </c>
      <c r="G33" s="29">
        <v>126512</v>
      </c>
      <c r="H33" s="29">
        <v>71661</v>
      </c>
      <c r="I33" s="28" t="s">
        <v>15</v>
      </c>
      <c r="J33" s="29">
        <v>86460</v>
      </c>
      <c r="K33" s="29">
        <v>14237</v>
      </c>
      <c r="L33" s="28" t="s">
        <v>15</v>
      </c>
      <c r="M33" s="28" t="s">
        <v>15</v>
      </c>
      <c r="N33" s="29">
        <v>667555</v>
      </c>
    </row>
    <row r="34" spans="1:14" x14ac:dyDescent="0.25">
      <c r="A34" s="225" t="s">
        <v>44</v>
      </c>
      <c r="B34" s="28" t="s">
        <v>15</v>
      </c>
      <c r="C34" s="29">
        <v>40097</v>
      </c>
      <c r="D34" s="29">
        <v>17503</v>
      </c>
      <c r="E34" s="29">
        <v>175</v>
      </c>
      <c r="F34" s="29">
        <v>9468</v>
      </c>
      <c r="G34" s="28" t="s">
        <v>15</v>
      </c>
      <c r="H34" s="29">
        <v>3960347</v>
      </c>
      <c r="I34" s="28" t="s">
        <v>15</v>
      </c>
      <c r="J34" s="28" t="s">
        <v>15</v>
      </c>
      <c r="K34" s="29">
        <v>19551</v>
      </c>
      <c r="L34" s="28" t="s">
        <v>15</v>
      </c>
      <c r="M34" s="28" t="s">
        <v>15</v>
      </c>
      <c r="N34" s="29">
        <v>4047141</v>
      </c>
    </row>
    <row r="35" spans="1:14" x14ac:dyDescent="0.25">
      <c r="A35" s="225" t="s">
        <v>45</v>
      </c>
      <c r="B35" s="28" t="s">
        <v>15</v>
      </c>
      <c r="C35" s="28" t="s">
        <v>15</v>
      </c>
      <c r="D35" s="28" t="s">
        <v>15</v>
      </c>
      <c r="E35" s="29">
        <v>22227</v>
      </c>
      <c r="F35" s="29">
        <v>37333</v>
      </c>
      <c r="G35" s="28" t="s">
        <v>15</v>
      </c>
      <c r="H35" s="28" t="s">
        <v>15</v>
      </c>
      <c r="I35" s="28" t="s">
        <v>15</v>
      </c>
      <c r="J35" s="28" t="s">
        <v>15</v>
      </c>
      <c r="K35" s="28" t="s">
        <v>15</v>
      </c>
      <c r="L35" s="28" t="s">
        <v>15</v>
      </c>
      <c r="M35" s="28" t="s">
        <v>15</v>
      </c>
      <c r="N35" s="29">
        <v>59561</v>
      </c>
    </row>
    <row r="36" spans="1:14" x14ac:dyDescent="0.25">
      <c r="A36" s="225" t="s">
        <v>46</v>
      </c>
      <c r="B36" s="28" t="s">
        <v>15</v>
      </c>
      <c r="C36" s="28" t="s">
        <v>15</v>
      </c>
      <c r="D36" s="28" t="s">
        <v>15</v>
      </c>
      <c r="E36" s="29">
        <v>4206</v>
      </c>
      <c r="F36" s="29">
        <v>8852</v>
      </c>
      <c r="G36" s="28" t="s">
        <v>15</v>
      </c>
      <c r="H36" s="28" t="s">
        <v>15</v>
      </c>
      <c r="I36" s="28" t="s">
        <v>15</v>
      </c>
      <c r="J36" s="28" t="s">
        <v>15</v>
      </c>
      <c r="K36" s="28" t="s">
        <v>15</v>
      </c>
      <c r="L36" s="28" t="s">
        <v>15</v>
      </c>
      <c r="M36" s="28" t="s">
        <v>15</v>
      </c>
      <c r="N36" s="29">
        <v>13058</v>
      </c>
    </row>
    <row r="37" spans="1:14" x14ac:dyDescent="0.25">
      <c r="A37" s="225" t="s">
        <v>47</v>
      </c>
      <c r="B37" s="28" t="s">
        <v>15</v>
      </c>
      <c r="C37" s="28" t="s">
        <v>15</v>
      </c>
      <c r="D37" s="28" t="s">
        <v>15</v>
      </c>
      <c r="E37" s="28" t="s">
        <v>15</v>
      </c>
      <c r="F37" s="28" t="s">
        <v>15</v>
      </c>
      <c r="G37" s="28" t="s">
        <v>15</v>
      </c>
      <c r="H37" s="28" t="s">
        <v>15</v>
      </c>
      <c r="I37" s="29">
        <v>194859</v>
      </c>
      <c r="J37" s="28" t="s">
        <v>15</v>
      </c>
      <c r="K37" s="28" t="s">
        <v>15</v>
      </c>
      <c r="L37" s="28" t="s">
        <v>15</v>
      </c>
      <c r="M37" s="28" t="s">
        <v>15</v>
      </c>
      <c r="N37" s="29">
        <v>194859</v>
      </c>
    </row>
    <row r="38" spans="1:14" x14ac:dyDescent="0.25">
      <c r="A38" s="225"/>
      <c r="B38" s="28"/>
      <c r="C38" s="28"/>
      <c r="D38" s="28"/>
      <c r="E38" s="28"/>
      <c r="F38" s="28"/>
      <c r="G38" s="28"/>
      <c r="H38" s="28"/>
      <c r="I38" s="28"/>
      <c r="J38" s="28"/>
      <c r="K38" s="28"/>
      <c r="L38" s="28"/>
      <c r="M38" s="28"/>
      <c r="N38" s="28"/>
    </row>
    <row r="39" spans="1:14" x14ac:dyDescent="0.25">
      <c r="A39" s="225" t="s">
        <v>48</v>
      </c>
      <c r="B39" s="29">
        <v>314</v>
      </c>
      <c r="C39" s="28" t="s">
        <v>15</v>
      </c>
      <c r="D39" s="28" t="s">
        <v>15</v>
      </c>
      <c r="E39" s="28" t="s">
        <v>15</v>
      </c>
      <c r="F39" s="28" t="s">
        <v>15</v>
      </c>
      <c r="G39" s="28" t="s">
        <v>15</v>
      </c>
      <c r="H39" s="28" t="s">
        <v>15</v>
      </c>
      <c r="I39" s="28" t="s">
        <v>15</v>
      </c>
      <c r="J39" s="28" t="s">
        <v>15</v>
      </c>
      <c r="K39" s="28" t="s">
        <v>15</v>
      </c>
      <c r="L39" s="28" t="s">
        <v>15</v>
      </c>
      <c r="M39" s="28" t="s">
        <v>15</v>
      </c>
      <c r="N39" s="29">
        <v>314</v>
      </c>
    </row>
    <row r="40" spans="1:14" x14ac:dyDescent="0.25">
      <c r="A40" s="225"/>
      <c r="B40" s="29"/>
      <c r="C40" s="28"/>
      <c r="D40" s="28"/>
      <c r="E40" s="28"/>
      <c r="F40" s="28"/>
      <c r="G40" s="28"/>
      <c r="H40" s="28"/>
      <c r="I40" s="28"/>
      <c r="J40" s="28"/>
      <c r="K40" s="28"/>
      <c r="L40" s="28"/>
      <c r="M40" s="28"/>
      <c r="N40" s="29"/>
    </row>
    <row r="41" spans="1:14" x14ac:dyDescent="0.25">
      <c r="A41" s="225" t="s">
        <v>49</v>
      </c>
      <c r="B41" s="28" t="s">
        <v>15</v>
      </c>
      <c r="C41" s="28" t="s">
        <v>15</v>
      </c>
      <c r="D41" s="28" t="s">
        <v>15</v>
      </c>
      <c r="E41" s="28" t="s">
        <v>15</v>
      </c>
      <c r="F41" s="28" t="s">
        <v>15</v>
      </c>
      <c r="G41" s="28" t="s">
        <v>15</v>
      </c>
      <c r="H41" s="28" t="s">
        <v>15</v>
      </c>
      <c r="I41" s="29">
        <v>89788</v>
      </c>
      <c r="J41" s="28" t="s">
        <v>15</v>
      </c>
      <c r="K41" s="28" t="s">
        <v>15</v>
      </c>
      <c r="L41" s="28" t="s">
        <v>15</v>
      </c>
      <c r="M41" s="28" t="s">
        <v>15</v>
      </c>
      <c r="N41" s="29">
        <v>89788</v>
      </c>
    </row>
    <row r="42" spans="1:14" x14ac:dyDescent="0.25">
      <c r="A42" s="225" t="s">
        <v>50</v>
      </c>
      <c r="B42" s="29">
        <v>3920</v>
      </c>
      <c r="C42" s="29">
        <v>2368</v>
      </c>
      <c r="D42" s="29">
        <v>3</v>
      </c>
      <c r="E42" s="29">
        <v>126</v>
      </c>
      <c r="F42" s="29">
        <v>1384</v>
      </c>
      <c r="G42" s="29">
        <v>105</v>
      </c>
      <c r="H42" s="29">
        <v>547</v>
      </c>
      <c r="I42" s="28" t="s">
        <v>15</v>
      </c>
      <c r="J42" s="29">
        <v>73</v>
      </c>
      <c r="K42" s="29">
        <v>1067</v>
      </c>
      <c r="L42" s="28" t="s">
        <v>15</v>
      </c>
      <c r="M42" s="28" t="s">
        <v>15</v>
      </c>
      <c r="N42" s="29">
        <v>9595</v>
      </c>
    </row>
    <row r="43" spans="1:14" x14ac:dyDescent="0.25">
      <c r="A43" s="225" t="s">
        <v>51</v>
      </c>
      <c r="B43" s="29">
        <v>1326</v>
      </c>
      <c r="C43" s="29">
        <v>192</v>
      </c>
      <c r="D43" s="29">
        <v>1</v>
      </c>
      <c r="E43" s="29">
        <v>16</v>
      </c>
      <c r="F43" s="29">
        <v>21</v>
      </c>
      <c r="G43" s="29">
        <v>25</v>
      </c>
      <c r="H43" s="29">
        <v>120</v>
      </c>
      <c r="I43" s="28" t="s">
        <v>15</v>
      </c>
      <c r="J43" s="29">
        <v>5</v>
      </c>
      <c r="K43" s="29">
        <v>258</v>
      </c>
      <c r="L43" s="28" t="s">
        <v>15</v>
      </c>
      <c r="M43" s="28" t="s">
        <v>15</v>
      </c>
      <c r="N43" s="29">
        <v>1964</v>
      </c>
    </row>
    <row r="44" spans="1:14" x14ac:dyDescent="0.25">
      <c r="A44" s="225" t="s">
        <v>52</v>
      </c>
      <c r="B44" s="29">
        <v>422</v>
      </c>
      <c r="C44" s="29">
        <v>179</v>
      </c>
      <c r="D44" s="29">
        <v>1</v>
      </c>
      <c r="E44" s="29">
        <v>6</v>
      </c>
      <c r="F44" s="29">
        <v>28</v>
      </c>
      <c r="G44" s="29">
        <v>29</v>
      </c>
      <c r="H44" s="29">
        <v>65</v>
      </c>
      <c r="I44" s="28" t="s">
        <v>15</v>
      </c>
      <c r="J44" s="29">
        <v>2</v>
      </c>
      <c r="K44" s="29">
        <v>135</v>
      </c>
      <c r="L44" s="28" t="s">
        <v>15</v>
      </c>
      <c r="M44" s="28" t="s">
        <v>15</v>
      </c>
      <c r="N44" s="29">
        <v>866</v>
      </c>
    </row>
    <row r="45" spans="1:14" x14ac:dyDescent="0.25">
      <c r="A45" s="225" t="s">
        <v>53</v>
      </c>
      <c r="B45" s="29">
        <v>3359</v>
      </c>
      <c r="C45" s="29">
        <v>36</v>
      </c>
      <c r="D45" s="28" t="s">
        <v>15</v>
      </c>
      <c r="E45" s="28" t="s">
        <v>15</v>
      </c>
      <c r="F45" s="28" t="s">
        <v>15</v>
      </c>
      <c r="G45" s="28" t="s">
        <v>15</v>
      </c>
      <c r="H45" s="28" t="s">
        <v>15</v>
      </c>
      <c r="I45" s="28" t="s">
        <v>15</v>
      </c>
      <c r="J45" s="29">
        <v>291</v>
      </c>
      <c r="K45" s="29">
        <v>6</v>
      </c>
      <c r="L45" s="28" t="s">
        <v>15</v>
      </c>
      <c r="M45" s="28" t="s">
        <v>15</v>
      </c>
      <c r="N45" s="29">
        <v>3692</v>
      </c>
    </row>
    <row r="46" spans="1:14" x14ac:dyDescent="0.25">
      <c r="A46" s="225" t="s">
        <v>54</v>
      </c>
      <c r="B46" s="29">
        <v>2195</v>
      </c>
      <c r="C46" s="29">
        <v>205</v>
      </c>
      <c r="D46" s="28" t="s">
        <v>15</v>
      </c>
      <c r="E46" s="28" t="s">
        <v>15</v>
      </c>
      <c r="F46" s="28" t="s">
        <v>15</v>
      </c>
      <c r="G46" s="28" t="s">
        <v>15</v>
      </c>
      <c r="H46" s="29">
        <v>193</v>
      </c>
      <c r="I46" s="28" t="s">
        <v>15</v>
      </c>
      <c r="J46" s="29">
        <v>26</v>
      </c>
      <c r="K46" s="29">
        <v>112</v>
      </c>
      <c r="L46" s="28" t="s">
        <v>15</v>
      </c>
      <c r="M46" s="28" t="s">
        <v>15</v>
      </c>
      <c r="N46" s="29">
        <v>2731</v>
      </c>
    </row>
    <row r="47" spans="1:14" x14ac:dyDescent="0.25">
      <c r="A47" s="225" t="s">
        <v>55</v>
      </c>
      <c r="B47" s="29">
        <v>425</v>
      </c>
      <c r="C47" s="28" t="s">
        <v>15</v>
      </c>
      <c r="D47" s="28" t="s">
        <v>15</v>
      </c>
      <c r="E47" s="29">
        <v>55</v>
      </c>
      <c r="F47" s="28" t="s">
        <v>15</v>
      </c>
      <c r="G47" s="28" t="s">
        <v>15</v>
      </c>
      <c r="H47" s="28" t="s">
        <v>15</v>
      </c>
      <c r="I47" s="28" t="s">
        <v>15</v>
      </c>
      <c r="J47" s="29">
        <v>85</v>
      </c>
      <c r="K47" s="28" t="s">
        <v>15</v>
      </c>
      <c r="L47" s="28" t="s">
        <v>15</v>
      </c>
      <c r="M47" s="28" t="s">
        <v>15</v>
      </c>
      <c r="N47" s="29">
        <v>565</v>
      </c>
    </row>
    <row r="48" spans="1:14" x14ac:dyDescent="0.25">
      <c r="A48" s="225"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25" t="s">
        <v>57</v>
      </c>
      <c r="B49" s="28" t="s">
        <v>15</v>
      </c>
      <c r="C49" s="28" t="s">
        <v>15</v>
      </c>
      <c r="D49" s="28" t="s">
        <v>15</v>
      </c>
      <c r="E49" s="28" t="s">
        <v>15</v>
      </c>
      <c r="F49" s="28" t="s">
        <v>15</v>
      </c>
      <c r="G49" s="28" t="s">
        <v>15</v>
      </c>
      <c r="H49" s="28" t="s">
        <v>15</v>
      </c>
      <c r="I49" s="29">
        <v>44129</v>
      </c>
      <c r="J49" s="28" t="s">
        <v>15</v>
      </c>
      <c r="K49" s="28" t="s">
        <v>15</v>
      </c>
      <c r="L49" s="28" t="s">
        <v>15</v>
      </c>
      <c r="M49" s="28" t="s">
        <v>15</v>
      </c>
      <c r="N49" s="29">
        <v>44129</v>
      </c>
    </row>
    <row r="50" spans="1:14" x14ac:dyDescent="0.25">
      <c r="A50" s="225" t="s">
        <v>58</v>
      </c>
      <c r="B50" s="28" t="s">
        <v>15</v>
      </c>
      <c r="C50" s="28" t="s">
        <v>15</v>
      </c>
      <c r="D50" s="28" t="s">
        <v>15</v>
      </c>
      <c r="E50" s="28" t="s">
        <v>15</v>
      </c>
      <c r="F50" s="28" t="s">
        <v>15</v>
      </c>
      <c r="G50" s="28" t="s">
        <v>15</v>
      </c>
      <c r="H50" s="28" t="s">
        <v>15</v>
      </c>
      <c r="I50" s="29">
        <v>243458</v>
      </c>
      <c r="J50" s="28" t="s">
        <v>15</v>
      </c>
      <c r="K50" s="28" t="s">
        <v>15</v>
      </c>
      <c r="L50" s="28" t="s">
        <v>15</v>
      </c>
      <c r="M50" s="28" t="s">
        <v>15</v>
      </c>
      <c r="N50" s="29">
        <v>243458</v>
      </c>
    </row>
    <row r="51" spans="1:14" x14ac:dyDescent="0.25">
      <c r="A51" s="225" t="s">
        <v>59</v>
      </c>
      <c r="B51" s="28" t="s">
        <v>15</v>
      </c>
      <c r="C51" s="28" t="s">
        <v>15</v>
      </c>
      <c r="D51" s="29">
        <v>22856</v>
      </c>
      <c r="E51" s="29">
        <v>81612</v>
      </c>
      <c r="F51" s="28" t="s">
        <v>15</v>
      </c>
      <c r="G51" s="28" t="s">
        <v>15</v>
      </c>
      <c r="H51" s="28" t="s">
        <v>15</v>
      </c>
      <c r="I51" s="28" t="s">
        <v>15</v>
      </c>
      <c r="J51" s="28" t="s">
        <v>15</v>
      </c>
      <c r="K51" s="28" t="s">
        <v>15</v>
      </c>
      <c r="L51" s="28" t="s">
        <v>15</v>
      </c>
      <c r="M51" s="28" t="s">
        <v>15</v>
      </c>
      <c r="N51" s="29">
        <v>104468</v>
      </c>
    </row>
    <row r="52" spans="1:14" x14ac:dyDescent="0.25">
      <c r="A52" s="225" t="s">
        <v>60</v>
      </c>
      <c r="B52" s="29">
        <v>10</v>
      </c>
      <c r="C52" s="28" t="s">
        <v>15</v>
      </c>
      <c r="D52" s="29">
        <v>44851</v>
      </c>
      <c r="E52" s="29">
        <v>42082</v>
      </c>
      <c r="F52" s="28" t="s">
        <v>15</v>
      </c>
      <c r="G52" s="28" t="s">
        <v>15</v>
      </c>
      <c r="H52" s="28" t="s">
        <v>15</v>
      </c>
      <c r="I52" s="28" t="s">
        <v>15</v>
      </c>
      <c r="J52" s="28" t="s">
        <v>15</v>
      </c>
      <c r="K52" s="28" t="s">
        <v>15</v>
      </c>
      <c r="L52" s="28" t="s">
        <v>15</v>
      </c>
      <c r="M52" s="28" t="s">
        <v>15</v>
      </c>
      <c r="N52" s="29">
        <v>86943</v>
      </c>
    </row>
    <row r="53" spans="1:14" x14ac:dyDescent="0.25">
      <c r="A53" s="225" t="s">
        <v>61</v>
      </c>
      <c r="B53" s="29">
        <v>1899</v>
      </c>
      <c r="C53" s="29">
        <v>5469</v>
      </c>
      <c r="D53" s="29">
        <v>713</v>
      </c>
      <c r="E53" s="29">
        <v>824</v>
      </c>
      <c r="F53" s="29">
        <v>4393</v>
      </c>
      <c r="G53" s="29">
        <v>4783</v>
      </c>
      <c r="H53" s="29">
        <v>4786</v>
      </c>
      <c r="I53" s="28" t="s">
        <v>15</v>
      </c>
      <c r="J53" s="29">
        <v>7442</v>
      </c>
      <c r="K53" s="29">
        <v>1931</v>
      </c>
      <c r="L53" s="28" t="s">
        <v>15</v>
      </c>
      <c r="M53" s="28" t="s">
        <v>15</v>
      </c>
      <c r="N53" s="29">
        <v>32239</v>
      </c>
    </row>
    <row r="54" spans="1:14" x14ac:dyDescent="0.25">
      <c r="A54" s="225" t="s">
        <v>62</v>
      </c>
      <c r="B54" s="29">
        <v>1899</v>
      </c>
      <c r="C54" s="29">
        <v>5469</v>
      </c>
      <c r="D54" s="29">
        <v>713</v>
      </c>
      <c r="E54" s="29">
        <v>824</v>
      </c>
      <c r="F54" s="29">
        <v>4393</v>
      </c>
      <c r="G54" s="29">
        <v>4783</v>
      </c>
      <c r="H54" s="29">
        <v>3299</v>
      </c>
      <c r="I54" s="28" t="s">
        <v>15</v>
      </c>
      <c r="J54" s="29">
        <v>7451</v>
      </c>
      <c r="K54" s="29">
        <v>1931</v>
      </c>
      <c r="L54" s="28" t="s">
        <v>15</v>
      </c>
      <c r="M54" s="28" t="s">
        <v>15</v>
      </c>
      <c r="N54" s="29">
        <v>30761</v>
      </c>
    </row>
    <row r="55" spans="1:14" x14ac:dyDescent="0.25">
      <c r="A55" s="225"/>
      <c r="B55" s="28"/>
      <c r="C55" s="28"/>
      <c r="D55" s="28"/>
      <c r="E55" s="28"/>
      <c r="F55" s="28"/>
      <c r="G55" s="28"/>
      <c r="H55" s="28"/>
      <c r="I55" s="28"/>
      <c r="J55" s="28"/>
      <c r="K55" s="28"/>
      <c r="L55" s="28"/>
      <c r="M55" s="28"/>
      <c r="N55" s="28"/>
    </row>
    <row r="56" spans="1:14" x14ac:dyDescent="0.25">
      <c r="A56" s="225" t="s">
        <v>63</v>
      </c>
      <c r="B56" s="29">
        <v>582</v>
      </c>
      <c r="C56" s="29">
        <v>1448</v>
      </c>
      <c r="D56" s="29">
        <v>3529</v>
      </c>
      <c r="E56" s="29">
        <v>4145</v>
      </c>
      <c r="F56" s="29">
        <v>12092</v>
      </c>
      <c r="G56" s="29">
        <v>9056</v>
      </c>
      <c r="H56" s="29">
        <v>3107</v>
      </c>
      <c r="I56" s="28" t="s">
        <v>15</v>
      </c>
      <c r="J56" s="29">
        <v>1085</v>
      </c>
      <c r="K56" s="29">
        <v>473</v>
      </c>
      <c r="L56" s="28" t="s">
        <v>15</v>
      </c>
      <c r="M56" s="28" t="s">
        <v>15</v>
      </c>
      <c r="N56" s="29">
        <v>35517</v>
      </c>
    </row>
    <row r="57" spans="1:14" x14ac:dyDescent="0.25">
      <c r="A57" s="225" t="s">
        <v>64</v>
      </c>
      <c r="B57" s="29">
        <v>0</v>
      </c>
      <c r="C57" s="29">
        <v>0</v>
      </c>
      <c r="D57" s="29">
        <v>0</v>
      </c>
      <c r="E57" s="29">
        <v>0</v>
      </c>
      <c r="F57" s="29">
        <v>0</v>
      </c>
      <c r="G57" s="29">
        <v>0</v>
      </c>
      <c r="H57" s="29">
        <v>0</v>
      </c>
      <c r="I57" s="29">
        <v>-53068</v>
      </c>
      <c r="J57" s="29">
        <v>0</v>
      </c>
      <c r="K57" s="29">
        <v>0</v>
      </c>
      <c r="L57" s="29">
        <v>0</v>
      </c>
      <c r="M57" s="29">
        <v>0</v>
      </c>
      <c r="N57" s="29">
        <v>-53068</v>
      </c>
    </row>
    <row r="58" spans="1:14" x14ac:dyDescent="0.25">
      <c r="A58" s="225" t="s">
        <v>65</v>
      </c>
      <c r="B58" s="29">
        <v>4039</v>
      </c>
      <c r="C58" s="29">
        <v>2709</v>
      </c>
      <c r="D58" s="28" t="s">
        <v>15</v>
      </c>
      <c r="E58" s="29">
        <v>14</v>
      </c>
      <c r="F58" s="29">
        <v>84991</v>
      </c>
      <c r="G58" s="29">
        <v>156</v>
      </c>
      <c r="H58" s="29">
        <v>2584</v>
      </c>
      <c r="I58" s="29">
        <v>20439</v>
      </c>
      <c r="J58" s="29">
        <v>-44854</v>
      </c>
      <c r="K58" s="29">
        <v>45871</v>
      </c>
      <c r="L58" s="29">
        <v>13253410</v>
      </c>
      <c r="M58" s="29">
        <v>4881667</v>
      </c>
      <c r="N58" s="29">
        <v>18251024</v>
      </c>
    </row>
    <row r="59" spans="1:14" x14ac:dyDescent="0.25">
      <c r="A59" s="225" t="s">
        <v>66</v>
      </c>
      <c r="B59" s="29">
        <v>742238</v>
      </c>
      <c r="C59" s="29">
        <v>1415383</v>
      </c>
      <c r="D59" s="29">
        <v>465227</v>
      </c>
      <c r="E59" s="29">
        <v>624990</v>
      </c>
      <c r="F59" s="29">
        <v>993906</v>
      </c>
      <c r="G59" s="29">
        <v>1604424</v>
      </c>
      <c r="H59" s="29">
        <v>5534163</v>
      </c>
      <c r="I59" s="29">
        <v>1602482</v>
      </c>
      <c r="J59" s="29">
        <v>537061</v>
      </c>
      <c r="K59" s="29">
        <v>501584</v>
      </c>
      <c r="L59" s="29">
        <v>13850447</v>
      </c>
      <c r="M59" s="29">
        <v>4881667</v>
      </c>
      <c r="N59" s="29">
        <v>32753573</v>
      </c>
    </row>
    <row r="60" spans="1:14" x14ac:dyDescent="0.25">
      <c r="A60" s="225" t="s">
        <v>67</v>
      </c>
      <c r="B60" s="29">
        <v>80</v>
      </c>
      <c r="C60" s="29">
        <v>-505</v>
      </c>
      <c r="D60" s="29">
        <v>-7312</v>
      </c>
      <c r="E60" s="29">
        <v>-4033</v>
      </c>
      <c r="F60" s="29">
        <v>-851</v>
      </c>
      <c r="G60" s="29">
        <v>3567</v>
      </c>
      <c r="H60" s="29">
        <v>42</v>
      </c>
      <c r="I60" s="29">
        <v>6973</v>
      </c>
      <c r="J60" s="29">
        <v>0</v>
      </c>
      <c r="K60" s="29">
        <v>0</v>
      </c>
      <c r="L60" s="29">
        <v>13252440</v>
      </c>
      <c r="M60" s="29">
        <v>0</v>
      </c>
      <c r="N60" s="29">
        <v>13250400</v>
      </c>
    </row>
    <row r="61" spans="1:14" x14ac:dyDescent="0.25">
      <c r="A61" s="225" t="s">
        <v>68</v>
      </c>
      <c r="B61" s="29">
        <v>742158</v>
      </c>
      <c r="C61" s="29">
        <v>1415889</v>
      </c>
      <c r="D61" s="29">
        <v>472539</v>
      </c>
      <c r="E61" s="29">
        <v>629024</v>
      </c>
      <c r="F61" s="29">
        <v>994757</v>
      </c>
      <c r="G61" s="29">
        <v>1600856</v>
      </c>
      <c r="H61" s="29">
        <v>5534121</v>
      </c>
      <c r="I61" s="29">
        <v>1595509</v>
      </c>
      <c r="J61" s="29">
        <v>537061</v>
      </c>
      <c r="K61" s="29">
        <v>501584</v>
      </c>
      <c r="L61" s="29">
        <v>598007</v>
      </c>
      <c r="M61" s="29">
        <v>4881667</v>
      </c>
      <c r="N61" s="29">
        <v>19503172</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43" workbookViewId="0">
      <selection sqref="A1:XFD1048576"/>
    </sheetView>
  </sheetViews>
  <sheetFormatPr defaultRowHeight="15" x14ac:dyDescent="0.25"/>
  <cols>
    <col min="1" max="1" width="14.7109375" style="226" customWidth="1"/>
    <col min="2" max="13" width="10.85546875" style="226" customWidth="1"/>
    <col min="14" max="14" width="9.28515625" style="226" customWidth="1"/>
    <col min="15" max="256" width="9.140625" style="226"/>
    <col min="257" max="257" width="14.7109375" style="226" customWidth="1"/>
    <col min="258" max="269" width="10.85546875" style="226" customWidth="1"/>
    <col min="270" max="270" width="9.28515625" style="226" customWidth="1"/>
    <col min="271" max="512" width="9.140625" style="226"/>
    <col min="513" max="513" width="14.7109375" style="226" customWidth="1"/>
    <col min="514" max="525" width="10.85546875" style="226" customWidth="1"/>
    <col min="526" max="526" width="9.28515625" style="226" customWidth="1"/>
    <col min="527" max="768" width="9.140625" style="226"/>
    <col min="769" max="769" width="14.7109375" style="226" customWidth="1"/>
    <col min="770" max="781" width="10.85546875" style="226" customWidth="1"/>
    <col min="782" max="782" width="9.28515625" style="226" customWidth="1"/>
    <col min="783" max="1024" width="9.140625" style="226"/>
    <col min="1025" max="1025" width="14.7109375" style="226" customWidth="1"/>
    <col min="1026" max="1037" width="10.85546875" style="226" customWidth="1"/>
    <col min="1038" max="1038" width="9.28515625" style="226" customWidth="1"/>
    <col min="1039" max="1280" width="9.140625" style="226"/>
    <col min="1281" max="1281" width="14.7109375" style="226" customWidth="1"/>
    <col min="1282" max="1293" width="10.85546875" style="226" customWidth="1"/>
    <col min="1294" max="1294" width="9.28515625" style="226" customWidth="1"/>
    <col min="1295" max="1536" width="9.140625" style="226"/>
    <col min="1537" max="1537" width="14.7109375" style="226" customWidth="1"/>
    <col min="1538" max="1549" width="10.85546875" style="226" customWidth="1"/>
    <col min="1550" max="1550" width="9.28515625" style="226" customWidth="1"/>
    <col min="1551" max="1792" width="9.140625" style="226"/>
    <col min="1793" max="1793" width="14.7109375" style="226" customWidth="1"/>
    <col min="1794" max="1805" width="10.85546875" style="226" customWidth="1"/>
    <col min="1806" max="1806" width="9.28515625" style="226" customWidth="1"/>
    <col min="1807" max="2048" width="9.140625" style="226"/>
    <col min="2049" max="2049" width="14.7109375" style="226" customWidth="1"/>
    <col min="2050" max="2061" width="10.85546875" style="226" customWidth="1"/>
    <col min="2062" max="2062" width="9.28515625" style="226" customWidth="1"/>
    <col min="2063" max="2304" width="9.140625" style="226"/>
    <col min="2305" max="2305" width="14.7109375" style="226" customWidth="1"/>
    <col min="2306" max="2317" width="10.85546875" style="226" customWidth="1"/>
    <col min="2318" max="2318" width="9.28515625" style="226" customWidth="1"/>
    <col min="2319" max="2560" width="9.140625" style="226"/>
    <col min="2561" max="2561" width="14.7109375" style="226" customWidth="1"/>
    <col min="2562" max="2573" width="10.85546875" style="226" customWidth="1"/>
    <col min="2574" max="2574" width="9.28515625" style="226" customWidth="1"/>
    <col min="2575" max="2816" width="9.140625" style="226"/>
    <col min="2817" max="2817" width="14.7109375" style="226" customWidth="1"/>
    <col min="2818" max="2829" width="10.85546875" style="226" customWidth="1"/>
    <col min="2830" max="2830" width="9.28515625" style="226" customWidth="1"/>
    <col min="2831" max="3072" width="9.140625" style="226"/>
    <col min="3073" max="3073" width="14.7109375" style="226" customWidth="1"/>
    <col min="3074" max="3085" width="10.85546875" style="226" customWidth="1"/>
    <col min="3086" max="3086" width="9.28515625" style="226" customWidth="1"/>
    <col min="3087" max="3328" width="9.140625" style="226"/>
    <col min="3329" max="3329" width="14.7109375" style="226" customWidth="1"/>
    <col min="3330" max="3341" width="10.85546875" style="226" customWidth="1"/>
    <col min="3342" max="3342" width="9.28515625" style="226" customWidth="1"/>
    <col min="3343" max="3584" width="9.140625" style="226"/>
    <col min="3585" max="3585" width="14.7109375" style="226" customWidth="1"/>
    <col min="3586" max="3597" width="10.85546875" style="226" customWidth="1"/>
    <col min="3598" max="3598" width="9.28515625" style="226" customWidth="1"/>
    <col min="3599" max="3840" width="9.140625" style="226"/>
    <col min="3841" max="3841" width="14.7109375" style="226" customWidth="1"/>
    <col min="3842" max="3853" width="10.85546875" style="226" customWidth="1"/>
    <col min="3854" max="3854" width="9.28515625" style="226" customWidth="1"/>
    <col min="3855" max="4096" width="9.140625" style="226"/>
    <col min="4097" max="4097" width="14.7109375" style="226" customWidth="1"/>
    <col min="4098" max="4109" width="10.85546875" style="226" customWidth="1"/>
    <col min="4110" max="4110" width="9.28515625" style="226" customWidth="1"/>
    <col min="4111" max="4352" width="9.140625" style="226"/>
    <col min="4353" max="4353" width="14.7109375" style="226" customWidth="1"/>
    <col min="4354" max="4365" width="10.85546875" style="226" customWidth="1"/>
    <col min="4366" max="4366" width="9.28515625" style="226" customWidth="1"/>
    <col min="4367" max="4608" width="9.140625" style="226"/>
    <col min="4609" max="4609" width="14.7109375" style="226" customWidth="1"/>
    <col min="4610" max="4621" width="10.85546875" style="226" customWidth="1"/>
    <col min="4622" max="4622" width="9.28515625" style="226" customWidth="1"/>
    <col min="4623" max="4864" width="9.140625" style="226"/>
    <col min="4865" max="4865" width="14.7109375" style="226" customWidth="1"/>
    <col min="4866" max="4877" width="10.85546875" style="226" customWidth="1"/>
    <col min="4878" max="4878" width="9.28515625" style="226" customWidth="1"/>
    <col min="4879" max="5120" width="9.140625" style="226"/>
    <col min="5121" max="5121" width="14.7109375" style="226" customWidth="1"/>
    <col min="5122" max="5133" width="10.85546875" style="226" customWidth="1"/>
    <col min="5134" max="5134" width="9.28515625" style="226" customWidth="1"/>
    <col min="5135" max="5376" width="9.140625" style="226"/>
    <col min="5377" max="5377" width="14.7109375" style="226" customWidth="1"/>
    <col min="5378" max="5389" width="10.85546875" style="226" customWidth="1"/>
    <col min="5390" max="5390" width="9.28515625" style="226" customWidth="1"/>
    <col min="5391" max="5632" width="9.140625" style="226"/>
    <col min="5633" max="5633" width="14.7109375" style="226" customWidth="1"/>
    <col min="5634" max="5645" width="10.85546875" style="226" customWidth="1"/>
    <col min="5646" max="5646" width="9.28515625" style="226" customWidth="1"/>
    <col min="5647" max="5888" width="9.140625" style="226"/>
    <col min="5889" max="5889" width="14.7109375" style="226" customWidth="1"/>
    <col min="5890" max="5901" width="10.85546875" style="226" customWidth="1"/>
    <col min="5902" max="5902" width="9.28515625" style="226" customWidth="1"/>
    <col min="5903" max="6144" width="9.140625" style="226"/>
    <col min="6145" max="6145" width="14.7109375" style="226" customWidth="1"/>
    <col min="6146" max="6157" width="10.85546875" style="226" customWidth="1"/>
    <col min="6158" max="6158" width="9.28515625" style="226" customWidth="1"/>
    <col min="6159" max="6400" width="9.140625" style="226"/>
    <col min="6401" max="6401" width="14.7109375" style="226" customWidth="1"/>
    <col min="6402" max="6413" width="10.85546875" style="226" customWidth="1"/>
    <col min="6414" max="6414" width="9.28515625" style="226" customWidth="1"/>
    <col min="6415" max="6656" width="9.140625" style="226"/>
    <col min="6657" max="6657" width="14.7109375" style="226" customWidth="1"/>
    <col min="6658" max="6669" width="10.85546875" style="226" customWidth="1"/>
    <col min="6670" max="6670" width="9.28515625" style="226" customWidth="1"/>
    <col min="6671" max="6912" width="9.140625" style="226"/>
    <col min="6913" max="6913" width="14.7109375" style="226" customWidth="1"/>
    <col min="6914" max="6925" width="10.85546875" style="226" customWidth="1"/>
    <col min="6926" max="6926" width="9.28515625" style="226" customWidth="1"/>
    <col min="6927" max="7168" width="9.140625" style="226"/>
    <col min="7169" max="7169" width="14.7109375" style="226" customWidth="1"/>
    <col min="7170" max="7181" width="10.85546875" style="226" customWidth="1"/>
    <col min="7182" max="7182" width="9.28515625" style="226" customWidth="1"/>
    <col min="7183" max="7424" width="9.140625" style="226"/>
    <col min="7425" max="7425" width="14.7109375" style="226" customWidth="1"/>
    <col min="7426" max="7437" width="10.85546875" style="226" customWidth="1"/>
    <col min="7438" max="7438" width="9.28515625" style="226" customWidth="1"/>
    <col min="7439" max="7680" width="9.140625" style="226"/>
    <col min="7681" max="7681" width="14.7109375" style="226" customWidth="1"/>
    <col min="7682" max="7693" width="10.85546875" style="226" customWidth="1"/>
    <col min="7694" max="7694" width="9.28515625" style="226" customWidth="1"/>
    <col min="7695" max="7936" width="9.140625" style="226"/>
    <col min="7937" max="7937" width="14.7109375" style="226" customWidth="1"/>
    <col min="7938" max="7949" width="10.85546875" style="226" customWidth="1"/>
    <col min="7950" max="7950" width="9.28515625" style="226" customWidth="1"/>
    <col min="7951" max="8192" width="9.140625" style="226"/>
    <col min="8193" max="8193" width="14.7109375" style="226" customWidth="1"/>
    <col min="8194" max="8205" width="10.85546875" style="226" customWidth="1"/>
    <col min="8206" max="8206" width="9.28515625" style="226" customWidth="1"/>
    <col min="8207" max="8448" width="9.140625" style="226"/>
    <col min="8449" max="8449" width="14.7109375" style="226" customWidth="1"/>
    <col min="8450" max="8461" width="10.85546875" style="226" customWidth="1"/>
    <col min="8462" max="8462" width="9.28515625" style="226" customWidth="1"/>
    <col min="8463" max="8704" width="9.140625" style="226"/>
    <col min="8705" max="8705" width="14.7109375" style="226" customWidth="1"/>
    <col min="8706" max="8717" width="10.85546875" style="226" customWidth="1"/>
    <col min="8718" max="8718" width="9.28515625" style="226" customWidth="1"/>
    <col min="8719" max="8960" width="9.140625" style="226"/>
    <col min="8961" max="8961" width="14.7109375" style="226" customWidth="1"/>
    <col min="8962" max="8973" width="10.85546875" style="226" customWidth="1"/>
    <col min="8974" max="8974" width="9.28515625" style="226" customWidth="1"/>
    <col min="8975" max="9216" width="9.140625" style="226"/>
    <col min="9217" max="9217" width="14.7109375" style="226" customWidth="1"/>
    <col min="9218" max="9229" width="10.85546875" style="226" customWidth="1"/>
    <col min="9230" max="9230" width="9.28515625" style="226" customWidth="1"/>
    <col min="9231" max="9472" width="9.140625" style="226"/>
    <col min="9473" max="9473" width="14.7109375" style="226" customWidth="1"/>
    <col min="9474" max="9485" width="10.85546875" style="226" customWidth="1"/>
    <col min="9486" max="9486" width="9.28515625" style="226" customWidth="1"/>
    <col min="9487" max="9728" width="9.140625" style="226"/>
    <col min="9729" max="9729" width="14.7109375" style="226" customWidth="1"/>
    <col min="9730" max="9741" width="10.85546875" style="226" customWidth="1"/>
    <col min="9742" max="9742" width="9.28515625" style="226" customWidth="1"/>
    <col min="9743" max="9984" width="9.140625" style="226"/>
    <col min="9985" max="9985" width="14.7109375" style="226" customWidth="1"/>
    <col min="9986" max="9997" width="10.85546875" style="226" customWidth="1"/>
    <col min="9998" max="9998" width="9.28515625" style="226" customWidth="1"/>
    <col min="9999" max="10240" width="9.140625" style="226"/>
    <col min="10241" max="10241" width="14.7109375" style="226" customWidth="1"/>
    <col min="10242" max="10253" width="10.85546875" style="226" customWidth="1"/>
    <col min="10254" max="10254" width="9.28515625" style="226" customWidth="1"/>
    <col min="10255" max="10496" width="9.140625" style="226"/>
    <col min="10497" max="10497" width="14.7109375" style="226" customWidth="1"/>
    <col min="10498" max="10509" width="10.85546875" style="226" customWidth="1"/>
    <col min="10510" max="10510" width="9.28515625" style="226" customWidth="1"/>
    <col min="10511" max="10752" width="9.140625" style="226"/>
    <col min="10753" max="10753" width="14.7109375" style="226" customWidth="1"/>
    <col min="10754" max="10765" width="10.85546875" style="226" customWidth="1"/>
    <col min="10766" max="10766" width="9.28515625" style="226" customWidth="1"/>
    <col min="10767" max="11008" width="9.140625" style="226"/>
    <col min="11009" max="11009" width="14.7109375" style="226" customWidth="1"/>
    <col min="11010" max="11021" width="10.85546875" style="226" customWidth="1"/>
    <col min="11022" max="11022" width="9.28515625" style="226" customWidth="1"/>
    <col min="11023" max="11264" width="9.140625" style="226"/>
    <col min="11265" max="11265" width="14.7109375" style="226" customWidth="1"/>
    <col min="11266" max="11277" width="10.85546875" style="226" customWidth="1"/>
    <col min="11278" max="11278" width="9.28515625" style="226" customWidth="1"/>
    <col min="11279" max="11520" width="9.140625" style="226"/>
    <col min="11521" max="11521" width="14.7109375" style="226" customWidth="1"/>
    <col min="11522" max="11533" width="10.85546875" style="226" customWidth="1"/>
    <col min="11534" max="11534" width="9.28515625" style="226" customWidth="1"/>
    <col min="11535" max="11776" width="9.140625" style="226"/>
    <col min="11777" max="11777" width="14.7109375" style="226" customWidth="1"/>
    <col min="11778" max="11789" width="10.85546875" style="226" customWidth="1"/>
    <col min="11790" max="11790" width="9.28515625" style="226" customWidth="1"/>
    <col min="11791" max="12032" width="9.140625" style="226"/>
    <col min="12033" max="12033" width="14.7109375" style="226" customWidth="1"/>
    <col min="12034" max="12045" width="10.85546875" style="226" customWidth="1"/>
    <col min="12046" max="12046" width="9.28515625" style="226" customWidth="1"/>
    <col min="12047" max="12288" width="9.140625" style="226"/>
    <col min="12289" max="12289" width="14.7109375" style="226" customWidth="1"/>
    <col min="12290" max="12301" width="10.85546875" style="226" customWidth="1"/>
    <col min="12302" max="12302" width="9.28515625" style="226" customWidth="1"/>
    <col min="12303" max="12544" width="9.140625" style="226"/>
    <col min="12545" max="12545" width="14.7109375" style="226" customWidth="1"/>
    <col min="12546" max="12557" width="10.85546875" style="226" customWidth="1"/>
    <col min="12558" max="12558" width="9.28515625" style="226" customWidth="1"/>
    <col min="12559" max="12800" width="9.140625" style="226"/>
    <col min="12801" max="12801" width="14.7109375" style="226" customWidth="1"/>
    <col min="12802" max="12813" width="10.85546875" style="226" customWidth="1"/>
    <col min="12814" max="12814" width="9.28515625" style="226" customWidth="1"/>
    <col min="12815" max="13056" width="9.140625" style="226"/>
    <col min="13057" max="13057" width="14.7109375" style="226" customWidth="1"/>
    <col min="13058" max="13069" width="10.85546875" style="226" customWidth="1"/>
    <col min="13070" max="13070" width="9.28515625" style="226" customWidth="1"/>
    <col min="13071" max="13312" width="9.140625" style="226"/>
    <col min="13313" max="13313" width="14.7109375" style="226" customWidth="1"/>
    <col min="13314" max="13325" width="10.85546875" style="226" customWidth="1"/>
    <col min="13326" max="13326" width="9.28515625" style="226" customWidth="1"/>
    <col min="13327" max="13568" width="9.140625" style="226"/>
    <col min="13569" max="13569" width="14.7109375" style="226" customWidth="1"/>
    <col min="13570" max="13581" width="10.85546875" style="226" customWidth="1"/>
    <col min="13582" max="13582" width="9.28515625" style="226" customWidth="1"/>
    <col min="13583" max="13824" width="9.140625" style="226"/>
    <col min="13825" max="13825" width="14.7109375" style="226" customWidth="1"/>
    <col min="13826" max="13837" width="10.85546875" style="226" customWidth="1"/>
    <col min="13838" max="13838" width="9.28515625" style="226" customWidth="1"/>
    <col min="13839" max="14080" width="9.140625" style="226"/>
    <col min="14081" max="14081" width="14.7109375" style="226" customWidth="1"/>
    <col min="14082" max="14093" width="10.85546875" style="226" customWidth="1"/>
    <col min="14094" max="14094" width="9.28515625" style="226" customWidth="1"/>
    <col min="14095" max="14336" width="9.140625" style="226"/>
    <col min="14337" max="14337" width="14.7109375" style="226" customWidth="1"/>
    <col min="14338" max="14349" width="10.85546875" style="226" customWidth="1"/>
    <col min="14350" max="14350" width="9.28515625" style="226" customWidth="1"/>
    <col min="14351" max="14592" width="9.140625" style="226"/>
    <col min="14593" max="14593" width="14.7109375" style="226" customWidth="1"/>
    <col min="14594" max="14605" width="10.85546875" style="226" customWidth="1"/>
    <col min="14606" max="14606" width="9.28515625" style="226" customWidth="1"/>
    <col min="14607" max="14848" width="9.140625" style="226"/>
    <col min="14849" max="14849" width="14.7109375" style="226" customWidth="1"/>
    <col min="14850" max="14861" width="10.85546875" style="226" customWidth="1"/>
    <col min="14862" max="14862" width="9.28515625" style="226" customWidth="1"/>
    <col min="14863" max="15104" width="9.140625" style="226"/>
    <col min="15105" max="15105" width="14.7109375" style="226" customWidth="1"/>
    <col min="15106" max="15117" width="10.85546875" style="226" customWidth="1"/>
    <col min="15118" max="15118" width="9.28515625" style="226" customWidth="1"/>
    <col min="15119" max="15360" width="9.140625" style="226"/>
    <col min="15361" max="15361" width="14.7109375" style="226" customWidth="1"/>
    <col min="15362" max="15373" width="10.85546875" style="226" customWidth="1"/>
    <col min="15374" max="15374" width="9.28515625" style="226" customWidth="1"/>
    <col min="15375" max="15616" width="9.140625" style="226"/>
    <col min="15617" max="15617" width="14.7109375" style="226" customWidth="1"/>
    <col min="15618" max="15629" width="10.85546875" style="226" customWidth="1"/>
    <col min="15630" max="15630" width="9.28515625" style="226" customWidth="1"/>
    <col min="15631" max="15872" width="9.140625" style="226"/>
    <col min="15873" max="15873" width="14.7109375" style="226" customWidth="1"/>
    <col min="15874" max="15885" width="10.85546875" style="226" customWidth="1"/>
    <col min="15886" max="15886" width="9.28515625" style="226" customWidth="1"/>
    <col min="15887" max="16128" width="9.140625" style="226"/>
    <col min="16129" max="16129" width="14.7109375" style="226" customWidth="1"/>
    <col min="16130" max="16141" width="10.85546875" style="226" customWidth="1"/>
    <col min="16142" max="16142" width="9.28515625" style="226" customWidth="1"/>
    <col min="16143" max="16384" width="9.140625" style="226"/>
  </cols>
  <sheetData>
    <row r="1" spans="1:14" x14ac:dyDescent="0.25">
      <c r="A1" s="231" t="s">
        <v>329</v>
      </c>
      <c r="B1" s="230"/>
      <c r="C1" s="230"/>
      <c r="D1" s="230"/>
      <c r="E1" s="230"/>
      <c r="F1" s="230"/>
      <c r="G1" s="230"/>
      <c r="H1" s="230"/>
      <c r="I1" s="230"/>
      <c r="J1" s="230"/>
      <c r="K1" s="230"/>
      <c r="L1" s="230"/>
      <c r="M1" s="230"/>
      <c r="N1" s="230"/>
    </row>
    <row r="2" spans="1:14" x14ac:dyDescent="0.25">
      <c r="A2" s="231" t="s">
        <v>330</v>
      </c>
      <c r="B2" s="230"/>
      <c r="C2" s="230"/>
      <c r="D2" s="230"/>
      <c r="E2" s="230"/>
      <c r="F2" s="230"/>
      <c r="G2" s="230"/>
      <c r="H2" s="230"/>
      <c r="I2" s="230"/>
      <c r="J2" s="230"/>
      <c r="K2" s="230"/>
      <c r="L2" s="230"/>
      <c r="M2" s="230"/>
      <c r="N2" s="230"/>
    </row>
    <row r="3" spans="1:14" x14ac:dyDescent="0.25">
      <c r="A3" s="227" t="s">
        <v>0</v>
      </c>
      <c r="B3" s="227" t="s">
        <v>1</v>
      </c>
      <c r="C3" s="227" t="s">
        <v>2</v>
      </c>
      <c r="D3" s="227" t="s">
        <v>3</v>
      </c>
      <c r="E3" s="227" t="s">
        <v>4</v>
      </c>
      <c r="F3" s="227" t="s">
        <v>5</v>
      </c>
      <c r="G3" s="227" t="s">
        <v>6</v>
      </c>
      <c r="H3" s="227" t="s">
        <v>7</v>
      </c>
      <c r="I3" s="227" t="s">
        <v>8</v>
      </c>
      <c r="J3" s="227" t="s">
        <v>9</v>
      </c>
      <c r="K3" s="227" t="s">
        <v>10</v>
      </c>
      <c r="L3" s="227" t="s">
        <v>11</v>
      </c>
      <c r="M3" s="227" t="s">
        <v>12</v>
      </c>
      <c r="N3" s="227" t="s">
        <v>13</v>
      </c>
    </row>
    <row r="4" spans="1:14" x14ac:dyDescent="0.25">
      <c r="A4" s="227" t="s">
        <v>14</v>
      </c>
      <c r="B4" s="29">
        <v>504078</v>
      </c>
      <c r="C4" s="29">
        <v>808154</v>
      </c>
      <c r="D4" s="29">
        <v>167393</v>
      </c>
      <c r="E4" s="29">
        <v>277939</v>
      </c>
      <c r="F4" s="29">
        <v>389534</v>
      </c>
      <c r="G4" s="29">
        <v>818936</v>
      </c>
      <c r="H4" s="29">
        <v>929953</v>
      </c>
      <c r="I4" s="29">
        <v>2390</v>
      </c>
      <c r="J4" s="29">
        <v>139416</v>
      </c>
      <c r="K4" s="29">
        <v>285443</v>
      </c>
      <c r="L4" s="29">
        <v>35</v>
      </c>
      <c r="M4" s="28" t="s">
        <v>15</v>
      </c>
      <c r="N4" s="29">
        <v>4323272</v>
      </c>
    </row>
    <row r="5" spans="1:14" x14ac:dyDescent="0.25">
      <c r="A5" s="227" t="s">
        <v>16</v>
      </c>
      <c r="B5" s="29">
        <v>85088</v>
      </c>
      <c r="C5" s="29">
        <v>128302</v>
      </c>
      <c r="D5" s="29">
        <v>28014</v>
      </c>
      <c r="E5" s="29">
        <v>46658</v>
      </c>
      <c r="F5" s="29">
        <v>65802</v>
      </c>
      <c r="G5" s="29">
        <v>169414</v>
      </c>
      <c r="H5" s="29">
        <v>168226</v>
      </c>
      <c r="I5" s="29">
        <v>406</v>
      </c>
      <c r="J5" s="29">
        <v>23617</v>
      </c>
      <c r="K5" s="29">
        <v>48224</v>
      </c>
      <c r="L5" s="28" t="s">
        <v>15</v>
      </c>
      <c r="M5" s="28" t="s">
        <v>15</v>
      </c>
      <c r="N5" s="29">
        <v>763750</v>
      </c>
    </row>
    <row r="6" spans="1:14" x14ac:dyDescent="0.25">
      <c r="A6" s="227" t="s">
        <v>17</v>
      </c>
      <c r="B6" s="29">
        <v>111</v>
      </c>
      <c r="C6" s="29">
        <v>506</v>
      </c>
      <c r="D6" s="29">
        <v>16</v>
      </c>
      <c r="E6" s="29">
        <v>127</v>
      </c>
      <c r="F6" s="29">
        <v>159</v>
      </c>
      <c r="G6" s="29">
        <v>308</v>
      </c>
      <c r="H6" s="29">
        <v>115</v>
      </c>
      <c r="I6" s="28" t="s">
        <v>15</v>
      </c>
      <c r="J6" s="28" t="s">
        <v>15</v>
      </c>
      <c r="K6" s="29">
        <v>115</v>
      </c>
      <c r="L6" s="28" t="s">
        <v>15</v>
      </c>
      <c r="M6" s="28" t="s">
        <v>15</v>
      </c>
      <c r="N6" s="29">
        <v>1457</v>
      </c>
    </row>
    <row r="7" spans="1:14" x14ac:dyDescent="0.25">
      <c r="A7" s="227" t="s">
        <v>18</v>
      </c>
      <c r="B7" s="29">
        <v>51267</v>
      </c>
      <c r="C7" s="29">
        <v>58664</v>
      </c>
      <c r="D7" s="29">
        <v>18503</v>
      </c>
      <c r="E7" s="29">
        <v>30968</v>
      </c>
      <c r="F7" s="29">
        <v>31230</v>
      </c>
      <c r="G7" s="29">
        <v>124435</v>
      </c>
      <c r="H7" s="29">
        <v>104558</v>
      </c>
      <c r="I7" s="29">
        <v>258</v>
      </c>
      <c r="J7" s="29">
        <v>11734</v>
      </c>
      <c r="K7" s="29">
        <v>25586</v>
      </c>
      <c r="L7" s="28" t="s">
        <v>15</v>
      </c>
      <c r="M7" s="28" t="s">
        <v>15</v>
      </c>
      <c r="N7" s="29">
        <v>457204</v>
      </c>
    </row>
    <row r="8" spans="1:14" x14ac:dyDescent="0.25">
      <c r="A8" s="227" t="s">
        <v>19</v>
      </c>
      <c r="B8" s="29">
        <v>20564</v>
      </c>
      <c r="C8" s="29">
        <v>43599</v>
      </c>
      <c r="D8" s="29">
        <v>11988</v>
      </c>
      <c r="E8" s="29">
        <v>15682</v>
      </c>
      <c r="F8" s="29">
        <v>21633</v>
      </c>
      <c r="G8" s="29">
        <v>42698</v>
      </c>
      <c r="H8" s="29">
        <v>50818</v>
      </c>
      <c r="I8" s="29">
        <v>107</v>
      </c>
      <c r="J8" s="29">
        <v>8183</v>
      </c>
      <c r="K8" s="29">
        <v>15582</v>
      </c>
      <c r="L8" s="28" t="s">
        <v>15</v>
      </c>
      <c r="M8" s="28" t="s">
        <v>15</v>
      </c>
      <c r="N8" s="29">
        <v>230854</v>
      </c>
    </row>
    <row r="9" spans="1:14" x14ac:dyDescent="0.25">
      <c r="A9" s="227" t="s">
        <v>20</v>
      </c>
      <c r="B9" s="28" t="s">
        <v>15</v>
      </c>
      <c r="C9" s="28" t="s">
        <v>15</v>
      </c>
      <c r="D9" s="28" t="s">
        <v>15</v>
      </c>
      <c r="E9" s="28" t="s">
        <v>15</v>
      </c>
      <c r="F9" s="28" t="s">
        <v>15</v>
      </c>
      <c r="G9" s="28" t="s">
        <v>15</v>
      </c>
      <c r="H9" s="28" t="s">
        <v>15</v>
      </c>
      <c r="I9" s="28" t="s">
        <v>15</v>
      </c>
      <c r="J9" s="28" t="s">
        <v>15</v>
      </c>
      <c r="K9" s="28" t="s">
        <v>15</v>
      </c>
      <c r="L9" s="29">
        <v>633871</v>
      </c>
      <c r="M9" s="28" t="s">
        <v>15</v>
      </c>
      <c r="N9" s="29">
        <v>633871</v>
      </c>
    </row>
    <row r="10" spans="1:14" x14ac:dyDescent="0.25">
      <c r="A10" s="227"/>
      <c r="B10" s="28"/>
      <c r="C10" s="28"/>
      <c r="D10" s="28"/>
      <c r="E10" s="28"/>
      <c r="F10" s="28"/>
      <c r="G10" s="28"/>
      <c r="H10" s="28"/>
      <c r="I10" s="28"/>
      <c r="J10" s="28"/>
      <c r="K10" s="28"/>
      <c r="L10" s="28"/>
      <c r="M10" s="28"/>
      <c r="N10" s="28"/>
    </row>
    <row r="11" spans="1:14" x14ac:dyDescent="0.25">
      <c r="A11" s="227" t="s">
        <v>21</v>
      </c>
      <c r="B11" s="29">
        <v>488</v>
      </c>
      <c r="C11" s="28" t="s">
        <v>15</v>
      </c>
      <c r="D11" s="28" t="s">
        <v>15</v>
      </c>
      <c r="E11" s="28" t="s">
        <v>15</v>
      </c>
      <c r="F11" s="29">
        <v>283</v>
      </c>
      <c r="G11" s="29">
        <v>248805</v>
      </c>
      <c r="H11" s="29">
        <v>104654</v>
      </c>
      <c r="I11" s="29">
        <v>67</v>
      </c>
      <c r="J11" s="28" t="s">
        <v>15</v>
      </c>
      <c r="K11" s="29">
        <v>20</v>
      </c>
      <c r="L11" s="28" t="s">
        <v>15</v>
      </c>
      <c r="M11" s="28" t="s">
        <v>15</v>
      </c>
      <c r="N11" s="29">
        <v>354316</v>
      </c>
    </row>
    <row r="12" spans="1:14" x14ac:dyDescent="0.25">
      <c r="A12" s="227" t="s">
        <v>22</v>
      </c>
      <c r="B12" s="28" t="s">
        <v>15</v>
      </c>
      <c r="C12" s="28" t="s">
        <v>15</v>
      </c>
      <c r="D12" s="29">
        <v>313</v>
      </c>
      <c r="E12" s="29">
        <v>36</v>
      </c>
      <c r="F12" s="29">
        <v>31</v>
      </c>
      <c r="G12" s="29">
        <v>450</v>
      </c>
      <c r="H12" s="29">
        <v>442</v>
      </c>
      <c r="I12" s="28" t="s">
        <v>15</v>
      </c>
      <c r="J12" s="29">
        <v>823</v>
      </c>
      <c r="K12" s="28" t="s">
        <v>15</v>
      </c>
      <c r="L12" s="28" t="s">
        <v>15</v>
      </c>
      <c r="M12" s="28" t="s">
        <v>15</v>
      </c>
      <c r="N12" s="29">
        <v>2096</v>
      </c>
    </row>
    <row r="13" spans="1:14" x14ac:dyDescent="0.25">
      <c r="A13" s="227" t="s">
        <v>23</v>
      </c>
      <c r="B13" s="29">
        <v>302</v>
      </c>
      <c r="C13" s="29">
        <v>11127</v>
      </c>
      <c r="D13" s="29">
        <v>929</v>
      </c>
      <c r="E13" s="29">
        <v>3165</v>
      </c>
      <c r="F13" s="29">
        <v>3565</v>
      </c>
      <c r="G13" s="29">
        <v>13992</v>
      </c>
      <c r="H13" s="29">
        <v>20978</v>
      </c>
      <c r="I13" s="29">
        <v>57</v>
      </c>
      <c r="J13" s="29">
        <v>330</v>
      </c>
      <c r="K13" s="29">
        <v>61</v>
      </c>
      <c r="L13" s="28" t="s">
        <v>15</v>
      </c>
      <c r="M13" s="28" t="s">
        <v>15</v>
      </c>
      <c r="N13" s="29">
        <v>54507</v>
      </c>
    </row>
    <row r="14" spans="1:14" x14ac:dyDescent="0.25">
      <c r="A14" s="227" t="s">
        <v>24</v>
      </c>
      <c r="B14" s="29">
        <v>685</v>
      </c>
      <c r="C14" s="29">
        <v>85825</v>
      </c>
      <c r="D14" s="29">
        <v>779</v>
      </c>
      <c r="E14" s="29">
        <v>2635</v>
      </c>
      <c r="F14" s="29">
        <v>3300</v>
      </c>
      <c r="G14" s="29">
        <v>45963</v>
      </c>
      <c r="H14" s="29">
        <v>26342</v>
      </c>
      <c r="I14" s="29">
        <v>33</v>
      </c>
      <c r="J14" s="29">
        <v>11110</v>
      </c>
      <c r="K14" s="29">
        <v>21769</v>
      </c>
      <c r="L14" s="28" t="s">
        <v>15</v>
      </c>
      <c r="M14" s="28" t="s">
        <v>15</v>
      </c>
      <c r="N14" s="29">
        <v>198439</v>
      </c>
    </row>
    <row r="15" spans="1:14" x14ac:dyDescent="0.25">
      <c r="A15" s="227" t="s">
        <v>25</v>
      </c>
      <c r="B15" s="29">
        <v>721</v>
      </c>
      <c r="C15" s="29">
        <v>26</v>
      </c>
      <c r="D15" s="29">
        <v>16</v>
      </c>
      <c r="E15" s="29">
        <v>4</v>
      </c>
      <c r="F15" s="29">
        <v>20</v>
      </c>
      <c r="G15" s="29">
        <v>7</v>
      </c>
      <c r="H15" s="29">
        <v>10</v>
      </c>
      <c r="I15" s="28" t="s">
        <v>15</v>
      </c>
      <c r="J15" s="29">
        <v>1145</v>
      </c>
      <c r="K15" s="29">
        <v>67</v>
      </c>
      <c r="L15" s="28" t="s">
        <v>15</v>
      </c>
      <c r="M15" s="28" t="s">
        <v>15</v>
      </c>
      <c r="N15" s="29">
        <v>2016</v>
      </c>
    </row>
    <row r="16" spans="1:14" x14ac:dyDescent="0.25">
      <c r="A16" s="227" t="s">
        <v>26</v>
      </c>
      <c r="B16" s="29">
        <v>1472</v>
      </c>
      <c r="C16" s="29">
        <v>721</v>
      </c>
      <c r="D16" s="29">
        <v>137</v>
      </c>
      <c r="E16" s="29">
        <v>168</v>
      </c>
      <c r="F16" s="29">
        <v>818</v>
      </c>
      <c r="G16" s="29">
        <v>666</v>
      </c>
      <c r="H16" s="29">
        <v>2252</v>
      </c>
      <c r="I16" s="28" t="s">
        <v>15</v>
      </c>
      <c r="J16" s="29">
        <v>81</v>
      </c>
      <c r="K16" s="29">
        <v>1391</v>
      </c>
      <c r="L16" s="28" t="s">
        <v>15</v>
      </c>
      <c r="M16" s="28" t="s">
        <v>15</v>
      </c>
      <c r="N16" s="29">
        <v>7706</v>
      </c>
    </row>
    <row r="17" spans="1:14" x14ac:dyDescent="0.25">
      <c r="A17" s="227" t="s">
        <v>27</v>
      </c>
      <c r="B17" s="29">
        <v>15090</v>
      </c>
      <c r="C17" s="29">
        <v>59291</v>
      </c>
      <c r="D17" s="29">
        <v>1935</v>
      </c>
      <c r="E17" s="29">
        <v>6432</v>
      </c>
      <c r="F17" s="29">
        <v>39684</v>
      </c>
      <c r="G17" s="29">
        <v>3070</v>
      </c>
      <c r="H17" s="29">
        <v>45927</v>
      </c>
      <c r="I17" s="29">
        <v>13</v>
      </c>
      <c r="J17" s="29">
        <v>1677</v>
      </c>
      <c r="K17" s="29">
        <v>50760</v>
      </c>
      <c r="L17" s="28" t="s">
        <v>15</v>
      </c>
      <c r="M17" s="28" t="s">
        <v>15</v>
      </c>
      <c r="N17" s="29">
        <v>223880</v>
      </c>
    </row>
    <row r="18" spans="1:14" x14ac:dyDescent="0.25">
      <c r="A18" s="227"/>
      <c r="B18" s="28"/>
      <c r="C18" s="28"/>
      <c r="D18" s="28"/>
      <c r="E18" s="28"/>
      <c r="F18" s="28"/>
      <c r="G18" s="28"/>
      <c r="H18" s="28"/>
      <c r="I18" s="28"/>
      <c r="J18" s="28"/>
      <c r="K18" s="28"/>
      <c r="L18" s="28"/>
      <c r="M18" s="28"/>
      <c r="N18" s="28"/>
    </row>
    <row r="19" spans="1:14" x14ac:dyDescent="0.25">
      <c r="A19" s="227" t="s">
        <v>28</v>
      </c>
      <c r="B19" s="29">
        <v>1608</v>
      </c>
      <c r="C19" s="29">
        <v>329</v>
      </c>
      <c r="D19" s="29">
        <v>154</v>
      </c>
      <c r="E19" s="29">
        <v>26</v>
      </c>
      <c r="F19" s="29">
        <v>341</v>
      </c>
      <c r="G19" s="29">
        <v>519</v>
      </c>
      <c r="H19" s="29">
        <v>1448</v>
      </c>
      <c r="I19" s="28" t="s">
        <v>15</v>
      </c>
      <c r="J19" s="29">
        <v>96</v>
      </c>
      <c r="K19" s="29">
        <v>585</v>
      </c>
      <c r="L19" s="28" t="s">
        <v>15</v>
      </c>
      <c r="M19" s="28" t="s">
        <v>15</v>
      </c>
      <c r="N19" s="29">
        <v>5106</v>
      </c>
    </row>
    <row r="20" spans="1:14" x14ac:dyDescent="0.25">
      <c r="A20" s="227" t="s">
        <v>29</v>
      </c>
      <c r="B20" s="29">
        <v>1160</v>
      </c>
      <c r="C20" s="29">
        <v>144</v>
      </c>
      <c r="D20" s="29">
        <v>121</v>
      </c>
      <c r="E20" s="29">
        <v>16</v>
      </c>
      <c r="F20" s="29">
        <v>454</v>
      </c>
      <c r="G20" s="29">
        <v>357</v>
      </c>
      <c r="H20" s="29">
        <v>231</v>
      </c>
      <c r="I20" s="29">
        <v>1</v>
      </c>
      <c r="J20" s="29">
        <v>45</v>
      </c>
      <c r="K20" s="29">
        <v>94</v>
      </c>
      <c r="L20" s="28" t="s">
        <v>15</v>
      </c>
      <c r="M20" s="28" t="s">
        <v>15</v>
      </c>
      <c r="N20" s="29">
        <v>2622</v>
      </c>
    </row>
    <row r="21" spans="1:14" x14ac:dyDescent="0.25">
      <c r="A21" s="227" t="s">
        <v>30</v>
      </c>
      <c r="B21" s="29">
        <v>1661</v>
      </c>
      <c r="C21" s="29">
        <v>1136</v>
      </c>
      <c r="D21" s="29">
        <v>193</v>
      </c>
      <c r="E21" s="29">
        <v>496</v>
      </c>
      <c r="F21" s="29">
        <v>460</v>
      </c>
      <c r="G21" s="29">
        <v>964</v>
      </c>
      <c r="H21" s="29">
        <v>1011</v>
      </c>
      <c r="I21" s="28" t="s">
        <v>15</v>
      </c>
      <c r="J21" s="29">
        <v>344</v>
      </c>
      <c r="K21" s="29">
        <v>490</v>
      </c>
      <c r="L21" s="28" t="s">
        <v>15</v>
      </c>
      <c r="M21" s="28" t="s">
        <v>15</v>
      </c>
      <c r="N21" s="29">
        <v>6755</v>
      </c>
    </row>
    <row r="22" spans="1:14" x14ac:dyDescent="0.25">
      <c r="A22" s="227" t="s">
        <v>31</v>
      </c>
      <c r="B22" s="29">
        <v>30602</v>
      </c>
      <c r="C22" s="29">
        <v>11291</v>
      </c>
      <c r="D22" s="28" t="s">
        <v>15</v>
      </c>
      <c r="E22" s="28" t="s">
        <v>15</v>
      </c>
      <c r="F22" s="29">
        <v>1088</v>
      </c>
      <c r="G22" s="29">
        <v>1168</v>
      </c>
      <c r="H22" s="29">
        <v>3669</v>
      </c>
      <c r="I22" s="28" t="s">
        <v>15</v>
      </c>
      <c r="J22" s="29">
        <v>979</v>
      </c>
      <c r="K22" s="29">
        <v>193</v>
      </c>
      <c r="L22" s="28" t="s">
        <v>15</v>
      </c>
      <c r="M22" s="28" t="s">
        <v>15</v>
      </c>
      <c r="N22" s="29">
        <v>48991</v>
      </c>
    </row>
    <row r="23" spans="1:14" x14ac:dyDescent="0.25">
      <c r="A23" s="227"/>
      <c r="B23" s="28"/>
      <c r="C23" s="28"/>
      <c r="D23" s="28"/>
      <c r="E23" s="28"/>
      <c r="F23" s="28"/>
      <c r="G23" s="28"/>
      <c r="H23" s="28"/>
      <c r="I23" s="28"/>
      <c r="J23" s="28"/>
      <c r="K23" s="28"/>
      <c r="L23" s="28"/>
      <c r="M23" s="28"/>
      <c r="N23" s="28"/>
    </row>
    <row r="24" spans="1:14" x14ac:dyDescent="0.25">
      <c r="A24" s="227"/>
      <c r="B24" s="28"/>
      <c r="C24" s="28"/>
      <c r="D24" s="28"/>
      <c r="E24" s="28"/>
      <c r="F24" s="28"/>
      <c r="G24" s="28"/>
      <c r="H24" s="28"/>
      <c r="I24" s="28"/>
      <c r="J24" s="28"/>
      <c r="K24" s="28"/>
      <c r="L24" s="28"/>
      <c r="M24" s="28"/>
      <c r="N24" s="28"/>
    </row>
    <row r="25" spans="1:14" x14ac:dyDescent="0.25">
      <c r="A25" s="227" t="s">
        <v>33</v>
      </c>
      <c r="B25" s="29">
        <v>282</v>
      </c>
      <c r="C25" s="29">
        <v>34</v>
      </c>
      <c r="D25" s="29">
        <v>9</v>
      </c>
      <c r="E25" s="28" t="s">
        <v>15</v>
      </c>
      <c r="F25" s="29">
        <v>68</v>
      </c>
      <c r="G25" s="28" t="s">
        <v>15</v>
      </c>
      <c r="H25" s="29">
        <v>1128</v>
      </c>
      <c r="I25" s="28" t="s">
        <v>15</v>
      </c>
      <c r="J25" s="29">
        <v>3</v>
      </c>
      <c r="K25" s="28" t="s">
        <v>15</v>
      </c>
      <c r="L25" s="28" t="s">
        <v>15</v>
      </c>
      <c r="M25" s="28" t="s">
        <v>15</v>
      </c>
      <c r="N25" s="29">
        <v>1524</v>
      </c>
    </row>
    <row r="26" spans="1:14" x14ac:dyDescent="0.25">
      <c r="A26" s="227" t="s">
        <v>35</v>
      </c>
      <c r="B26" s="28" t="s">
        <v>15</v>
      </c>
      <c r="C26" s="29">
        <v>0</v>
      </c>
      <c r="D26" s="28" t="s">
        <v>15</v>
      </c>
      <c r="E26" s="28" t="s">
        <v>15</v>
      </c>
      <c r="F26" s="28" t="s">
        <v>15</v>
      </c>
      <c r="G26" s="28" t="s">
        <v>15</v>
      </c>
      <c r="H26" s="28" t="s">
        <v>15</v>
      </c>
      <c r="I26" s="28" t="s">
        <v>15</v>
      </c>
      <c r="J26" s="29">
        <v>163549</v>
      </c>
      <c r="K26" s="28" t="s">
        <v>15</v>
      </c>
      <c r="L26" s="28" t="s">
        <v>15</v>
      </c>
      <c r="M26" s="28" t="s">
        <v>15</v>
      </c>
      <c r="N26" s="29">
        <v>163549</v>
      </c>
    </row>
    <row r="27" spans="1:14" x14ac:dyDescent="0.25">
      <c r="A27" s="227" t="s">
        <v>36</v>
      </c>
      <c r="B27" s="28" t="s">
        <v>15</v>
      </c>
      <c r="C27" s="28" t="s">
        <v>15</v>
      </c>
      <c r="D27" s="28" t="s">
        <v>15</v>
      </c>
      <c r="E27" s="28" t="s">
        <v>15</v>
      </c>
      <c r="F27" s="28" t="s">
        <v>15</v>
      </c>
      <c r="G27" s="28" t="s">
        <v>15</v>
      </c>
      <c r="H27" s="28" t="s">
        <v>15</v>
      </c>
      <c r="I27" s="28" t="s">
        <v>15</v>
      </c>
      <c r="J27" s="29">
        <v>129918</v>
      </c>
      <c r="K27" s="28" t="s">
        <v>15</v>
      </c>
      <c r="L27" s="28" t="s">
        <v>15</v>
      </c>
      <c r="M27" s="28" t="s">
        <v>15</v>
      </c>
      <c r="N27" s="29">
        <v>129918</v>
      </c>
    </row>
    <row r="28" spans="1:14" x14ac:dyDescent="0.25">
      <c r="A28" s="227" t="s">
        <v>37</v>
      </c>
      <c r="B28" s="29">
        <v>2326</v>
      </c>
      <c r="C28" s="29">
        <v>35139</v>
      </c>
      <c r="D28" s="29">
        <v>125026</v>
      </c>
      <c r="E28" s="29">
        <v>53220</v>
      </c>
      <c r="F28" s="29">
        <v>87312</v>
      </c>
      <c r="G28" s="29">
        <v>7352</v>
      </c>
      <c r="H28" s="29">
        <v>6019</v>
      </c>
      <c r="I28" s="29">
        <v>63731</v>
      </c>
      <c r="J28" s="29">
        <v>658</v>
      </c>
      <c r="K28" s="29">
        <v>1230</v>
      </c>
      <c r="L28" s="28" t="s">
        <v>15</v>
      </c>
      <c r="M28" s="28" t="s">
        <v>15</v>
      </c>
      <c r="N28" s="29">
        <v>382014</v>
      </c>
    </row>
    <row r="29" spans="1:14" x14ac:dyDescent="0.25">
      <c r="A29" s="227" t="s">
        <v>38</v>
      </c>
      <c r="B29" s="29">
        <v>1801</v>
      </c>
      <c r="C29" s="29">
        <v>26806</v>
      </c>
      <c r="D29" s="29">
        <v>4335</v>
      </c>
      <c r="E29" s="29">
        <v>826</v>
      </c>
      <c r="F29" s="29">
        <v>18274</v>
      </c>
      <c r="G29" s="29">
        <v>2505</v>
      </c>
      <c r="H29" s="29">
        <v>2631</v>
      </c>
      <c r="I29" s="28" t="s">
        <v>15</v>
      </c>
      <c r="J29" s="29">
        <v>42195</v>
      </c>
      <c r="K29" s="29">
        <v>3801</v>
      </c>
      <c r="L29" s="28" t="s">
        <v>15</v>
      </c>
      <c r="M29" s="28" t="s">
        <v>15</v>
      </c>
      <c r="N29" s="29">
        <v>103174</v>
      </c>
    </row>
    <row r="30" spans="1:14" x14ac:dyDescent="0.25">
      <c r="A30" s="227"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27" t="s">
        <v>40</v>
      </c>
      <c r="B31" s="29">
        <v>44</v>
      </c>
      <c r="C31" s="28" t="s">
        <v>15</v>
      </c>
      <c r="D31" s="28" t="s">
        <v>15</v>
      </c>
      <c r="E31" s="29">
        <v>18</v>
      </c>
      <c r="F31" s="28" t="s">
        <v>15</v>
      </c>
      <c r="G31" s="29">
        <v>140292</v>
      </c>
      <c r="H31" s="28" t="s">
        <v>15</v>
      </c>
      <c r="I31" s="29">
        <v>1304736</v>
      </c>
      <c r="J31" s="29">
        <v>13797</v>
      </c>
      <c r="K31" s="29">
        <v>8</v>
      </c>
      <c r="L31" s="28" t="s">
        <v>15</v>
      </c>
      <c r="M31" s="28" t="s">
        <v>15</v>
      </c>
      <c r="N31" s="29">
        <v>1458895</v>
      </c>
    </row>
    <row r="32" spans="1:14" x14ac:dyDescent="0.25">
      <c r="A32" s="227" t="s">
        <v>41</v>
      </c>
      <c r="B32" s="28" t="s">
        <v>15</v>
      </c>
      <c r="C32" s="29">
        <v>25689</v>
      </c>
      <c r="D32" s="29">
        <v>30</v>
      </c>
      <c r="E32" s="28" t="s">
        <v>15</v>
      </c>
      <c r="F32" s="29">
        <v>310</v>
      </c>
      <c r="G32" s="29">
        <v>11892</v>
      </c>
      <c r="H32" s="28" t="s">
        <v>15</v>
      </c>
      <c r="I32" s="28" t="s">
        <v>15</v>
      </c>
      <c r="J32" s="29">
        <v>2</v>
      </c>
      <c r="K32" s="28" t="s">
        <v>15</v>
      </c>
      <c r="L32" s="28" t="s">
        <v>15</v>
      </c>
      <c r="M32" s="28" t="s">
        <v>15</v>
      </c>
      <c r="N32" s="29">
        <v>37923</v>
      </c>
    </row>
    <row r="33" spans="1:14" x14ac:dyDescent="0.25">
      <c r="A33" s="227" t="s">
        <v>43</v>
      </c>
      <c r="B33" s="29">
        <v>6918</v>
      </c>
      <c r="C33" s="29">
        <v>127186</v>
      </c>
      <c r="D33" s="29">
        <v>3069</v>
      </c>
      <c r="E33" s="29">
        <v>17201</v>
      </c>
      <c r="F33" s="29">
        <v>108262</v>
      </c>
      <c r="G33" s="29">
        <v>62088</v>
      </c>
      <c r="H33" s="29">
        <v>31551</v>
      </c>
      <c r="I33" s="28" t="s">
        <v>15</v>
      </c>
      <c r="J33" s="29">
        <v>45703</v>
      </c>
      <c r="K33" s="29">
        <v>15296</v>
      </c>
      <c r="L33" s="28" t="s">
        <v>15</v>
      </c>
      <c r="M33" s="28" t="s">
        <v>15</v>
      </c>
      <c r="N33" s="29">
        <v>417274</v>
      </c>
    </row>
    <row r="34" spans="1:14" x14ac:dyDescent="0.25">
      <c r="A34" s="227" t="s">
        <v>44</v>
      </c>
      <c r="B34" s="28" t="s">
        <v>15</v>
      </c>
      <c r="C34" s="29">
        <v>14419</v>
      </c>
      <c r="D34" s="29">
        <v>10588</v>
      </c>
      <c r="E34" s="29">
        <v>18723</v>
      </c>
      <c r="F34" s="29">
        <v>11663</v>
      </c>
      <c r="G34" s="28" t="s">
        <v>15</v>
      </c>
      <c r="H34" s="29">
        <v>4450567</v>
      </c>
      <c r="I34" s="28" t="s">
        <v>15</v>
      </c>
      <c r="J34" s="28" t="s">
        <v>15</v>
      </c>
      <c r="K34" s="29">
        <v>32755</v>
      </c>
      <c r="L34" s="28" t="s">
        <v>15</v>
      </c>
      <c r="M34" s="28" t="s">
        <v>15</v>
      </c>
      <c r="N34" s="29">
        <v>4538716</v>
      </c>
    </row>
    <row r="35" spans="1:14" x14ac:dyDescent="0.25">
      <c r="A35" s="227" t="s">
        <v>45</v>
      </c>
      <c r="B35" s="28" t="s">
        <v>15</v>
      </c>
      <c r="C35" s="28" t="s">
        <v>15</v>
      </c>
      <c r="D35" s="28" t="s">
        <v>15</v>
      </c>
      <c r="E35" s="29">
        <v>54836</v>
      </c>
      <c r="F35" s="29">
        <v>2365</v>
      </c>
      <c r="G35" s="28" t="s">
        <v>15</v>
      </c>
      <c r="H35" s="28" t="s">
        <v>15</v>
      </c>
      <c r="I35" s="28" t="s">
        <v>15</v>
      </c>
      <c r="J35" s="28" t="s">
        <v>15</v>
      </c>
      <c r="K35" s="28" t="s">
        <v>15</v>
      </c>
      <c r="L35" s="28" t="s">
        <v>15</v>
      </c>
      <c r="M35" s="28" t="s">
        <v>15</v>
      </c>
      <c r="N35" s="29">
        <v>57201</v>
      </c>
    </row>
    <row r="36" spans="1:14" x14ac:dyDescent="0.25">
      <c r="A36" s="227" t="s">
        <v>46</v>
      </c>
      <c r="B36" s="28" t="s">
        <v>15</v>
      </c>
      <c r="C36" s="28" t="s">
        <v>15</v>
      </c>
      <c r="D36" s="28" t="s">
        <v>15</v>
      </c>
      <c r="E36" s="29">
        <v>51625</v>
      </c>
      <c r="F36" s="29">
        <v>7334</v>
      </c>
      <c r="G36" s="28" t="s">
        <v>15</v>
      </c>
      <c r="H36" s="28" t="s">
        <v>15</v>
      </c>
      <c r="I36" s="28" t="s">
        <v>15</v>
      </c>
      <c r="J36" s="28" t="s">
        <v>15</v>
      </c>
      <c r="K36" s="28" t="s">
        <v>15</v>
      </c>
      <c r="L36" s="28" t="s">
        <v>15</v>
      </c>
      <c r="M36" s="28" t="s">
        <v>15</v>
      </c>
      <c r="N36" s="29">
        <v>58959</v>
      </c>
    </row>
    <row r="37" spans="1:14" x14ac:dyDescent="0.25">
      <c r="A37" s="227" t="s">
        <v>47</v>
      </c>
      <c r="B37" s="28" t="s">
        <v>15</v>
      </c>
      <c r="C37" s="28" t="s">
        <v>15</v>
      </c>
      <c r="D37" s="28" t="s">
        <v>15</v>
      </c>
      <c r="E37" s="28" t="s">
        <v>15</v>
      </c>
      <c r="F37" s="28" t="s">
        <v>15</v>
      </c>
      <c r="G37" s="28" t="s">
        <v>15</v>
      </c>
      <c r="H37" s="28" t="s">
        <v>15</v>
      </c>
      <c r="I37" s="29">
        <v>338211</v>
      </c>
      <c r="J37" s="28" t="s">
        <v>15</v>
      </c>
      <c r="K37" s="28" t="s">
        <v>15</v>
      </c>
      <c r="L37" s="28" t="s">
        <v>15</v>
      </c>
      <c r="M37" s="28" t="s">
        <v>15</v>
      </c>
      <c r="N37" s="29">
        <v>338211</v>
      </c>
    </row>
    <row r="38" spans="1:14" x14ac:dyDescent="0.25">
      <c r="A38" s="227"/>
      <c r="B38" s="28"/>
      <c r="C38" s="28"/>
      <c r="D38" s="28"/>
      <c r="E38" s="28"/>
      <c r="F38" s="28"/>
      <c r="G38" s="28"/>
      <c r="H38" s="28"/>
      <c r="I38" s="28"/>
      <c r="J38" s="28"/>
      <c r="K38" s="28"/>
      <c r="L38" s="28"/>
      <c r="M38" s="28"/>
      <c r="N38" s="28"/>
    </row>
    <row r="39" spans="1:14" x14ac:dyDescent="0.25">
      <c r="A39" s="227"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27"/>
      <c r="B40" s="28"/>
      <c r="C40" s="28"/>
      <c r="D40" s="28"/>
      <c r="E40" s="28"/>
      <c r="F40" s="28"/>
      <c r="G40" s="28"/>
      <c r="H40" s="28"/>
      <c r="I40" s="28"/>
      <c r="J40" s="28"/>
      <c r="K40" s="28"/>
      <c r="L40" s="28"/>
      <c r="M40" s="28"/>
      <c r="N40" s="28"/>
    </row>
    <row r="41" spans="1:14" x14ac:dyDescent="0.25">
      <c r="A41" s="227" t="s">
        <v>49</v>
      </c>
      <c r="B41" s="28" t="s">
        <v>15</v>
      </c>
      <c r="C41" s="28" t="s">
        <v>15</v>
      </c>
      <c r="D41" s="28" t="s">
        <v>15</v>
      </c>
      <c r="E41" s="28" t="s">
        <v>15</v>
      </c>
      <c r="F41" s="28" t="s">
        <v>15</v>
      </c>
      <c r="G41" s="28" t="s">
        <v>15</v>
      </c>
      <c r="H41" s="28" t="s">
        <v>15</v>
      </c>
      <c r="I41" s="29">
        <v>140459</v>
      </c>
      <c r="J41" s="28" t="s">
        <v>15</v>
      </c>
      <c r="K41" s="28" t="s">
        <v>15</v>
      </c>
      <c r="L41" s="28" t="s">
        <v>15</v>
      </c>
      <c r="M41" s="28" t="s">
        <v>15</v>
      </c>
      <c r="N41" s="29">
        <v>140459</v>
      </c>
    </row>
    <row r="42" spans="1:14" x14ac:dyDescent="0.25">
      <c r="A42" s="227" t="s">
        <v>50</v>
      </c>
      <c r="B42" s="29">
        <v>1162</v>
      </c>
      <c r="C42" s="29">
        <v>8659</v>
      </c>
      <c r="D42" s="29">
        <v>251</v>
      </c>
      <c r="E42" s="29">
        <v>1794</v>
      </c>
      <c r="F42" s="29">
        <v>4971</v>
      </c>
      <c r="G42" s="29">
        <v>1108</v>
      </c>
      <c r="H42" s="29">
        <v>1722</v>
      </c>
      <c r="I42" s="29">
        <v>0</v>
      </c>
      <c r="J42" s="29">
        <v>104</v>
      </c>
      <c r="K42" s="29">
        <v>853</v>
      </c>
      <c r="L42" s="28" t="s">
        <v>15</v>
      </c>
      <c r="M42" s="28" t="s">
        <v>15</v>
      </c>
      <c r="N42" s="29">
        <v>20625</v>
      </c>
    </row>
    <row r="43" spans="1:14" x14ac:dyDescent="0.25">
      <c r="A43" s="227" t="s">
        <v>51</v>
      </c>
      <c r="B43" s="29">
        <v>228</v>
      </c>
      <c r="C43" s="29">
        <v>681</v>
      </c>
      <c r="D43" s="29">
        <v>23</v>
      </c>
      <c r="E43" s="29">
        <v>166</v>
      </c>
      <c r="F43" s="29">
        <v>491</v>
      </c>
      <c r="G43" s="29">
        <v>148</v>
      </c>
      <c r="H43" s="29">
        <v>251</v>
      </c>
      <c r="I43" s="29">
        <v>0</v>
      </c>
      <c r="J43" s="29">
        <v>4</v>
      </c>
      <c r="K43" s="29">
        <v>143</v>
      </c>
      <c r="L43" s="28" t="s">
        <v>15</v>
      </c>
      <c r="M43" s="28" t="s">
        <v>15</v>
      </c>
      <c r="N43" s="29">
        <v>2134</v>
      </c>
    </row>
    <row r="44" spans="1:14" x14ac:dyDescent="0.25">
      <c r="A44" s="227" t="s">
        <v>52</v>
      </c>
      <c r="B44" s="29">
        <v>286</v>
      </c>
      <c r="C44" s="29">
        <v>519</v>
      </c>
      <c r="D44" s="29">
        <v>2</v>
      </c>
      <c r="E44" s="29">
        <v>241</v>
      </c>
      <c r="F44" s="29">
        <v>258</v>
      </c>
      <c r="G44" s="29">
        <v>376</v>
      </c>
      <c r="H44" s="29">
        <v>642</v>
      </c>
      <c r="I44" s="28" t="s">
        <v>15</v>
      </c>
      <c r="J44" s="29">
        <v>4</v>
      </c>
      <c r="K44" s="29">
        <v>507</v>
      </c>
      <c r="L44" s="28" t="s">
        <v>15</v>
      </c>
      <c r="M44" s="28" t="s">
        <v>15</v>
      </c>
      <c r="N44" s="29">
        <v>2836</v>
      </c>
    </row>
    <row r="45" spans="1:14" x14ac:dyDescent="0.25">
      <c r="A45" s="227" t="s">
        <v>53</v>
      </c>
      <c r="B45" s="29">
        <v>2421</v>
      </c>
      <c r="C45" s="28" t="s">
        <v>15</v>
      </c>
      <c r="D45" s="28" t="s">
        <v>15</v>
      </c>
      <c r="E45" s="28" t="s">
        <v>15</v>
      </c>
      <c r="F45" s="28" t="s">
        <v>15</v>
      </c>
      <c r="G45" s="28" t="s">
        <v>15</v>
      </c>
      <c r="H45" s="28" t="s">
        <v>15</v>
      </c>
      <c r="I45" s="28" t="s">
        <v>15</v>
      </c>
      <c r="J45" s="28" t="s">
        <v>15</v>
      </c>
      <c r="K45" s="28" t="s">
        <v>15</v>
      </c>
      <c r="L45" s="28" t="s">
        <v>15</v>
      </c>
      <c r="M45" s="28" t="s">
        <v>15</v>
      </c>
      <c r="N45" s="29">
        <v>2421</v>
      </c>
    </row>
    <row r="46" spans="1:14" x14ac:dyDescent="0.25">
      <c r="A46" s="227" t="s">
        <v>54</v>
      </c>
      <c r="B46" s="29">
        <v>1024</v>
      </c>
      <c r="C46" s="29">
        <v>62</v>
      </c>
      <c r="D46" s="28" t="s">
        <v>15</v>
      </c>
      <c r="E46" s="28" t="s">
        <v>15</v>
      </c>
      <c r="F46" s="28" t="s">
        <v>15</v>
      </c>
      <c r="G46" s="28" t="s">
        <v>15</v>
      </c>
      <c r="H46" s="29">
        <v>917</v>
      </c>
      <c r="I46" s="28" t="s">
        <v>15</v>
      </c>
      <c r="J46" s="29">
        <v>47</v>
      </c>
      <c r="K46" s="29">
        <v>188</v>
      </c>
      <c r="L46" s="28" t="s">
        <v>15</v>
      </c>
      <c r="M46" s="28" t="s">
        <v>15</v>
      </c>
      <c r="N46" s="29">
        <v>2238</v>
      </c>
    </row>
    <row r="47" spans="1:14" x14ac:dyDescent="0.25">
      <c r="A47" s="227" t="s">
        <v>55</v>
      </c>
      <c r="B47" s="29">
        <v>1120</v>
      </c>
      <c r="C47" s="28" t="s">
        <v>15</v>
      </c>
      <c r="D47" s="28" t="s">
        <v>15</v>
      </c>
      <c r="E47" s="29">
        <v>129</v>
      </c>
      <c r="F47" s="28" t="s">
        <v>15</v>
      </c>
      <c r="G47" s="28" t="s">
        <v>15</v>
      </c>
      <c r="H47" s="28" t="s">
        <v>15</v>
      </c>
      <c r="I47" s="28" t="s">
        <v>15</v>
      </c>
      <c r="J47" s="29">
        <v>159</v>
      </c>
      <c r="K47" s="28" t="s">
        <v>15</v>
      </c>
      <c r="L47" s="28" t="s">
        <v>15</v>
      </c>
      <c r="M47" s="28" t="s">
        <v>15</v>
      </c>
      <c r="N47" s="29">
        <v>1408</v>
      </c>
    </row>
    <row r="48" spans="1:14" x14ac:dyDescent="0.25">
      <c r="A48" s="227" t="s">
        <v>56</v>
      </c>
      <c r="B48" s="29">
        <v>1358</v>
      </c>
      <c r="C48" s="28" t="s">
        <v>15</v>
      </c>
      <c r="D48" s="28" t="s">
        <v>15</v>
      </c>
      <c r="E48" s="29">
        <v>54</v>
      </c>
      <c r="F48" s="28" t="s">
        <v>15</v>
      </c>
      <c r="G48" s="28" t="s">
        <v>15</v>
      </c>
      <c r="H48" s="28" t="s">
        <v>15</v>
      </c>
      <c r="I48" s="28" t="s">
        <v>15</v>
      </c>
      <c r="J48" s="29">
        <v>74</v>
      </c>
      <c r="K48" s="28" t="s">
        <v>15</v>
      </c>
      <c r="L48" s="28" t="s">
        <v>15</v>
      </c>
      <c r="M48" s="28" t="s">
        <v>15</v>
      </c>
      <c r="N48" s="29">
        <v>1486</v>
      </c>
    </row>
    <row r="49" spans="1:14" x14ac:dyDescent="0.25">
      <c r="A49" s="227" t="s">
        <v>57</v>
      </c>
      <c r="B49" s="28" t="s">
        <v>15</v>
      </c>
      <c r="C49" s="28" t="s">
        <v>15</v>
      </c>
      <c r="D49" s="28" t="s">
        <v>15</v>
      </c>
      <c r="E49" s="28" t="s">
        <v>15</v>
      </c>
      <c r="F49" s="28" t="s">
        <v>15</v>
      </c>
      <c r="G49" s="28" t="s">
        <v>15</v>
      </c>
      <c r="H49" s="28" t="s">
        <v>15</v>
      </c>
      <c r="I49" s="29">
        <v>243459</v>
      </c>
      <c r="J49" s="28" t="s">
        <v>15</v>
      </c>
      <c r="K49" s="28" t="s">
        <v>15</v>
      </c>
      <c r="L49" s="28" t="s">
        <v>15</v>
      </c>
      <c r="M49" s="28" t="s">
        <v>15</v>
      </c>
      <c r="N49" s="29">
        <v>243459</v>
      </c>
    </row>
    <row r="50" spans="1:14" x14ac:dyDescent="0.25">
      <c r="A50" s="227" t="s">
        <v>58</v>
      </c>
      <c r="B50" s="28" t="s">
        <v>15</v>
      </c>
      <c r="C50" s="28" t="s">
        <v>15</v>
      </c>
      <c r="D50" s="28" t="s">
        <v>15</v>
      </c>
      <c r="E50" s="28" t="s">
        <v>15</v>
      </c>
      <c r="F50" s="28" t="s">
        <v>15</v>
      </c>
      <c r="G50" s="28" t="s">
        <v>15</v>
      </c>
      <c r="H50" s="28" t="s">
        <v>15</v>
      </c>
      <c r="I50" s="29">
        <v>123997</v>
      </c>
      <c r="J50" s="28" t="s">
        <v>15</v>
      </c>
      <c r="K50" s="28" t="s">
        <v>15</v>
      </c>
      <c r="L50" s="28" t="s">
        <v>15</v>
      </c>
      <c r="M50" s="28" t="s">
        <v>15</v>
      </c>
      <c r="N50" s="29">
        <v>123997</v>
      </c>
    </row>
    <row r="51" spans="1:14" x14ac:dyDescent="0.25">
      <c r="A51" s="227" t="s">
        <v>59</v>
      </c>
      <c r="B51" s="28" t="s">
        <v>15</v>
      </c>
      <c r="C51" s="28" t="s">
        <v>15</v>
      </c>
      <c r="D51" s="29">
        <v>7268</v>
      </c>
      <c r="E51" s="29">
        <v>216856</v>
      </c>
      <c r="F51" s="28" t="s">
        <v>15</v>
      </c>
      <c r="G51" s="28" t="s">
        <v>15</v>
      </c>
      <c r="H51" s="28" t="s">
        <v>15</v>
      </c>
      <c r="I51" s="28" t="s">
        <v>15</v>
      </c>
      <c r="J51" s="28" t="s">
        <v>15</v>
      </c>
      <c r="K51" s="28" t="s">
        <v>15</v>
      </c>
      <c r="L51" s="28" t="s">
        <v>15</v>
      </c>
      <c r="M51" s="28" t="s">
        <v>15</v>
      </c>
      <c r="N51" s="29">
        <v>224124</v>
      </c>
    </row>
    <row r="52" spans="1:14" x14ac:dyDescent="0.25">
      <c r="A52" s="227" t="s">
        <v>60</v>
      </c>
      <c r="B52" s="29">
        <v>0</v>
      </c>
      <c r="C52" s="28" t="s">
        <v>15</v>
      </c>
      <c r="D52" s="29">
        <v>21505</v>
      </c>
      <c r="E52" s="29">
        <v>177846</v>
      </c>
      <c r="F52" s="28" t="s">
        <v>15</v>
      </c>
      <c r="G52" s="28" t="s">
        <v>15</v>
      </c>
      <c r="H52" s="28" t="s">
        <v>15</v>
      </c>
      <c r="I52" s="28" t="s">
        <v>15</v>
      </c>
      <c r="J52" s="28" t="s">
        <v>15</v>
      </c>
      <c r="K52" s="28" t="s">
        <v>15</v>
      </c>
      <c r="L52" s="28" t="s">
        <v>15</v>
      </c>
      <c r="M52" s="28" t="s">
        <v>15</v>
      </c>
      <c r="N52" s="29">
        <v>199351</v>
      </c>
    </row>
    <row r="53" spans="1:14" x14ac:dyDescent="0.25">
      <c r="A53" s="227" t="s">
        <v>61</v>
      </c>
      <c r="B53" s="29">
        <v>1271</v>
      </c>
      <c r="C53" s="29">
        <v>5146</v>
      </c>
      <c r="D53" s="29">
        <v>178</v>
      </c>
      <c r="E53" s="29">
        <v>631</v>
      </c>
      <c r="F53" s="29">
        <v>2752</v>
      </c>
      <c r="G53" s="29">
        <v>3857</v>
      </c>
      <c r="H53" s="29">
        <v>2520</v>
      </c>
      <c r="I53" s="28" t="s">
        <v>15</v>
      </c>
      <c r="J53" s="29">
        <v>4518</v>
      </c>
      <c r="K53" s="29">
        <v>294</v>
      </c>
      <c r="L53" s="28" t="s">
        <v>15</v>
      </c>
      <c r="M53" s="28" t="s">
        <v>15</v>
      </c>
      <c r="N53" s="29">
        <v>21167</v>
      </c>
    </row>
    <row r="54" spans="1:14" x14ac:dyDescent="0.25">
      <c r="A54" s="227" t="s">
        <v>62</v>
      </c>
      <c r="B54" s="29">
        <v>1271</v>
      </c>
      <c r="C54" s="29">
        <v>5146</v>
      </c>
      <c r="D54" s="29">
        <v>178</v>
      </c>
      <c r="E54" s="29">
        <v>631</v>
      </c>
      <c r="F54" s="29">
        <v>2752</v>
      </c>
      <c r="G54" s="29">
        <v>3857</v>
      </c>
      <c r="H54" s="29">
        <v>2520</v>
      </c>
      <c r="I54" s="28" t="s">
        <v>15</v>
      </c>
      <c r="J54" s="29">
        <v>4518</v>
      </c>
      <c r="K54" s="29">
        <v>294</v>
      </c>
      <c r="L54" s="28" t="s">
        <v>15</v>
      </c>
      <c r="M54" s="28" t="s">
        <v>15</v>
      </c>
      <c r="N54" s="29">
        <v>21167</v>
      </c>
    </row>
    <row r="55" spans="1:14" x14ac:dyDescent="0.25">
      <c r="A55" s="227"/>
      <c r="B55" s="28"/>
      <c r="C55" s="28"/>
      <c r="D55" s="28"/>
      <c r="E55" s="28"/>
      <c r="F55" s="28"/>
      <c r="G55" s="28"/>
      <c r="H55" s="28"/>
      <c r="I55" s="28"/>
      <c r="J55" s="28"/>
      <c r="K55" s="28"/>
      <c r="L55" s="28"/>
      <c r="M55" s="28"/>
      <c r="N55" s="28"/>
    </row>
    <row r="56" spans="1:14" x14ac:dyDescent="0.25">
      <c r="A56" s="227" t="s">
        <v>63</v>
      </c>
      <c r="B56" s="29">
        <v>369</v>
      </c>
      <c r="C56" s="29">
        <v>1742</v>
      </c>
      <c r="D56" s="29">
        <v>331</v>
      </c>
      <c r="E56" s="29">
        <v>1320</v>
      </c>
      <c r="F56" s="29">
        <v>10067</v>
      </c>
      <c r="G56" s="29">
        <v>2482</v>
      </c>
      <c r="H56" s="29">
        <v>832</v>
      </c>
      <c r="I56" s="28" t="s">
        <v>15</v>
      </c>
      <c r="J56" s="29">
        <v>427</v>
      </c>
      <c r="K56" s="29">
        <v>1642</v>
      </c>
      <c r="L56" s="28" t="s">
        <v>15</v>
      </c>
      <c r="M56" s="28" t="s">
        <v>15</v>
      </c>
      <c r="N56" s="29">
        <v>19212</v>
      </c>
    </row>
    <row r="57" spans="1:14" x14ac:dyDescent="0.25">
      <c r="A57" s="227"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27" t="s">
        <v>65</v>
      </c>
      <c r="B58" s="29">
        <v>1563</v>
      </c>
      <c r="C58" s="28" t="s">
        <v>15</v>
      </c>
      <c r="D58" s="29">
        <v>8</v>
      </c>
      <c r="E58" s="29">
        <v>-14</v>
      </c>
      <c r="F58" s="29">
        <v>38307</v>
      </c>
      <c r="G58" s="28" t="s">
        <v>15</v>
      </c>
      <c r="H58" s="29">
        <v>1104</v>
      </c>
      <c r="I58" s="29">
        <v>39717</v>
      </c>
      <c r="J58" s="29">
        <v>-46761</v>
      </c>
      <c r="K58" s="29">
        <v>70039</v>
      </c>
      <c r="L58" s="29">
        <v>14028539</v>
      </c>
      <c r="M58" s="29">
        <v>4786667</v>
      </c>
      <c r="N58" s="29">
        <v>18919169</v>
      </c>
    </row>
    <row r="59" spans="1:14" x14ac:dyDescent="0.25">
      <c r="A59" s="227" t="s">
        <v>66</v>
      </c>
      <c r="B59" s="29">
        <v>738343</v>
      </c>
      <c r="C59" s="29">
        <v>1460346</v>
      </c>
      <c r="D59" s="29">
        <v>403291</v>
      </c>
      <c r="E59" s="29">
        <v>980452</v>
      </c>
      <c r="F59" s="29">
        <v>853589</v>
      </c>
      <c r="G59" s="29">
        <v>1707710</v>
      </c>
      <c r="H59" s="29">
        <v>5963036</v>
      </c>
      <c r="I59" s="29">
        <v>2257642</v>
      </c>
      <c r="J59" s="29">
        <v>558502</v>
      </c>
      <c r="K59" s="29">
        <v>577432</v>
      </c>
      <c r="L59" s="29">
        <v>14662445</v>
      </c>
      <c r="M59" s="29">
        <v>4786667</v>
      </c>
      <c r="N59" s="29">
        <v>34949454</v>
      </c>
    </row>
    <row r="60" spans="1:14" x14ac:dyDescent="0.25">
      <c r="A60" s="227" t="s">
        <v>67</v>
      </c>
      <c r="B60" s="29">
        <v>230</v>
      </c>
      <c r="C60" s="29">
        <v>0</v>
      </c>
      <c r="D60" s="29">
        <v>0</v>
      </c>
      <c r="E60" s="29">
        <v>0</v>
      </c>
      <c r="F60" s="29">
        <v>0</v>
      </c>
      <c r="G60" s="29">
        <v>923</v>
      </c>
      <c r="H60" s="29">
        <v>0</v>
      </c>
      <c r="I60" s="29">
        <v>6004</v>
      </c>
      <c r="J60" s="29">
        <v>0</v>
      </c>
      <c r="K60" s="29">
        <v>0</v>
      </c>
      <c r="L60" s="29">
        <v>14027083</v>
      </c>
      <c r="M60" s="29">
        <v>0</v>
      </c>
      <c r="N60" s="29">
        <v>14034240</v>
      </c>
    </row>
    <row r="61" spans="1:14" x14ac:dyDescent="0.25">
      <c r="A61" s="227" t="s">
        <v>68</v>
      </c>
      <c r="B61" s="29">
        <v>738113</v>
      </c>
      <c r="C61" s="29">
        <v>1460346</v>
      </c>
      <c r="D61" s="29">
        <v>403291</v>
      </c>
      <c r="E61" s="29">
        <v>980452</v>
      </c>
      <c r="F61" s="29">
        <v>853589</v>
      </c>
      <c r="G61" s="29">
        <v>1706786</v>
      </c>
      <c r="H61" s="29">
        <v>5963036</v>
      </c>
      <c r="I61" s="29">
        <v>2251637</v>
      </c>
      <c r="J61" s="29">
        <v>558502</v>
      </c>
      <c r="K61" s="29">
        <v>577432</v>
      </c>
      <c r="L61" s="29">
        <v>635363</v>
      </c>
      <c r="M61" s="29">
        <v>4786667</v>
      </c>
      <c r="N61" s="29">
        <v>20915213</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106" zoomScaleSheetLayoutView="106" workbookViewId="0">
      <pane xSplit="2" ySplit="4" topLeftCell="C16" activePane="bottomRight" state="frozen"/>
      <selection pane="topRight" activeCell="C1" sqref="C1"/>
      <selection pane="bottomLeft" activeCell="A6" sqref="A6"/>
      <selection pane="bottomRight" activeCell="A26" sqref="A26:XFD26"/>
    </sheetView>
  </sheetViews>
  <sheetFormatPr defaultRowHeight="15" x14ac:dyDescent="0.2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81" customWidth="1"/>
    <col min="23" max="23" width="12" bestFit="1" customWidth="1"/>
    <col min="24" max="24" width="10.140625" customWidth="1"/>
    <col min="25" max="25" width="13.7109375" bestFit="1" customWidth="1"/>
    <col min="26" max="27" width="10.28515625" customWidth="1"/>
    <col min="28" max="28" width="10.28515625" style="186" customWidth="1"/>
    <col min="29" max="29" width="12.7109375" style="41" customWidth="1"/>
    <col min="30" max="30" width="14.85546875"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81"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81"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x14ac:dyDescent="0.25">
      <c r="A1" s="121"/>
      <c r="B1" s="197"/>
      <c r="C1" s="232" t="s">
        <v>321</v>
      </c>
      <c r="D1" s="232"/>
      <c r="E1" s="232"/>
      <c r="F1" s="232"/>
      <c r="G1" s="232"/>
      <c r="H1" s="232"/>
      <c r="I1" s="232"/>
      <c r="J1" s="232"/>
      <c r="K1" s="232"/>
      <c r="L1" s="1"/>
      <c r="M1" s="1"/>
      <c r="N1" s="1"/>
      <c r="O1" s="1"/>
      <c r="P1" s="1"/>
      <c r="Q1" s="1"/>
      <c r="R1" s="1"/>
      <c r="S1" s="1"/>
      <c r="T1" s="1"/>
      <c r="U1" s="1"/>
      <c r="V1" s="179"/>
      <c r="W1" s="1"/>
      <c r="X1" s="1"/>
      <c r="Y1" s="1"/>
      <c r="Z1" s="1"/>
      <c r="AA1" s="1"/>
      <c r="AB1" s="1"/>
      <c r="AC1" s="2"/>
      <c r="AD1" s="2"/>
      <c r="AE1" s="1"/>
      <c r="AF1" s="1"/>
      <c r="AG1" s="1"/>
      <c r="AH1" s="1"/>
      <c r="AI1" s="1"/>
      <c r="AJ1" s="1"/>
      <c r="AK1" s="1"/>
      <c r="AL1" s="1"/>
      <c r="AM1" s="1"/>
      <c r="AN1" s="1"/>
      <c r="AO1" s="179"/>
      <c r="AP1" s="1"/>
      <c r="AQ1" s="2"/>
      <c r="AR1" s="1"/>
      <c r="AS1" s="1"/>
      <c r="AT1" s="1"/>
      <c r="AU1" s="1"/>
      <c r="AV1" s="1"/>
      <c r="AW1" s="2"/>
      <c r="AX1" s="1"/>
      <c r="AY1" s="1"/>
      <c r="AZ1" s="1"/>
      <c r="BA1" s="1"/>
      <c r="BB1" s="2"/>
      <c r="BD1" s="1"/>
      <c r="BE1" s="1"/>
      <c r="BF1" s="1"/>
      <c r="BG1" s="1"/>
      <c r="BH1" s="179"/>
      <c r="BI1" s="42"/>
      <c r="BJ1" s="1"/>
      <c r="BK1" s="48"/>
    </row>
    <row r="2" spans="1:67" ht="15.75" x14ac:dyDescent="0.25">
      <c r="A2" s="121"/>
      <c r="B2" s="1"/>
      <c r="C2" s="1"/>
      <c r="D2" s="1"/>
      <c r="E2" s="1"/>
      <c r="F2" s="1"/>
      <c r="G2" s="1"/>
      <c r="H2" s="1"/>
      <c r="I2" s="1"/>
      <c r="J2" s="1"/>
      <c r="K2" s="1"/>
      <c r="L2" s="1"/>
      <c r="M2" s="233" t="s">
        <v>69</v>
      </c>
      <c r="N2" s="233"/>
      <c r="O2" s="233"/>
      <c r="P2" s="1"/>
      <c r="Q2" s="1"/>
      <c r="R2" s="1"/>
      <c r="S2" s="1"/>
      <c r="T2" s="1"/>
      <c r="U2" s="1"/>
      <c r="V2" s="179"/>
      <c r="W2" s="1"/>
      <c r="X2" s="1"/>
      <c r="Y2" s="1"/>
      <c r="Z2" s="1"/>
      <c r="AA2" s="1"/>
      <c r="AB2" s="1"/>
      <c r="AC2" s="2"/>
      <c r="AD2" s="2"/>
      <c r="AE2" s="1"/>
      <c r="AF2" s="1"/>
      <c r="AG2" s="1"/>
      <c r="AH2" s="1"/>
      <c r="AI2" s="1"/>
      <c r="AJ2" s="1"/>
      <c r="AK2" s="1"/>
      <c r="AL2" s="1"/>
      <c r="AM2" s="1"/>
      <c r="AN2" s="1"/>
      <c r="AO2" s="179"/>
      <c r="AP2" s="1"/>
      <c r="AQ2" s="233" t="s">
        <v>69</v>
      </c>
      <c r="AR2" s="233"/>
      <c r="AS2" s="233"/>
      <c r="AT2" s="1"/>
      <c r="AU2" s="1"/>
      <c r="AV2" s="1"/>
      <c r="AW2" s="2"/>
      <c r="AX2" s="1"/>
      <c r="AY2" s="1"/>
      <c r="AZ2" s="1"/>
      <c r="BA2" s="1"/>
      <c r="BB2" s="2"/>
      <c r="BC2" s="1"/>
      <c r="BD2" s="1"/>
      <c r="BE2" s="1"/>
      <c r="BF2" s="1"/>
      <c r="BG2" s="1"/>
      <c r="BH2" s="179"/>
      <c r="BI2" s="233" t="s">
        <v>69</v>
      </c>
      <c r="BJ2" s="233"/>
      <c r="BK2" s="233"/>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306</v>
      </c>
      <c r="AC3" s="4" t="s">
        <v>119</v>
      </c>
      <c r="AD3" s="4"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43" t="s">
        <v>126</v>
      </c>
      <c r="BJ3" s="3" t="s">
        <v>127</v>
      </c>
      <c r="BK3" s="49" t="s">
        <v>128</v>
      </c>
    </row>
    <row r="4" spans="1:67" s="132" customFormat="1" ht="15.75" x14ac:dyDescent="0.25">
      <c r="A4" s="130" t="s">
        <v>208</v>
      </c>
      <c r="B4" s="130" t="s">
        <v>129</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130</v>
      </c>
      <c r="BJ4" s="130">
        <v>98</v>
      </c>
      <c r="BK4" s="138"/>
    </row>
    <row r="5" spans="1:67" ht="15.75" x14ac:dyDescent="0.25">
      <c r="A5" s="8" t="s">
        <v>131</v>
      </c>
      <c r="B5" s="11" t="s">
        <v>301</v>
      </c>
      <c r="C5" s="129">
        <v>2657920</v>
      </c>
      <c r="D5" s="122">
        <v>452415</v>
      </c>
      <c r="E5" s="122">
        <v>72518</v>
      </c>
      <c r="F5" s="122">
        <v>283742</v>
      </c>
      <c r="G5" s="122">
        <v>117806</v>
      </c>
      <c r="H5" s="122">
        <v>0</v>
      </c>
      <c r="I5" s="122">
        <v>0</v>
      </c>
      <c r="J5" s="122">
        <v>3825</v>
      </c>
      <c r="K5" s="122">
        <v>6</v>
      </c>
      <c r="L5" s="122">
        <v>9201</v>
      </c>
      <c r="M5" s="122">
        <v>14513</v>
      </c>
      <c r="N5" s="122">
        <v>10309</v>
      </c>
      <c r="O5" s="122">
        <v>16164</v>
      </c>
      <c r="P5" s="122">
        <v>63417</v>
      </c>
      <c r="Q5" s="122">
        <v>0</v>
      </c>
      <c r="R5" s="122">
        <v>20273</v>
      </c>
      <c r="S5" s="122">
        <v>0</v>
      </c>
      <c r="T5" s="122">
        <v>0</v>
      </c>
      <c r="U5" s="122"/>
      <c r="V5" s="195">
        <v>0</v>
      </c>
      <c r="W5" s="122">
        <v>1004</v>
      </c>
      <c r="X5" s="122">
        <v>406</v>
      </c>
      <c r="Y5" s="122">
        <v>3715</v>
      </c>
      <c r="Z5" s="122">
        <v>157</v>
      </c>
      <c r="AA5" s="122">
        <v>165</v>
      </c>
      <c r="AB5" s="122">
        <v>4844</v>
      </c>
      <c r="AC5" s="154">
        <v>0</v>
      </c>
      <c r="AD5" s="123">
        <f t="shared" ref="AD5" si="0">SUM(C5:AC5)</f>
        <v>3732400</v>
      </c>
      <c r="AE5" s="122">
        <v>25030</v>
      </c>
      <c r="AF5" s="122">
        <v>11866</v>
      </c>
      <c r="AG5" s="122">
        <v>35768</v>
      </c>
      <c r="AH5" s="122">
        <v>0</v>
      </c>
      <c r="AI5" s="122">
        <v>0</v>
      </c>
      <c r="AJ5" s="122">
        <v>7219</v>
      </c>
      <c r="AK5" s="122">
        <v>13871</v>
      </c>
      <c r="AL5" s="122">
        <v>17753</v>
      </c>
      <c r="AM5" s="122">
        <v>1348</v>
      </c>
      <c r="AN5" s="122">
        <v>19</v>
      </c>
      <c r="AO5" s="195">
        <v>70995</v>
      </c>
      <c r="AP5" s="122">
        <v>2</v>
      </c>
      <c r="AQ5" s="154">
        <v>0</v>
      </c>
      <c r="AR5" s="122">
        <v>0</v>
      </c>
      <c r="AS5" s="122"/>
      <c r="AT5" s="122"/>
      <c r="AU5" s="122">
        <v>0</v>
      </c>
      <c r="AV5" s="122"/>
      <c r="AW5" s="122">
        <v>15265</v>
      </c>
      <c r="AX5" s="122">
        <v>10723</v>
      </c>
      <c r="AY5" s="122">
        <v>4239</v>
      </c>
      <c r="AZ5" s="122">
        <v>0</v>
      </c>
      <c r="BA5" s="122">
        <v>0</v>
      </c>
      <c r="BB5" s="154">
        <v>0</v>
      </c>
      <c r="BC5" s="122">
        <v>8666</v>
      </c>
      <c r="BD5" s="122">
        <v>8666</v>
      </c>
      <c r="BE5" s="122">
        <v>14</v>
      </c>
      <c r="BF5" s="122">
        <v>2068</v>
      </c>
      <c r="BG5" s="122">
        <v>56958</v>
      </c>
      <c r="BH5" s="9">
        <f>SUM(AE5:BG5)</f>
        <v>290470</v>
      </c>
      <c r="BI5" s="127">
        <f>AD5+BH5</f>
        <v>4022870</v>
      </c>
      <c r="BJ5" s="97">
        <v>1439</v>
      </c>
      <c r="BK5" s="51">
        <f t="shared" ref="BK5" si="1">BI5-BJ5</f>
        <v>4021431</v>
      </c>
      <c r="BL5">
        <v>1</v>
      </c>
      <c r="BM5" s="30"/>
    </row>
    <row r="6" spans="1:67" s="217" customFormat="1" ht="15.75" x14ac:dyDescent="0.25">
      <c r="A6" s="130" t="s">
        <v>131</v>
      </c>
      <c r="B6" s="196" t="s">
        <v>320</v>
      </c>
      <c r="C6" s="9">
        <v>478425.59999999998</v>
      </c>
      <c r="D6" s="9">
        <v>81434.700000000012</v>
      </c>
      <c r="E6" s="9">
        <v>0</v>
      </c>
      <c r="F6" s="9">
        <v>51073.56</v>
      </c>
      <c r="G6" s="9">
        <v>21205.08</v>
      </c>
      <c r="H6" s="9">
        <v>0</v>
      </c>
      <c r="I6" s="9">
        <v>0</v>
      </c>
      <c r="J6" s="9">
        <v>688.5</v>
      </c>
      <c r="K6" s="9">
        <v>1.08</v>
      </c>
      <c r="L6" s="9">
        <v>1656.18</v>
      </c>
      <c r="M6" s="9">
        <v>2612.34</v>
      </c>
      <c r="N6" s="9">
        <v>1855.6200000000001</v>
      </c>
      <c r="O6" s="9">
        <v>2909.5200000000004</v>
      </c>
      <c r="P6" s="9">
        <v>11415.060000000001</v>
      </c>
      <c r="Q6" s="9">
        <v>0</v>
      </c>
      <c r="R6" s="9">
        <v>3649.1400000000003</v>
      </c>
      <c r="S6" s="9">
        <v>0</v>
      </c>
      <c r="T6" s="9">
        <v>0</v>
      </c>
      <c r="U6" s="9"/>
      <c r="V6" s="9">
        <v>0</v>
      </c>
      <c r="W6" s="9">
        <v>180.72000000000003</v>
      </c>
      <c r="X6" s="9">
        <v>73.080000000000013</v>
      </c>
      <c r="Y6" s="9">
        <v>668.7</v>
      </c>
      <c r="Z6" s="9">
        <v>28.26</v>
      </c>
      <c r="AA6" s="9">
        <v>29.700000000000003</v>
      </c>
      <c r="AB6" s="9">
        <v>871.92000000000007</v>
      </c>
      <c r="AC6" s="10">
        <v>0</v>
      </c>
      <c r="AD6" s="123">
        <v>658778.76</v>
      </c>
      <c r="AE6" s="9">
        <v>4505.3999999999996</v>
      </c>
      <c r="AF6" s="9">
        <v>2135.88</v>
      </c>
      <c r="AG6" s="9">
        <v>6438.24</v>
      </c>
      <c r="AH6" s="9">
        <v>0</v>
      </c>
      <c r="AI6" s="9">
        <v>0</v>
      </c>
      <c r="AJ6" s="9">
        <v>1299.42</v>
      </c>
      <c r="AK6" s="9">
        <v>2496.7800000000002</v>
      </c>
      <c r="AL6" s="9">
        <v>3195.54</v>
      </c>
      <c r="AM6" s="9">
        <v>242.64000000000001</v>
      </c>
      <c r="AN6" s="9">
        <v>3.42</v>
      </c>
      <c r="AO6" s="9">
        <v>12779.1</v>
      </c>
      <c r="AP6" s="9">
        <v>0.36</v>
      </c>
      <c r="AQ6" s="10">
        <v>0</v>
      </c>
      <c r="AR6" s="9">
        <v>0</v>
      </c>
      <c r="AS6" s="9"/>
      <c r="AT6" s="9"/>
      <c r="AU6" s="9">
        <v>0</v>
      </c>
      <c r="AV6" s="9"/>
      <c r="AW6" s="9">
        <v>2747.7</v>
      </c>
      <c r="AX6" s="9">
        <v>1930.1399999999999</v>
      </c>
      <c r="AY6" s="9">
        <v>763.02</v>
      </c>
      <c r="AZ6" s="9">
        <v>0</v>
      </c>
      <c r="BA6" s="9">
        <v>0</v>
      </c>
      <c r="BB6" s="10">
        <v>0</v>
      </c>
      <c r="BC6" s="9">
        <v>1559.88</v>
      </c>
      <c r="BD6" s="9">
        <v>1559.88</v>
      </c>
      <c r="BE6" s="9">
        <v>2.5200000000000005</v>
      </c>
      <c r="BF6" s="9">
        <v>372.24</v>
      </c>
      <c r="BG6" s="9">
        <v>10252.44</v>
      </c>
      <c r="BH6" s="9">
        <v>52284.599999999984</v>
      </c>
      <c r="BI6" s="127">
        <v>711063.36</v>
      </c>
      <c r="BJ6" s="9">
        <v>239.83333333333334</v>
      </c>
      <c r="BK6" s="51">
        <v>710823.52666666661</v>
      </c>
      <c r="BL6" s="217">
        <v>0</v>
      </c>
      <c r="BM6" s="30"/>
    </row>
    <row r="7" spans="1:67" ht="15.75" x14ac:dyDescent="0.25">
      <c r="A7" s="130"/>
      <c r="B7" s="12" t="s">
        <v>322</v>
      </c>
      <c r="C7" s="9">
        <f>IF('Upto Month COPPY'!$B$4="",0,'Upto Month COPPY'!$B$4)</f>
        <v>498190</v>
      </c>
      <c r="D7" s="9">
        <f>IF('Upto Month COPPY'!$B$5="",0,'Upto Month COPPY'!$B$5)</f>
        <v>81777</v>
      </c>
      <c r="E7" s="9">
        <f>IF('Upto Month COPPY'!$B$6="",0,'Upto Month COPPY'!$B$6)</f>
        <v>651</v>
      </c>
      <c r="F7" s="9">
        <f>IF('Upto Month COPPY'!$B$7="",0,'Upto Month COPPY'!$B$7)</f>
        <v>51803</v>
      </c>
      <c r="G7" s="9">
        <f>IF('Upto Month COPPY'!$B$8="",0,'Upto Month COPPY'!$B$8)</f>
        <v>19925</v>
      </c>
      <c r="H7" s="9">
        <f>IF('Upto Month COPPY'!$B$9="",0,'Upto Month COPPY'!$B$9)</f>
        <v>0</v>
      </c>
      <c r="I7" s="9">
        <f>IF('Upto Month COPPY'!$B$10="",0,'Upto Month COPPY'!$B$10)</f>
        <v>0</v>
      </c>
      <c r="J7" s="9">
        <f>IF('Upto Month COPPY'!$B$11="",0,'Upto Month COPPY'!$B$11)</f>
        <v>600</v>
      </c>
      <c r="K7" s="9">
        <f>IF('Upto Month COPPY'!$B$12="",0,'Upto Month COPPY'!$B$12)</f>
        <v>0</v>
      </c>
      <c r="L7" s="9">
        <f>IF('Upto Month COPPY'!$B$13="",0,'Upto Month COPPY'!$B$13)</f>
        <v>804</v>
      </c>
      <c r="M7" s="9">
        <f>IF('Upto Month COPPY'!$B$14="",0,'Upto Month COPPY'!$B$14)</f>
        <v>900</v>
      </c>
      <c r="N7" s="9">
        <f>IF('Upto Month COPPY'!$B$15="",0,'Upto Month COPPY'!$B$15)</f>
        <v>188</v>
      </c>
      <c r="O7" s="9">
        <f>IF('Upto Month COPPY'!$B$16="",0,'Upto Month COPPY'!$B$16)</f>
        <v>2727</v>
      </c>
      <c r="P7" s="9">
        <f>IF('Upto Month COPPY'!$B$17="",0,'Upto Month COPPY'!$B$17)</f>
        <v>11010</v>
      </c>
      <c r="Q7" s="9">
        <f>IF('Upto Month COPPY'!$B$18="",0,'Upto Month COPPY'!$B$18)</f>
        <v>0</v>
      </c>
      <c r="R7" s="9">
        <f>IF('Upto Month COPPY'!$B$21="",0,'Upto Month COPPY'!$B$21)</f>
        <v>663</v>
      </c>
      <c r="S7" s="9">
        <f>IF('Upto Month COPPY'!$B$26="",0,'Upto Month COPPY'!$B$26)</f>
        <v>0</v>
      </c>
      <c r="T7" s="9">
        <f>IF('Upto Month COPPY'!$B$27="",0,'Upto Month COPPY'!$B$27)</f>
        <v>0</v>
      </c>
      <c r="U7" s="9">
        <f>IF('Upto Month COPPY'!$B$30="",0,'Upto Month COPPY'!$B$30)</f>
        <v>244</v>
      </c>
      <c r="V7" s="9">
        <f>IF('Upto Month COPPY'!$B$35="",0,'Upto Month COPPY'!$B$35)</f>
        <v>0</v>
      </c>
      <c r="W7" s="9">
        <f>IF('Upto Month COPPY'!$B$39="",0,'Upto Month COPPY'!$B$39)</f>
        <v>314</v>
      </c>
      <c r="X7" s="9">
        <f>IF('Upto Month COPPY'!$B$40="",0,'Upto Month COPPY'!$B$40)</f>
        <v>0</v>
      </c>
      <c r="Y7" s="9">
        <f>IF('Upto Month COPPY'!$B$42="",0,'Upto Month COPPY'!$B$42)</f>
        <v>3920</v>
      </c>
      <c r="Z7" s="9">
        <f>IF('Upto Month COPPY'!$B$43="",0,'Upto Month COPPY'!$B$43)</f>
        <v>1326</v>
      </c>
      <c r="AA7" s="9">
        <f>IF('Upto Month COPPY'!$B$44="",0,'Upto Month COPPY'!$B$44)</f>
        <v>422</v>
      </c>
      <c r="AB7" s="9">
        <f>IF('Upto Month COPPY'!$B$48="",0,'Upto Month COPPY'!$B$48)</f>
        <v>0</v>
      </c>
      <c r="AC7" s="10">
        <f>IF('Upto Month COPPY'!$B$51="",0,'Upto Month COPPY'!$B$51)</f>
        <v>0</v>
      </c>
      <c r="AD7" s="123">
        <f t="shared" ref="AD7:AD8" si="2">SUM(C7:AC7)</f>
        <v>675464</v>
      </c>
      <c r="AE7" s="9">
        <f>IF('Upto Month COPPY'!$B$19="",0,'Upto Month COPPY'!$B$19)</f>
        <v>2965</v>
      </c>
      <c r="AF7" s="9">
        <f>IF('Upto Month COPPY'!$B$20="",0,'Upto Month COPPY'!$B$20)</f>
        <v>2271</v>
      </c>
      <c r="AG7" s="9">
        <f>IF('Upto Month COPPY'!$B$22="",0,'Upto Month COPPY'!$B$22)</f>
        <v>25709</v>
      </c>
      <c r="AH7" s="9">
        <f>IF('Upto Month COPPY'!$B$23="",0,'Upto Month COPPY'!$B$23)</f>
        <v>0</v>
      </c>
      <c r="AI7" s="9">
        <f>IF('Upto Month COPPY'!$B$24="",0,'Upto Month COPPY'!$B$24)</f>
        <v>0</v>
      </c>
      <c r="AJ7" s="9">
        <f>IF('Upto Month COPPY'!$B$25="",0,'Upto Month COPPY'!$B$25)</f>
        <v>1942</v>
      </c>
      <c r="AK7" s="9">
        <f>IF('Upto Month COPPY'!$B$28="",0,'Upto Month COPPY'!$B$28)</f>
        <v>1213</v>
      </c>
      <c r="AL7" s="9">
        <f>IF('Upto Month COPPY'!$B$29="",0,'Upto Month COPPY'!$B$29)</f>
        <v>3365</v>
      </c>
      <c r="AM7" s="9">
        <f>IF('Upto Month COPPY'!$B$31="",0,'Upto Month COPPY'!$B$31)</f>
        <v>0</v>
      </c>
      <c r="AN7" s="9">
        <f>IF('Upto Month COPPY'!$B$32="",0,'Upto Month COPPY'!$B$32)</f>
        <v>0</v>
      </c>
      <c r="AO7" s="9">
        <f>IF('Upto Month COPPY'!$B$33="",0,'Upto Month COPPY'!$B$33)</f>
        <v>14901</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3359</v>
      </c>
      <c r="AX7" s="9">
        <f>IF('Upto Month COPPY'!$B$46="",0,'Upto Month COPPY'!$B$46)</f>
        <v>2195</v>
      </c>
      <c r="AY7" s="9">
        <f>IF('Upto Month COPPY'!$B$47="",0,'Upto Month COPPY'!$B$47)</f>
        <v>425</v>
      </c>
      <c r="AZ7" s="9">
        <f>IF('Upto Month COPPY'!$B$49="",0,'Upto Month COPPY'!$B$49)</f>
        <v>0</v>
      </c>
      <c r="BA7" s="9">
        <f>IF('Upto Month COPPY'!$B$50="",0,'Upto Month COPPY'!$B$50)</f>
        <v>0</v>
      </c>
      <c r="BB7" s="10">
        <f>IF('Upto Month COPPY'!$B$52="",0,'Upto Month COPPY'!$B$52)</f>
        <v>10</v>
      </c>
      <c r="BC7" s="9">
        <f>IF('Upto Month COPPY'!$B$53="",0,'Upto Month COPPY'!$B$53)</f>
        <v>1899</v>
      </c>
      <c r="BD7" s="9">
        <f>IF('Upto Month COPPY'!$B$54="",0,'Upto Month COPPY'!$B$54)</f>
        <v>1899</v>
      </c>
      <c r="BE7" s="9">
        <f>IF('Upto Month COPPY'!$B$55="",0,'Upto Month COPPY'!$B$55)</f>
        <v>0</v>
      </c>
      <c r="BF7" s="9">
        <f>IF('Upto Month COPPY'!$B$56="",0,'Upto Month COPPY'!$B$56)</f>
        <v>582</v>
      </c>
      <c r="BG7" s="9">
        <f>IF('Upto Month COPPY'!$B$58="",0,'Upto Month COPPY'!$B$58)</f>
        <v>4039</v>
      </c>
      <c r="BH7" s="9">
        <f>SUM(AE7:BG7)</f>
        <v>66774</v>
      </c>
      <c r="BI7" s="127">
        <f>AD7+BH7</f>
        <v>742238</v>
      </c>
      <c r="BJ7" s="9">
        <f>IF('Upto Month COPPY'!$B$60="",0,'Upto Month COPPY'!$B$60)</f>
        <v>80</v>
      </c>
      <c r="BK7" s="51">
        <f t="shared" ref="BK7" si="3">BI7-BJ7</f>
        <v>742158</v>
      </c>
      <c r="BL7">
        <f>'Upto Month COPPY'!$B$61</f>
        <v>742158</v>
      </c>
      <c r="BM7" s="30">
        <f t="shared" ref="BM7:BM11" si="4">BK7-AD7</f>
        <v>66694</v>
      </c>
    </row>
    <row r="8" spans="1:67" ht="15.75" x14ac:dyDescent="0.25">
      <c r="A8" s="130"/>
      <c r="B8" s="185" t="s">
        <v>323</v>
      </c>
      <c r="C8" s="9">
        <f>IF('Upto Month Current'!$B$4="",0,'Upto Month Current'!$B$4)</f>
        <v>504078</v>
      </c>
      <c r="D8" s="9">
        <f>IF('Upto Month Current'!$B$5="",0,'Upto Month Current'!$B$5)</f>
        <v>85088</v>
      </c>
      <c r="E8" s="9">
        <f>IF('Upto Month Current'!$B$6="",0,'Upto Month Current'!$B$6)</f>
        <v>111</v>
      </c>
      <c r="F8" s="9">
        <f>IF('Upto Month Current'!$B$7="",0,'Upto Month Current'!$B$7)</f>
        <v>51267</v>
      </c>
      <c r="G8" s="9">
        <f>IF('Upto Month Current'!$B$8="",0,'Upto Month Current'!$B$8)</f>
        <v>20564</v>
      </c>
      <c r="H8" s="9">
        <f>IF('Upto Month Current'!$B$9="",0,'Upto Month Current'!$B$9)</f>
        <v>0</v>
      </c>
      <c r="I8" s="9">
        <f>IF('Upto Month Current'!$B$10="",0,'Upto Month Current'!$B$10)</f>
        <v>0</v>
      </c>
      <c r="J8" s="9">
        <f>IF('Upto Month Current'!$B$11="",0,'Upto Month Current'!$B$11)</f>
        <v>488</v>
      </c>
      <c r="K8" s="9">
        <f>IF('Upto Month Current'!$B$12="",0,'Upto Month Current'!$B$12)</f>
        <v>0</v>
      </c>
      <c r="L8" s="9">
        <f>IF('Upto Month Current'!$B$13="",0,'Upto Month Current'!$B$13)</f>
        <v>302</v>
      </c>
      <c r="M8" s="9">
        <f>IF('Upto Month Current'!$B$14="",0,'Upto Month Current'!$B$14)</f>
        <v>685</v>
      </c>
      <c r="N8" s="9">
        <f>IF('Upto Month Current'!$B$15="",0,'Upto Month Current'!$B$15)</f>
        <v>721</v>
      </c>
      <c r="O8" s="9">
        <f>IF('Upto Month Current'!$B$16="",0,'Upto Month Current'!$B$16)</f>
        <v>1472</v>
      </c>
      <c r="P8" s="9">
        <f>IF('Upto Month Current'!$B$17="",0,'Upto Month Current'!$B$17)</f>
        <v>15090</v>
      </c>
      <c r="Q8" s="9">
        <f>IF('Upto Month Current'!$B$18="",0,'Upto Month Current'!$B$18)</f>
        <v>0</v>
      </c>
      <c r="R8" s="9">
        <f>IF('Upto Month Current'!$B$21="",0,'Upto Month Current'!$B$21)</f>
        <v>1661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1162</v>
      </c>
      <c r="Z8" s="9">
        <f>IF('Upto Month Current'!$B$43="",0,'Upto Month Current'!$B$43)</f>
        <v>228</v>
      </c>
      <c r="AA8" s="9">
        <f>IF('Upto Month Current'!$B$44="",0,'Upto Month Current'!$B$44)</f>
        <v>286</v>
      </c>
      <c r="AB8" s="9">
        <f>IF('Upto Month Current'!$B$48="",0,'Upto Month Current'!$B$48)</f>
        <v>1358</v>
      </c>
      <c r="AC8" s="10">
        <f>IF('Upto Month Current'!$B$51="",0,'Upto Month Current'!$B$51)</f>
        <v>0</v>
      </c>
      <c r="AD8" s="123">
        <f t="shared" si="2"/>
        <v>684561</v>
      </c>
      <c r="AE8" s="9">
        <f>IF('Upto Month Current'!$B$19="",0,'Upto Month Current'!$B$19)</f>
        <v>1608</v>
      </c>
      <c r="AF8" s="9">
        <f>IF('Upto Month Current'!$B$20="",0,'Upto Month Current'!$B$20)</f>
        <v>1160</v>
      </c>
      <c r="AG8" s="9">
        <f>IF('Upto Month Current'!$B$22="",0,'Upto Month Current'!$B$22)</f>
        <v>30602</v>
      </c>
      <c r="AH8" s="9">
        <f>IF('Upto Month Current'!$B$23="",0,'Upto Month Current'!$B$23)</f>
        <v>0</v>
      </c>
      <c r="AI8" s="9">
        <f>IF('Upto Month Current'!$B$24="",0,'Upto Month Current'!$B$24)</f>
        <v>0</v>
      </c>
      <c r="AJ8" s="9">
        <f>IF('Upto Month Current'!$B$25="",0,'Upto Month Current'!$B$25)</f>
        <v>282</v>
      </c>
      <c r="AK8" s="9">
        <f>IF('Upto Month Current'!$B$28="",0,'Upto Month Current'!$B$28)</f>
        <v>2326</v>
      </c>
      <c r="AL8" s="9">
        <f>IF('Upto Month Current'!$B$29="",0,'Upto Month Current'!$B$29)</f>
        <v>1801</v>
      </c>
      <c r="AM8" s="9">
        <f>IF('Upto Month Current'!$B$31="",0,'Upto Month Current'!$B$31)</f>
        <v>44</v>
      </c>
      <c r="AN8" s="9">
        <f>IF('Upto Month Current'!$B$32="",0,'Upto Month Current'!$B$32)</f>
        <v>0</v>
      </c>
      <c r="AO8" s="9">
        <f>IF('Upto Month Current'!$B$33="",0,'Upto Month Current'!$B$33)</f>
        <v>6918</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2421</v>
      </c>
      <c r="AX8" s="9">
        <f>IF('Upto Month Current'!$B$46="",0,'Upto Month Current'!$B$46)</f>
        <v>1024</v>
      </c>
      <c r="AY8" s="9">
        <f>IF('Upto Month Current'!$B$47="",0,'Upto Month Current'!$B$47)</f>
        <v>1120</v>
      </c>
      <c r="AZ8" s="9">
        <f>IF('Upto Month Current'!$B$49="",0,'Upto Month Current'!$B$49)</f>
        <v>0</v>
      </c>
      <c r="BA8" s="9">
        <f>IF('Upto Month Current'!$B$50="",0,'Upto Month Current'!$B$50)</f>
        <v>0</v>
      </c>
      <c r="BB8" s="10">
        <f>IF('Upto Month Current'!$B$52="",0,'Upto Month Current'!$B$52)</f>
        <v>0</v>
      </c>
      <c r="BC8" s="9">
        <f>IF('Upto Month Current'!$B$53="",0,'Upto Month Current'!$B$53)</f>
        <v>1271</v>
      </c>
      <c r="BD8" s="9">
        <f>IF('Upto Month Current'!$B$54="",0,'Upto Month Current'!$B$54)</f>
        <v>1271</v>
      </c>
      <c r="BE8" s="9">
        <f>IF('Upto Month Current'!$B$55="",0,'Upto Month Current'!$B$55)</f>
        <v>0</v>
      </c>
      <c r="BF8" s="9">
        <f>IF('Upto Month Current'!$B$56="",0,'Upto Month Current'!$B$56)</f>
        <v>369</v>
      </c>
      <c r="BG8" s="9">
        <f>IF('Upto Month Current'!$B$58="",0,'Upto Month Current'!$B$58)</f>
        <v>1563</v>
      </c>
      <c r="BH8" s="9">
        <f>SUM(AE8:BG8)</f>
        <v>53780</v>
      </c>
      <c r="BI8" s="127">
        <f>AD8+BH8</f>
        <v>738341</v>
      </c>
      <c r="BJ8" s="9">
        <f>IF('Upto Month Current'!$B$60="",0,'Upto Month Current'!$B$60)</f>
        <v>230</v>
      </c>
      <c r="BK8" s="51">
        <f t="shared" ref="BK8" si="5">BI8-BJ8</f>
        <v>738111</v>
      </c>
      <c r="BL8">
        <f>'Upto Month Current'!$B$61</f>
        <v>738113</v>
      </c>
      <c r="BM8" s="30">
        <f t="shared" si="4"/>
        <v>53550</v>
      </c>
    </row>
    <row r="9" spans="1:67" ht="15.75" x14ac:dyDescent="0.25">
      <c r="A9" s="130"/>
      <c r="B9" s="5" t="s">
        <v>132</v>
      </c>
      <c r="C9" s="11">
        <f>C8-C6</f>
        <v>25652.400000000023</v>
      </c>
      <c r="D9" s="11">
        <f t="shared" ref="D9:BK9" si="6">D8-D6</f>
        <v>3653.2999999999884</v>
      </c>
      <c r="E9" s="11">
        <f t="shared" si="6"/>
        <v>111</v>
      </c>
      <c r="F9" s="11">
        <f t="shared" si="6"/>
        <v>193.44000000000233</v>
      </c>
      <c r="G9" s="11">
        <f t="shared" si="6"/>
        <v>-641.08000000000175</v>
      </c>
      <c r="H9" s="11">
        <f t="shared" si="6"/>
        <v>0</v>
      </c>
      <c r="I9" s="11">
        <f t="shared" si="6"/>
        <v>0</v>
      </c>
      <c r="J9" s="11">
        <f t="shared" si="6"/>
        <v>-200.5</v>
      </c>
      <c r="K9" s="11">
        <f t="shared" si="6"/>
        <v>-1.08</v>
      </c>
      <c r="L9" s="11">
        <f t="shared" si="6"/>
        <v>-1354.18</v>
      </c>
      <c r="M9" s="11">
        <f t="shared" si="6"/>
        <v>-1927.3400000000001</v>
      </c>
      <c r="N9" s="11">
        <f t="shared" si="6"/>
        <v>-1134.6200000000001</v>
      </c>
      <c r="O9" s="11">
        <f t="shared" si="6"/>
        <v>-1437.5200000000004</v>
      </c>
      <c r="P9" s="11">
        <f t="shared" si="6"/>
        <v>3674.9399999999987</v>
      </c>
      <c r="Q9" s="11">
        <f t="shared" si="6"/>
        <v>0</v>
      </c>
      <c r="R9" s="11">
        <f t="shared" si="6"/>
        <v>-1988.1400000000003</v>
      </c>
      <c r="S9" s="11">
        <f t="shared" si="6"/>
        <v>0</v>
      </c>
      <c r="T9" s="11">
        <f t="shared" si="6"/>
        <v>0</v>
      </c>
      <c r="U9" s="11">
        <f t="shared" ref="U9" si="7">U8-U6</f>
        <v>0</v>
      </c>
      <c r="V9" s="9">
        <f t="shared" si="6"/>
        <v>0</v>
      </c>
      <c r="W9" s="11">
        <f t="shared" si="6"/>
        <v>-180.72000000000003</v>
      </c>
      <c r="X9" s="11">
        <f t="shared" si="6"/>
        <v>-73.080000000000013</v>
      </c>
      <c r="Y9" s="11">
        <f t="shared" si="6"/>
        <v>493.29999999999995</v>
      </c>
      <c r="Z9" s="11">
        <f t="shared" si="6"/>
        <v>199.74</v>
      </c>
      <c r="AA9" s="11">
        <f t="shared" si="6"/>
        <v>256.3</v>
      </c>
      <c r="AB9" s="11">
        <f t="shared" ref="AB9" si="8">AB8-AB6</f>
        <v>486.07999999999993</v>
      </c>
      <c r="AC9" s="10">
        <f t="shared" ref="AC9" si="9">AC8-AC6</f>
        <v>0</v>
      </c>
      <c r="AD9" s="11">
        <f t="shared" si="6"/>
        <v>25782.239999999991</v>
      </c>
      <c r="AE9" s="11">
        <f t="shared" si="6"/>
        <v>-2897.3999999999996</v>
      </c>
      <c r="AF9" s="11">
        <f t="shared" si="6"/>
        <v>-975.88000000000011</v>
      </c>
      <c r="AG9" s="11">
        <f t="shared" si="6"/>
        <v>24163.760000000002</v>
      </c>
      <c r="AH9" s="11">
        <f t="shared" si="6"/>
        <v>0</v>
      </c>
      <c r="AI9" s="11">
        <f t="shared" si="6"/>
        <v>0</v>
      </c>
      <c r="AJ9" s="11">
        <f t="shared" si="6"/>
        <v>-1017.4200000000001</v>
      </c>
      <c r="AK9" s="11">
        <f t="shared" si="6"/>
        <v>-170.7800000000002</v>
      </c>
      <c r="AL9" s="11">
        <f t="shared" si="6"/>
        <v>-1394.54</v>
      </c>
      <c r="AM9" s="11">
        <f t="shared" si="6"/>
        <v>-198.64000000000001</v>
      </c>
      <c r="AN9" s="11">
        <f t="shared" si="6"/>
        <v>-3.42</v>
      </c>
      <c r="AO9" s="9">
        <f t="shared" si="6"/>
        <v>-5861.1</v>
      </c>
      <c r="AP9" s="11">
        <f t="shared" si="6"/>
        <v>-0.36</v>
      </c>
      <c r="AQ9" s="10">
        <f t="shared" si="6"/>
        <v>0</v>
      </c>
      <c r="AR9" s="11">
        <f t="shared" si="6"/>
        <v>0</v>
      </c>
      <c r="AS9" s="11">
        <f t="shared" si="6"/>
        <v>0</v>
      </c>
      <c r="AT9" s="11">
        <f t="shared" si="6"/>
        <v>0</v>
      </c>
      <c r="AU9" s="11">
        <f t="shared" si="6"/>
        <v>0</v>
      </c>
      <c r="AV9" s="11">
        <f t="shared" si="6"/>
        <v>0</v>
      </c>
      <c r="AW9" s="11">
        <f t="shared" si="6"/>
        <v>-326.69999999999982</v>
      </c>
      <c r="AX9" s="11">
        <f t="shared" si="6"/>
        <v>-906.13999999999987</v>
      </c>
      <c r="AY9" s="11">
        <f t="shared" si="6"/>
        <v>356.98</v>
      </c>
      <c r="AZ9" s="11">
        <f t="shared" si="6"/>
        <v>0</v>
      </c>
      <c r="BA9" s="11">
        <f t="shared" si="6"/>
        <v>0</v>
      </c>
      <c r="BB9" s="10">
        <f t="shared" si="6"/>
        <v>0</v>
      </c>
      <c r="BC9" s="11">
        <f t="shared" si="6"/>
        <v>-288.88000000000011</v>
      </c>
      <c r="BD9" s="11">
        <f t="shared" si="6"/>
        <v>-288.88000000000011</v>
      </c>
      <c r="BE9" s="11">
        <f t="shared" si="6"/>
        <v>-2.5200000000000005</v>
      </c>
      <c r="BF9" s="11">
        <f t="shared" si="6"/>
        <v>-3.2400000000000091</v>
      </c>
      <c r="BG9" s="11">
        <f t="shared" si="6"/>
        <v>-8689.44</v>
      </c>
      <c r="BH9" s="9">
        <f t="shared" si="6"/>
        <v>1495.400000000016</v>
      </c>
      <c r="BI9" s="45">
        <f t="shared" si="6"/>
        <v>27277.640000000014</v>
      </c>
      <c r="BJ9" s="11">
        <f t="shared" si="6"/>
        <v>-9.8333333333333428</v>
      </c>
      <c r="BK9" s="51">
        <f t="shared" si="6"/>
        <v>27287.473333333386</v>
      </c>
      <c r="BM9" s="30">
        <f t="shared" si="4"/>
        <v>1505.2333333333954</v>
      </c>
    </row>
    <row r="10" spans="1:67" ht="15.75" x14ac:dyDescent="0.25">
      <c r="A10" s="130"/>
      <c r="B10" s="5" t="s">
        <v>133</v>
      </c>
      <c r="C10" s="13">
        <f>C9/C6</f>
        <v>5.3618368247853009E-2</v>
      </c>
      <c r="D10" s="13">
        <f t="shared" ref="D10:BM10" si="10">D9/D6</f>
        <v>4.4861711285238207E-2</v>
      </c>
      <c r="E10" s="13" t="e">
        <f t="shared" si="10"/>
        <v>#DIV/0!</v>
      </c>
      <c r="F10" s="13">
        <f t="shared" si="10"/>
        <v>3.787478296010741E-3</v>
      </c>
      <c r="G10" s="13">
        <f t="shared" si="10"/>
        <v>-3.0232378279167148E-2</v>
      </c>
      <c r="H10" s="13" t="e">
        <f t="shared" si="10"/>
        <v>#DIV/0!</v>
      </c>
      <c r="I10" s="13" t="e">
        <f t="shared" si="10"/>
        <v>#DIV/0!</v>
      </c>
      <c r="J10" s="13">
        <f t="shared" si="10"/>
        <v>-0.29121278140885987</v>
      </c>
      <c r="K10" s="13">
        <f t="shared" si="10"/>
        <v>-1</v>
      </c>
      <c r="L10" s="13">
        <f t="shared" si="10"/>
        <v>-0.81765267060343683</v>
      </c>
      <c r="M10" s="13">
        <f t="shared" si="10"/>
        <v>-0.7377829838382447</v>
      </c>
      <c r="N10" s="13">
        <f t="shared" si="10"/>
        <v>-0.61145062027785868</v>
      </c>
      <c r="O10" s="13">
        <f t="shared" si="10"/>
        <v>-0.49407462399296109</v>
      </c>
      <c r="P10" s="13">
        <f t="shared" si="10"/>
        <v>0.32193786103620992</v>
      </c>
      <c r="Q10" s="13" t="e">
        <f t="shared" si="10"/>
        <v>#DIV/0!</v>
      </c>
      <c r="R10" s="13">
        <f t="shared" si="10"/>
        <v>-0.5448242599626214</v>
      </c>
      <c r="S10" s="13" t="e">
        <f t="shared" si="10"/>
        <v>#DIV/0!</v>
      </c>
      <c r="T10" s="13" t="e">
        <f t="shared" si="10"/>
        <v>#DIV/0!</v>
      </c>
      <c r="U10" s="13" t="e">
        <f t="shared" ref="U10" si="11">U9/U6</f>
        <v>#DIV/0!</v>
      </c>
      <c r="V10" s="165" t="e">
        <f t="shared" si="10"/>
        <v>#DIV/0!</v>
      </c>
      <c r="W10" s="13">
        <f t="shared" si="10"/>
        <v>-1</v>
      </c>
      <c r="X10" s="13">
        <f t="shared" si="10"/>
        <v>-1</v>
      </c>
      <c r="Y10" s="13">
        <f t="shared" si="10"/>
        <v>0.73770001495438897</v>
      </c>
      <c r="Z10" s="13">
        <f t="shared" si="10"/>
        <v>7.0679405520169851</v>
      </c>
      <c r="AA10" s="13">
        <f t="shared" si="10"/>
        <v>8.6296296296296298</v>
      </c>
      <c r="AB10" s="13">
        <f t="shared" ref="AB10" si="12">AB9/AB6</f>
        <v>0.55748233782915846</v>
      </c>
      <c r="AC10" s="14" t="e">
        <f t="shared" ref="AC10" si="13">AC9/AC6</f>
        <v>#DIV/0!</v>
      </c>
      <c r="AD10" s="13">
        <f t="shared" si="10"/>
        <v>3.9136416602138159E-2</v>
      </c>
      <c r="AE10" s="13">
        <f t="shared" si="10"/>
        <v>-0.64309495272339856</v>
      </c>
      <c r="AF10" s="13">
        <f t="shared" si="10"/>
        <v>-0.45689832762140198</v>
      </c>
      <c r="AG10" s="13">
        <f t="shared" si="10"/>
        <v>3.7531623549292981</v>
      </c>
      <c r="AH10" s="13" t="e">
        <f t="shared" si="10"/>
        <v>#DIV/0!</v>
      </c>
      <c r="AI10" s="13" t="e">
        <f t="shared" si="10"/>
        <v>#DIV/0!</v>
      </c>
      <c r="AJ10" s="13">
        <f t="shared" si="10"/>
        <v>-0.78298009881331676</v>
      </c>
      <c r="AK10" s="13">
        <f t="shared" si="10"/>
        <v>-6.8400099327934449E-2</v>
      </c>
      <c r="AL10" s="13">
        <f t="shared" si="10"/>
        <v>-0.43640198526696583</v>
      </c>
      <c r="AM10" s="13">
        <f t="shared" si="10"/>
        <v>-0.81866139136168814</v>
      </c>
      <c r="AN10" s="13">
        <f t="shared" si="10"/>
        <v>-1</v>
      </c>
      <c r="AO10" s="165">
        <f t="shared" si="10"/>
        <v>-0.45864732258140245</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-0.11889944317065176</v>
      </c>
      <c r="AX10" s="13">
        <f t="shared" si="10"/>
        <v>-0.46946853596112198</v>
      </c>
      <c r="AY10" s="13">
        <f t="shared" si="10"/>
        <v>0.4678514324657283</v>
      </c>
      <c r="AZ10" s="13" t="e">
        <f t="shared" si="10"/>
        <v>#DIV/0!</v>
      </c>
      <c r="BA10" s="13" t="e">
        <f t="shared" si="10"/>
        <v>#DIV/0!</v>
      </c>
      <c r="BB10" s="14" t="e">
        <f t="shared" si="10"/>
        <v>#DIV/0!</v>
      </c>
      <c r="BC10" s="13">
        <f t="shared" si="10"/>
        <v>-0.18519373285124502</v>
      </c>
      <c r="BD10" s="13">
        <f t="shared" si="10"/>
        <v>-0.18519373285124502</v>
      </c>
      <c r="BE10" s="13">
        <f t="shared" si="10"/>
        <v>-1</v>
      </c>
      <c r="BF10" s="13">
        <f t="shared" si="10"/>
        <v>-8.7040618955512815E-3</v>
      </c>
      <c r="BG10" s="13">
        <f t="shared" si="10"/>
        <v>-0.84754848601893795</v>
      </c>
      <c r="BH10" s="165">
        <f t="shared" si="10"/>
        <v>2.8601155980920126E-2</v>
      </c>
      <c r="BI10" s="46">
        <f t="shared" si="10"/>
        <v>3.836175724199882E-2</v>
      </c>
      <c r="BJ10" s="13">
        <f t="shared" si="10"/>
        <v>-4.1000694927032698E-2</v>
      </c>
      <c r="BK10" s="52">
        <f t="shared" si="10"/>
        <v>3.8388534298091075E-2</v>
      </c>
      <c r="BM10" s="165" t="e">
        <f t="shared" si="10"/>
        <v>#DIV/0!</v>
      </c>
    </row>
    <row r="11" spans="1:67" ht="15.75" x14ac:dyDescent="0.25">
      <c r="A11" s="130"/>
      <c r="B11" s="5" t="s">
        <v>134</v>
      </c>
      <c r="C11" s="11">
        <f>C8-C7</f>
        <v>5888</v>
      </c>
      <c r="D11" s="11">
        <f t="shared" ref="D11:BK11" si="14">D8-D7</f>
        <v>3311</v>
      </c>
      <c r="E11" s="11">
        <f t="shared" si="14"/>
        <v>-540</v>
      </c>
      <c r="F11" s="11">
        <f t="shared" si="14"/>
        <v>-536</v>
      </c>
      <c r="G11" s="11">
        <f t="shared" si="14"/>
        <v>639</v>
      </c>
      <c r="H11" s="11">
        <f t="shared" si="14"/>
        <v>0</v>
      </c>
      <c r="I11" s="11">
        <f t="shared" si="14"/>
        <v>0</v>
      </c>
      <c r="J11" s="11">
        <f t="shared" si="14"/>
        <v>-112</v>
      </c>
      <c r="K11" s="11">
        <f t="shared" si="14"/>
        <v>0</v>
      </c>
      <c r="L11" s="11">
        <f t="shared" si="14"/>
        <v>-502</v>
      </c>
      <c r="M11" s="11">
        <f t="shared" si="14"/>
        <v>-215</v>
      </c>
      <c r="N11" s="11">
        <f t="shared" si="14"/>
        <v>533</v>
      </c>
      <c r="O11" s="11">
        <f t="shared" si="14"/>
        <v>-1255</v>
      </c>
      <c r="P11" s="11">
        <f t="shared" si="14"/>
        <v>4080</v>
      </c>
      <c r="Q11" s="11">
        <f t="shared" si="14"/>
        <v>0</v>
      </c>
      <c r="R11" s="11">
        <f t="shared" si="14"/>
        <v>998</v>
      </c>
      <c r="S11" s="11">
        <f t="shared" si="14"/>
        <v>0</v>
      </c>
      <c r="T11" s="11">
        <f t="shared" si="14"/>
        <v>0</v>
      </c>
      <c r="U11" s="11">
        <f t="shared" ref="U11" si="15">U8-U7</f>
        <v>-244</v>
      </c>
      <c r="V11" s="9">
        <f t="shared" si="14"/>
        <v>0</v>
      </c>
      <c r="W11" s="11">
        <f t="shared" si="14"/>
        <v>-314</v>
      </c>
      <c r="X11" s="11">
        <f t="shared" si="14"/>
        <v>0</v>
      </c>
      <c r="Y11" s="11">
        <f t="shared" si="14"/>
        <v>-2758</v>
      </c>
      <c r="Z11" s="11">
        <f t="shared" si="14"/>
        <v>-1098</v>
      </c>
      <c r="AA11" s="11">
        <f t="shared" si="14"/>
        <v>-136</v>
      </c>
      <c r="AB11" s="11">
        <f t="shared" ref="AB11" si="16">AB8-AB7</f>
        <v>1358</v>
      </c>
      <c r="AC11" s="10">
        <f t="shared" ref="AC11" si="17">AC8-AC7</f>
        <v>0</v>
      </c>
      <c r="AD11" s="11">
        <f t="shared" si="14"/>
        <v>9097</v>
      </c>
      <c r="AE11" s="11">
        <f t="shared" si="14"/>
        <v>-1357</v>
      </c>
      <c r="AF11" s="11">
        <f t="shared" si="14"/>
        <v>-1111</v>
      </c>
      <c r="AG11" s="11">
        <f t="shared" si="14"/>
        <v>4893</v>
      </c>
      <c r="AH11" s="11">
        <f t="shared" si="14"/>
        <v>0</v>
      </c>
      <c r="AI11" s="11">
        <f t="shared" si="14"/>
        <v>0</v>
      </c>
      <c r="AJ11" s="11">
        <f t="shared" si="14"/>
        <v>-1660</v>
      </c>
      <c r="AK11" s="11">
        <f t="shared" si="14"/>
        <v>1113</v>
      </c>
      <c r="AL11" s="11">
        <f t="shared" si="14"/>
        <v>-1564</v>
      </c>
      <c r="AM11" s="11">
        <f t="shared" si="14"/>
        <v>44</v>
      </c>
      <c r="AN11" s="11">
        <f t="shared" si="14"/>
        <v>0</v>
      </c>
      <c r="AO11" s="9">
        <f t="shared" si="14"/>
        <v>-7983</v>
      </c>
      <c r="AP11" s="11">
        <f t="shared" si="14"/>
        <v>0</v>
      </c>
      <c r="AQ11" s="10">
        <f t="shared" si="14"/>
        <v>0</v>
      </c>
      <c r="AR11" s="11">
        <f t="shared" si="14"/>
        <v>0</v>
      </c>
      <c r="AS11" s="11">
        <f t="shared" si="14"/>
        <v>0</v>
      </c>
      <c r="AT11" s="11">
        <f t="shared" si="14"/>
        <v>0</v>
      </c>
      <c r="AU11" s="11">
        <f t="shared" si="14"/>
        <v>0</v>
      </c>
      <c r="AV11" s="11">
        <f t="shared" si="14"/>
        <v>0</v>
      </c>
      <c r="AW11" s="11">
        <f t="shared" si="14"/>
        <v>-938</v>
      </c>
      <c r="AX11" s="11">
        <f t="shared" si="14"/>
        <v>-1171</v>
      </c>
      <c r="AY11" s="11">
        <f t="shared" si="14"/>
        <v>695</v>
      </c>
      <c r="AZ11" s="11">
        <f t="shared" si="14"/>
        <v>0</v>
      </c>
      <c r="BA11" s="11">
        <f t="shared" si="14"/>
        <v>0</v>
      </c>
      <c r="BB11" s="10">
        <f t="shared" si="14"/>
        <v>-10</v>
      </c>
      <c r="BC11" s="11">
        <f t="shared" si="14"/>
        <v>-628</v>
      </c>
      <c r="BD11" s="11">
        <f t="shared" si="14"/>
        <v>-628</v>
      </c>
      <c r="BE11" s="11">
        <f t="shared" si="14"/>
        <v>0</v>
      </c>
      <c r="BF11" s="11">
        <f t="shared" si="14"/>
        <v>-213</v>
      </c>
      <c r="BG11" s="11">
        <f t="shared" si="14"/>
        <v>-2476</v>
      </c>
      <c r="BH11" s="9">
        <f t="shared" si="14"/>
        <v>-12994</v>
      </c>
      <c r="BI11" s="45">
        <f t="shared" si="14"/>
        <v>-3897</v>
      </c>
      <c r="BJ11" s="11">
        <f t="shared" si="14"/>
        <v>150</v>
      </c>
      <c r="BK11" s="51">
        <f t="shared" si="14"/>
        <v>-4047</v>
      </c>
      <c r="BM11" s="30">
        <f t="shared" si="4"/>
        <v>-13144</v>
      </c>
    </row>
    <row r="12" spans="1:67" ht="15.75" x14ac:dyDescent="0.25">
      <c r="A12" s="130"/>
      <c r="B12" s="5" t="s">
        <v>135</v>
      </c>
      <c r="C12" s="13">
        <f>C11/C7</f>
        <v>1.1818783998073025E-2</v>
      </c>
      <c r="D12" s="13">
        <f t="shared" ref="D12:BM12" si="18">D11/D7</f>
        <v>4.0488156816708858E-2</v>
      </c>
      <c r="E12" s="13">
        <f t="shared" si="18"/>
        <v>-0.82949308755760365</v>
      </c>
      <c r="F12" s="13">
        <f t="shared" si="18"/>
        <v>-1.0346891106692662E-2</v>
      </c>
      <c r="G12" s="13">
        <f t="shared" si="18"/>
        <v>3.20702634880803E-2</v>
      </c>
      <c r="H12" s="13" t="e">
        <f t="shared" si="18"/>
        <v>#DIV/0!</v>
      </c>
      <c r="I12" s="13" t="e">
        <f t="shared" si="18"/>
        <v>#DIV/0!</v>
      </c>
      <c r="J12" s="13">
        <f t="shared" si="18"/>
        <v>-0.18666666666666668</v>
      </c>
      <c r="K12" s="13" t="e">
        <f t="shared" si="18"/>
        <v>#DIV/0!</v>
      </c>
      <c r="L12" s="13">
        <f t="shared" si="18"/>
        <v>-0.62437810945273631</v>
      </c>
      <c r="M12" s="13">
        <f t="shared" si="18"/>
        <v>-0.2388888888888889</v>
      </c>
      <c r="N12" s="13">
        <f t="shared" si="18"/>
        <v>2.8351063829787235</v>
      </c>
      <c r="O12" s="13">
        <f t="shared" si="18"/>
        <v>-0.46021268793546022</v>
      </c>
      <c r="P12" s="13">
        <f t="shared" si="18"/>
        <v>0.37057220708446864</v>
      </c>
      <c r="Q12" s="13" t="e">
        <f t="shared" si="18"/>
        <v>#DIV/0!</v>
      </c>
      <c r="R12" s="13">
        <f t="shared" si="18"/>
        <v>1.5052790346907994</v>
      </c>
      <c r="S12" s="13" t="e">
        <f t="shared" si="18"/>
        <v>#DIV/0!</v>
      </c>
      <c r="T12" s="13" t="e">
        <f t="shared" si="18"/>
        <v>#DIV/0!</v>
      </c>
      <c r="U12" s="13">
        <f t="shared" ref="U12" si="19">U11/U7</f>
        <v>-1</v>
      </c>
      <c r="V12" s="165" t="e">
        <f t="shared" si="18"/>
        <v>#DIV/0!</v>
      </c>
      <c r="W12" s="13">
        <f t="shared" si="18"/>
        <v>-1</v>
      </c>
      <c r="X12" s="13" t="e">
        <f t="shared" si="18"/>
        <v>#DIV/0!</v>
      </c>
      <c r="Y12" s="13">
        <f t="shared" si="18"/>
        <v>-0.70357142857142863</v>
      </c>
      <c r="Z12" s="13">
        <f t="shared" si="18"/>
        <v>-0.82805429864253388</v>
      </c>
      <c r="AA12" s="13">
        <f t="shared" si="18"/>
        <v>-0.32227488151658767</v>
      </c>
      <c r="AB12" s="13" t="e">
        <f t="shared" ref="AB12" si="20">AB11/AB7</f>
        <v>#DIV/0!</v>
      </c>
      <c r="AC12" s="14" t="e">
        <f t="shared" ref="AC12" si="21">AC11/AC7</f>
        <v>#DIV/0!</v>
      </c>
      <c r="AD12" s="13">
        <f t="shared" si="18"/>
        <v>1.3467779185863346E-2</v>
      </c>
      <c r="AE12" s="13">
        <f t="shared" si="18"/>
        <v>-0.45767284991568297</v>
      </c>
      <c r="AF12" s="13">
        <f t="shared" si="18"/>
        <v>-0.48921180096873623</v>
      </c>
      <c r="AG12" s="13">
        <f t="shared" si="18"/>
        <v>0.19032245517134078</v>
      </c>
      <c r="AH12" s="13" t="e">
        <f t="shared" si="18"/>
        <v>#DIV/0!</v>
      </c>
      <c r="AI12" s="13" t="e">
        <f t="shared" si="18"/>
        <v>#DIV/0!</v>
      </c>
      <c r="AJ12" s="13">
        <f t="shared" si="18"/>
        <v>-0.85478887744593202</v>
      </c>
      <c r="AK12" s="13">
        <f t="shared" si="18"/>
        <v>0.91755976916735371</v>
      </c>
      <c r="AL12" s="13">
        <f t="shared" si="18"/>
        <v>-0.4647845468053492</v>
      </c>
      <c r="AM12" s="13" t="e">
        <f t="shared" si="18"/>
        <v>#DIV/0!</v>
      </c>
      <c r="AN12" s="13" t="e">
        <f t="shared" si="18"/>
        <v>#DIV/0!</v>
      </c>
      <c r="AO12" s="165">
        <f t="shared" si="18"/>
        <v>-0.53573585665391588</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-0.27924977671926171</v>
      </c>
      <c r="AX12" s="13">
        <f t="shared" si="18"/>
        <v>-0.53348519362186786</v>
      </c>
      <c r="AY12" s="13">
        <f t="shared" si="18"/>
        <v>1.6352941176470588</v>
      </c>
      <c r="AZ12" s="13" t="e">
        <f t="shared" si="18"/>
        <v>#DIV/0!</v>
      </c>
      <c r="BA12" s="13" t="e">
        <f t="shared" si="18"/>
        <v>#DIV/0!</v>
      </c>
      <c r="BB12" s="14">
        <f t="shared" si="18"/>
        <v>-1</v>
      </c>
      <c r="BC12" s="13">
        <f t="shared" si="18"/>
        <v>-0.33070036861506058</v>
      </c>
      <c r="BD12" s="13">
        <f t="shared" si="18"/>
        <v>-0.33070036861506058</v>
      </c>
      <c r="BE12" s="13" t="e">
        <f t="shared" si="18"/>
        <v>#DIV/0!</v>
      </c>
      <c r="BF12" s="13">
        <f t="shared" si="18"/>
        <v>-0.36597938144329895</v>
      </c>
      <c r="BG12" s="13">
        <f t="shared" si="18"/>
        <v>-0.61302302550136167</v>
      </c>
      <c r="BH12" s="165">
        <f t="shared" si="18"/>
        <v>-0.19459669931410428</v>
      </c>
      <c r="BI12" s="46">
        <f t="shared" si="18"/>
        <v>-5.2503374928257514E-3</v>
      </c>
      <c r="BJ12" s="13">
        <f t="shared" si="18"/>
        <v>1.875</v>
      </c>
      <c r="BK12" s="52">
        <f t="shared" si="18"/>
        <v>-5.4530167430654926E-3</v>
      </c>
      <c r="BM12" s="14">
        <f t="shared" si="18"/>
        <v>-0.19707919752901309</v>
      </c>
      <c r="BO12" s="36"/>
    </row>
    <row r="13" spans="1:67" ht="15.75" x14ac:dyDescent="0.25">
      <c r="A13" s="130"/>
      <c r="B13" s="5" t="s">
        <v>296</v>
      </c>
      <c r="C13" s="128">
        <f>C8/C5</f>
        <v>0.18965130628461352</v>
      </c>
      <c r="D13" s="128">
        <f t="shared" ref="D13:BM13" si="22">D8/D5</f>
        <v>0.18807510803134289</v>
      </c>
      <c r="E13" s="128">
        <f t="shared" si="22"/>
        <v>1.5306544582034806E-3</v>
      </c>
      <c r="F13" s="128">
        <f t="shared" si="22"/>
        <v>0.18068174609328191</v>
      </c>
      <c r="G13" s="128">
        <f t="shared" si="22"/>
        <v>0.17455817190974993</v>
      </c>
      <c r="H13" s="128" t="e">
        <f t="shared" si="22"/>
        <v>#DIV/0!</v>
      </c>
      <c r="I13" s="128" t="e">
        <f t="shared" si="22"/>
        <v>#DIV/0!</v>
      </c>
      <c r="J13" s="128">
        <f t="shared" si="22"/>
        <v>0.12758169934640523</v>
      </c>
      <c r="K13" s="128">
        <f t="shared" si="22"/>
        <v>0</v>
      </c>
      <c r="L13" s="128">
        <f t="shared" si="22"/>
        <v>3.2822519291381372E-2</v>
      </c>
      <c r="M13" s="128">
        <f t="shared" si="22"/>
        <v>4.7199062909115963E-2</v>
      </c>
      <c r="N13" s="128">
        <f t="shared" si="22"/>
        <v>6.9938888349985448E-2</v>
      </c>
      <c r="O13" s="128">
        <f t="shared" si="22"/>
        <v>9.1066567681267016E-2</v>
      </c>
      <c r="P13" s="128">
        <f t="shared" si="22"/>
        <v>0.23794881498651782</v>
      </c>
      <c r="Q13" s="128" t="e">
        <f t="shared" si="22"/>
        <v>#DIV/0!</v>
      </c>
      <c r="R13" s="128">
        <f t="shared" si="22"/>
        <v>8.1931633206728166E-2</v>
      </c>
      <c r="S13" s="128" t="e">
        <f t="shared" si="22"/>
        <v>#DIV/0!</v>
      </c>
      <c r="T13" s="128" t="e">
        <f t="shared" si="22"/>
        <v>#DIV/0!</v>
      </c>
      <c r="U13" s="128" t="e">
        <f t="shared" si="22"/>
        <v>#DIV/0!</v>
      </c>
      <c r="V13" s="180" t="e">
        <f t="shared" si="22"/>
        <v>#DIV/0!</v>
      </c>
      <c r="W13" s="128">
        <f t="shared" si="22"/>
        <v>0</v>
      </c>
      <c r="X13" s="128">
        <f t="shared" si="22"/>
        <v>0</v>
      </c>
      <c r="Y13" s="128">
        <f t="shared" si="22"/>
        <v>0.31278600269179002</v>
      </c>
      <c r="Z13" s="128">
        <f t="shared" si="22"/>
        <v>1.4522292993630572</v>
      </c>
      <c r="AA13" s="128">
        <f t="shared" si="22"/>
        <v>1.7333333333333334</v>
      </c>
      <c r="AB13" s="128">
        <f t="shared" ref="AB13" si="23">AB8/AB5</f>
        <v>0.28034682080924855</v>
      </c>
      <c r="AC13" s="228" t="e">
        <f t="shared" si="22"/>
        <v>#DIV/0!</v>
      </c>
      <c r="AD13" s="128">
        <f t="shared" si="22"/>
        <v>0.1834104061729718</v>
      </c>
      <c r="AE13" s="128">
        <f t="shared" si="22"/>
        <v>6.4242908509788255E-2</v>
      </c>
      <c r="AF13" s="128">
        <f t="shared" si="22"/>
        <v>9.7758301028147643E-2</v>
      </c>
      <c r="AG13" s="128">
        <f t="shared" si="22"/>
        <v>0.85556922388727352</v>
      </c>
      <c r="AH13" s="128" t="e">
        <f t="shared" si="22"/>
        <v>#DIV/0!</v>
      </c>
      <c r="AI13" s="128" t="e">
        <f t="shared" si="22"/>
        <v>#DIV/0!</v>
      </c>
      <c r="AJ13" s="128">
        <f t="shared" si="22"/>
        <v>3.9063582213602989E-2</v>
      </c>
      <c r="AK13" s="128">
        <f t="shared" si="22"/>
        <v>0.1676879821209718</v>
      </c>
      <c r="AL13" s="128">
        <f t="shared" si="22"/>
        <v>0.10144764265194615</v>
      </c>
      <c r="AM13" s="128">
        <f t="shared" si="22"/>
        <v>3.2640949554896145E-2</v>
      </c>
      <c r="AN13" s="128">
        <f t="shared" si="22"/>
        <v>0</v>
      </c>
      <c r="AO13" s="180">
        <f t="shared" si="22"/>
        <v>9.7443481935347562E-2</v>
      </c>
      <c r="AP13" s="128">
        <f t="shared" si="22"/>
        <v>0</v>
      </c>
      <c r="AQ13" s="228" t="e">
        <f t="shared" si="22"/>
        <v>#DIV/0!</v>
      </c>
      <c r="AR13" s="128" t="e">
        <f t="shared" si="22"/>
        <v>#DIV/0!</v>
      </c>
      <c r="AS13" s="128" t="e">
        <f t="shared" si="22"/>
        <v>#DIV/0!</v>
      </c>
      <c r="AT13" s="128" t="e">
        <f t="shared" si="22"/>
        <v>#DIV/0!</v>
      </c>
      <c r="AU13" s="128" t="e">
        <f t="shared" si="22"/>
        <v>#DIV/0!</v>
      </c>
      <c r="AV13" s="128" t="e">
        <f t="shared" si="22"/>
        <v>#DIV/0!</v>
      </c>
      <c r="AW13" s="128">
        <f t="shared" si="22"/>
        <v>0.15859810022928267</v>
      </c>
      <c r="AX13" s="128">
        <f t="shared" si="22"/>
        <v>9.5495663526998037E-2</v>
      </c>
      <c r="AY13" s="128">
        <f t="shared" si="22"/>
        <v>0.2642132578438311</v>
      </c>
      <c r="AZ13" s="128" t="e">
        <f t="shared" si="22"/>
        <v>#DIV/0!</v>
      </c>
      <c r="BA13" s="128" t="e">
        <f t="shared" si="22"/>
        <v>#DIV/0!</v>
      </c>
      <c r="BB13" s="228" t="e">
        <f t="shared" si="22"/>
        <v>#DIV/0!</v>
      </c>
      <c r="BC13" s="128">
        <f t="shared" si="22"/>
        <v>0.1466651280867759</v>
      </c>
      <c r="BD13" s="128">
        <f t="shared" si="22"/>
        <v>0.1466651280867759</v>
      </c>
      <c r="BE13" s="128">
        <f t="shared" si="22"/>
        <v>0</v>
      </c>
      <c r="BF13" s="128">
        <f t="shared" si="22"/>
        <v>0.17843326885880079</v>
      </c>
      <c r="BG13" s="128">
        <f t="shared" si="22"/>
        <v>2.7441272516591172E-2</v>
      </c>
      <c r="BH13" s="180">
        <f t="shared" si="22"/>
        <v>0.18514820807656557</v>
      </c>
      <c r="BI13" s="128">
        <f t="shared" si="22"/>
        <v>0.18353588358559933</v>
      </c>
      <c r="BJ13" s="128">
        <f t="shared" si="22"/>
        <v>0.15983321751216123</v>
      </c>
      <c r="BK13" s="128">
        <f t="shared" si="22"/>
        <v>0.18354436517747041</v>
      </c>
      <c r="BM13" s="128" t="e">
        <f t="shared" si="22"/>
        <v>#DIV/0!</v>
      </c>
    </row>
    <row r="14" spans="1:67" s="183" customFormat="1" ht="15.75" x14ac:dyDescent="0.25">
      <c r="A14" s="130"/>
      <c r="B14" s="5" t="s">
        <v>297</v>
      </c>
      <c r="C14" s="11">
        <f>C5-C8</f>
        <v>2153842</v>
      </c>
      <c r="D14" s="11">
        <f>D5-D8</f>
        <v>367327</v>
      </c>
      <c r="E14" s="11">
        <f>E5-E8</f>
        <v>72407</v>
      </c>
      <c r="F14" s="11">
        <f>F5-F8</f>
        <v>232475</v>
      </c>
      <c r="G14" s="11">
        <f t="shared" ref="G14:BM14" si="24">G5-G8</f>
        <v>97242</v>
      </c>
      <c r="H14" s="11">
        <f t="shared" si="24"/>
        <v>0</v>
      </c>
      <c r="I14" s="11">
        <f t="shared" si="24"/>
        <v>0</v>
      </c>
      <c r="J14" s="11">
        <f t="shared" si="24"/>
        <v>3337</v>
      </c>
      <c r="K14" s="11">
        <f t="shared" si="24"/>
        <v>6</v>
      </c>
      <c r="L14" s="11">
        <f t="shared" si="24"/>
        <v>8899</v>
      </c>
      <c r="M14" s="11">
        <f t="shared" si="24"/>
        <v>13828</v>
      </c>
      <c r="N14" s="11">
        <f t="shared" si="24"/>
        <v>9588</v>
      </c>
      <c r="O14" s="11">
        <f t="shared" si="24"/>
        <v>14692</v>
      </c>
      <c r="P14" s="11">
        <f t="shared" si="24"/>
        <v>48327</v>
      </c>
      <c r="Q14" s="11">
        <f t="shared" si="24"/>
        <v>0</v>
      </c>
      <c r="R14" s="11">
        <f t="shared" si="24"/>
        <v>18612</v>
      </c>
      <c r="S14" s="11">
        <f t="shared" si="24"/>
        <v>0</v>
      </c>
      <c r="T14" s="11">
        <f t="shared" si="24"/>
        <v>0</v>
      </c>
      <c r="U14" s="11">
        <f t="shared" si="24"/>
        <v>0</v>
      </c>
      <c r="V14" s="9">
        <f t="shared" si="24"/>
        <v>0</v>
      </c>
      <c r="W14" s="11">
        <f t="shared" si="24"/>
        <v>1004</v>
      </c>
      <c r="X14" s="11">
        <f t="shared" si="24"/>
        <v>406</v>
      </c>
      <c r="Y14" s="11">
        <f t="shared" si="24"/>
        <v>2553</v>
      </c>
      <c r="Z14" s="11">
        <f t="shared" si="24"/>
        <v>-71</v>
      </c>
      <c r="AA14" s="11">
        <f t="shared" si="24"/>
        <v>-121</v>
      </c>
      <c r="AB14" s="11">
        <f t="shared" ref="AB14" si="25">AB5-AB8</f>
        <v>3486</v>
      </c>
      <c r="AC14" s="10">
        <f t="shared" si="24"/>
        <v>0</v>
      </c>
      <c r="AD14" s="11">
        <f t="shared" si="24"/>
        <v>3047839</v>
      </c>
      <c r="AE14" s="11">
        <f t="shared" si="24"/>
        <v>23422</v>
      </c>
      <c r="AF14" s="11">
        <f t="shared" si="24"/>
        <v>10706</v>
      </c>
      <c r="AG14" s="11">
        <f t="shared" si="24"/>
        <v>5166</v>
      </c>
      <c r="AH14" s="11">
        <f t="shared" si="24"/>
        <v>0</v>
      </c>
      <c r="AI14" s="11">
        <f t="shared" si="24"/>
        <v>0</v>
      </c>
      <c r="AJ14" s="11">
        <f t="shared" si="24"/>
        <v>6937</v>
      </c>
      <c r="AK14" s="11">
        <f t="shared" si="24"/>
        <v>11545</v>
      </c>
      <c r="AL14" s="11">
        <f t="shared" si="24"/>
        <v>15952</v>
      </c>
      <c r="AM14" s="11">
        <f t="shared" si="24"/>
        <v>1304</v>
      </c>
      <c r="AN14" s="11">
        <f t="shared" si="24"/>
        <v>19</v>
      </c>
      <c r="AO14" s="9">
        <f t="shared" si="24"/>
        <v>64077</v>
      </c>
      <c r="AP14" s="11">
        <f t="shared" si="24"/>
        <v>2</v>
      </c>
      <c r="AQ14" s="10">
        <f t="shared" si="24"/>
        <v>0</v>
      </c>
      <c r="AR14" s="11">
        <f t="shared" si="24"/>
        <v>0</v>
      </c>
      <c r="AS14" s="11">
        <f t="shared" si="24"/>
        <v>0</v>
      </c>
      <c r="AT14" s="11">
        <f t="shared" si="24"/>
        <v>0</v>
      </c>
      <c r="AU14" s="11">
        <f t="shared" si="24"/>
        <v>0</v>
      </c>
      <c r="AV14" s="11">
        <f t="shared" si="24"/>
        <v>0</v>
      </c>
      <c r="AW14" s="11">
        <f t="shared" si="24"/>
        <v>12844</v>
      </c>
      <c r="AX14" s="11">
        <f t="shared" si="24"/>
        <v>9699</v>
      </c>
      <c r="AY14" s="11">
        <f t="shared" si="24"/>
        <v>3119</v>
      </c>
      <c r="AZ14" s="11">
        <f t="shared" si="24"/>
        <v>0</v>
      </c>
      <c r="BA14" s="11">
        <f t="shared" si="24"/>
        <v>0</v>
      </c>
      <c r="BB14" s="10">
        <f t="shared" si="24"/>
        <v>0</v>
      </c>
      <c r="BC14" s="11">
        <f t="shared" si="24"/>
        <v>7395</v>
      </c>
      <c r="BD14" s="11">
        <f t="shared" si="24"/>
        <v>7395</v>
      </c>
      <c r="BE14" s="11">
        <f t="shared" si="24"/>
        <v>14</v>
      </c>
      <c r="BF14" s="11">
        <f t="shared" si="24"/>
        <v>1699</v>
      </c>
      <c r="BG14" s="11">
        <f t="shared" si="24"/>
        <v>55395</v>
      </c>
      <c r="BH14" s="11">
        <f t="shared" si="24"/>
        <v>236690</v>
      </c>
      <c r="BI14" s="11">
        <f t="shared" si="24"/>
        <v>3284529</v>
      </c>
      <c r="BJ14" s="11">
        <f t="shared" si="24"/>
        <v>1209</v>
      </c>
      <c r="BK14" s="11">
        <f t="shared" si="24"/>
        <v>3283320</v>
      </c>
      <c r="BL14" s="11">
        <f t="shared" si="24"/>
        <v>-738112</v>
      </c>
      <c r="BM14" s="11">
        <f t="shared" si="24"/>
        <v>-53550</v>
      </c>
    </row>
    <row r="15" spans="1:67" ht="15.75" x14ac:dyDescent="0.2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ht="15.75" x14ac:dyDescent="0.25">
      <c r="A16" s="15" t="s">
        <v>136</v>
      </c>
      <c r="B16" s="11" t="s">
        <v>301</v>
      </c>
      <c r="C16" s="122">
        <v>4776865</v>
      </c>
      <c r="D16" s="122">
        <v>812890</v>
      </c>
      <c r="E16" s="122">
        <v>272943</v>
      </c>
      <c r="F16" s="122">
        <v>384668</v>
      </c>
      <c r="G16" s="122">
        <v>275484</v>
      </c>
      <c r="H16" s="122">
        <v>0</v>
      </c>
      <c r="I16" s="122">
        <v>0</v>
      </c>
      <c r="J16" s="122">
        <v>0</v>
      </c>
      <c r="K16" s="122">
        <v>0</v>
      </c>
      <c r="L16" s="122">
        <v>74988</v>
      </c>
      <c r="M16" s="122">
        <v>508892</v>
      </c>
      <c r="N16" s="122">
        <v>638</v>
      </c>
      <c r="O16" s="122">
        <v>9836</v>
      </c>
      <c r="P16" s="122">
        <v>277243</v>
      </c>
      <c r="Q16" s="122">
        <v>0</v>
      </c>
      <c r="R16" s="122">
        <v>7855</v>
      </c>
      <c r="S16" s="122">
        <v>0</v>
      </c>
      <c r="T16" s="122">
        <v>0</v>
      </c>
      <c r="U16" s="122"/>
      <c r="V16" s="195">
        <v>0</v>
      </c>
      <c r="W16" s="122">
        <v>0</v>
      </c>
      <c r="X16" s="122">
        <v>0</v>
      </c>
      <c r="Y16" s="122">
        <v>11205</v>
      </c>
      <c r="Z16" s="122">
        <v>710</v>
      </c>
      <c r="AA16" s="122">
        <v>1257</v>
      </c>
      <c r="AB16" s="122">
        <v>8704</v>
      </c>
      <c r="AC16" s="154">
        <v>0</v>
      </c>
      <c r="AD16" s="123">
        <f t="shared" ref="AD16" si="26">SUM(C16:AC16)</f>
        <v>7424178</v>
      </c>
      <c r="AE16" s="122">
        <v>3210</v>
      </c>
      <c r="AF16" s="122">
        <v>1005</v>
      </c>
      <c r="AG16" s="122">
        <v>16779</v>
      </c>
      <c r="AH16" s="122">
        <v>0</v>
      </c>
      <c r="AI16" s="122">
        <v>0</v>
      </c>
      <c r="AJ16" s="122">
        <v>141</v>
      </c>
      <c r="AK16" s="122">
        <v>264414</v>
      </c>
      <c r="AL16" s="122">
        <v>284909</v>
      </c>
      <c r="AM16" s="122">
        <v>0</v>
      </c>
      <c r="AN16" s="122">
        <v>101024</v>
      </c>
      <c r="AO16" s="195">
        <v>835503</v>
      </c>
      <c r="AP16" s="122">
        <v>18310</v>
      </c>
      <c r="AQ16" s="154">
        <v>0</v>
      </c>
      <c r="AR16" s="122">
        <v>0</v>
      </c>
      <c r="AS16" s="122"/>
      <c r="AT16" s="122"/>
      <c r="AU16" s="122">
        <v>0</v>
      </c>
      <c r="AV16" s="122"/>
      <c r="AW16" s="122">
        <v>2724</v>
      </c>
      <c r="AX16" s="122">
        <v>2363</v>
      </c>
      <c r="AY16" s="122">
        <v>1366</v>
      </c>
      <c r="AZ16" s="122">
        <v>0</v>
      </c>
      <c r="BA16" s="122">
        <v>0</v>
      </c>
      <c r="BB16" s="154">
        <v>0</v>
      </c>
      <c r="BC16" s="122">
        <v>30573</v>
      </c>
      <c r="BD16" s="122">
        <v>30575</v>
      </c>
      <c r="BE16" s="122">
        <v>0</v>
      </c>
      <c r="BF16" s="122">
        <v>10406</v>
      </c>
      <c r="BG16" s="122">
        <v>22367</v>
      </c>
      <c r="BH16" s="9">
        <f>SUM(AE16:BG16)</f>
        <v>1625669</v>
      </c>
      <c r="BI16" s="127">
        <f>AD16+BH16</f>
        <v>9049847</v>
      </c>
      <c r="BJ16" s="98">
        <v>32950</v>
      </c>
      <c r="BK16" s="51">
        <f t="shared" ref="BK16" si="27">BI16-BJ16</f>
        <v>9016897</v>
      </c>
      <c r="BL16">
        <v>2</v>
      </c>
      <c r="BM16" s="30"/>
    </row>
    <row r="17" spans="1:65" s="217" customFormat="1" ht="15.75" x14ac:dyDescent="0.25">
      <c r="A17" s="130" t="s">
        <v>136</v>
      </c>
      <c r="B17" s="196" t="s">
        <v>320</v>
      </c>
      <c r="C17" s="9">
        <v>859835.7</v>
      </c>
      <c r="D17" s="9">
        <v>146320.20000000001</v>
      </c>
      <c r="E17" s="9">
        <v>0</v>
      </c>
      <c r="F17" s="9">
        <v>69240.240000000005</v>
      </c>
      <c r="G17" s="9">
        <v>49587.12</v>
      </c>
      <c r="H17" s="9">
        <v>0</v>
      </c>
      <c r="I17" s="9">
        <v>0</v>
      </c>
      <c r="J17" s="9">
        <v>0</v>
      </c>
      <c r="K17" s="9">
        <v>0</v>
      </c>
      <c r="L17" s="9">
        <v>13497.84</v>
      </c>
      <c r="M17" s="9">
        <v>91600.56</v>
      </c>
      <c r="N17" s="9">
        <v>114.84</v>
      </c>
      <c r="O17" s="9">
        <v>1770.48</v>
      </c>
      <c r="P17" s="9">
        <v>49903.740000000005</v>
      </c>
      <c r="Q17" s="9">
        <v>0</v>
      </c>
      <c r="R17" s="9">
        <v>1413.9</v>
      </c>
      <c r="S17" s="9">
        <v>0</v>
      </c>
      <c r="T17" s="9">
        <v>0</v>
      </c>
      <c r="U17" s="9"/>
      <c r="V17" s="9">
        <v>0</v>
      </c>
      <c r="W17" s="9">
        <v>0</v>
      </c>
      <c r="X17" s="9">
        <v>0</v>
      </c>
      <c r="Y17" s="9">
        <v>2016.9</v>
      </c>
      <c r="Z17" s="9">
        <v>127.80000000000001</v>
      </c>
      <c r="AA17" s="9">
        <v>226.26</v>
      </c>
      <c r="AB17" s="9">
        <v>1566.7200000000003</v>
      </c>
      <c r="AC17" s="10">
        <v>0</v>
      </c>
      <c r="AD17" s="123">
        <v>1287222.3</v>
      </c>
      <c r="AE17" s="9">
        <v>577.79999999999995</v>
      </c>
      <c r="AF17" s="9">
        <v>180.9</v>
      </c>
      <c r="AG17" s="9">
        <v>3020.2200000000003</v>
      </c>
      <c r="AH17" s="9">
        <v>0</v>
      </c>
      <c r="AI17" s="9">
        <v>0</v>
      </c>
      <c r="AJ17" s="9">
        <v>25.380000000000003</v>
      </c>
      <c r="AK17" s="9">
        <v>47594.520000000004</v>
      </c>
      <c r="AL17" s="9">
        <v>51283.62</v>
      </c>
      <c r="AM17" s="9">
        <v>0</v>
      </c>
      <c r="AN17" s="9">
        <v>18184.32</v>
      </c>
      <c r="AO17" s="9">
        <v>150390.54</v>
      </c>
      <c r="AP17" s="9">
        <v>3295.8</v>
      </c>
      <c r="AQ17" s="10">
        <v>0</v>
      </c>
      <c r="AR17" s="9">
        <v>0</v>
      </c>
      <c r="AS17" s="9"/>
      <c r="AT17" s="9"/>
      <c r="AU17" s="9">
        <v>0</v>
      </c>
      <c r="AV17" s="9"/>
      <c r="AW17" s="9">
        <v>490.32000000000005</v>
      </c>
      <c r="AX17" s="9">
        <v>425.34000000000003</v>
      </c>
      <c r="AY17" s="9">
        <v>245.88</v>
      </c>
      <c r="AZ17" s="9">
        <v>0</v>
      </c>
      <c r="BA17" s="9">
        <v>0</v>
      </c>
      <c r="BB17" s="10">
        <v>0</v>
      </c>
      <c r="BC17" s="9">
        <v>5503.14</v>
      </c>
      <c r="BD17" s="9">
        <v>5503.5</v>
      </c>
      <c r="BE17" s="9">
        <v>0</v>
      </c>
      <c r="BF17" s="9">
        <v>1873.0800000000002</v>
      </c>
      <c r="BG17" s="9">
        <v>4026.0600000000004</v>
      </c>
      <c r="BH17" s="9">
        <v>292620.4200000001</v>
      </c>
      <c r="BI17" s="127">
        <v>1579842.7200000002</v>
      </c>
      <c r="BJ17" s="9">
        <v>5491.666666666667</v>
      </c>
      <c r="BK17" s="51">
        <v>1574351.0533333335</v>
      </c>
      <c r="BM17" s="30"/>
    </row>
    <row r="18" spans="1:65" ht="15.75" x14ac:dyDescent="0.25">
      <c r="A18" s="130"/>
      <c r="B18" s="12" t="s">
        <v>322</v>
      </c>
      <c r="C18" s="9">
        <f>IF('Upto Month COPPY'!$C$4="",0,'Upto Month COPPY'!$C$4)</f>
        <v>788460</v>
      </c>
      <c r="D18" s="9">
        <f>IF('Upto Month COPPY'!$C$5="",0,'Upto Month COPPY'!$C$5)</f>
        <v>124481</v>
      </c>
      <c r="E18" s="9">
        <f>IF('Upto Month COPPY'!$C$6="",0,'Upto Month COPPY'!$C$6)</f>
        <v>827</v>
      </c>
      <c r="F18" s="9">
        <f>IF('Upto Month COPPY'!$C$7="",0,'Upto Month COPPY'!$C$7)</f>
        <v>56755</v>
      </c>
      <c r="G18" s="9">
        <f>IF('Upto Month COPPY'!$C$8="",0,'Upto Month COPPY'!$C$8)</f>
        <v>42887</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14448</v>
      </c>
      <c r="M18" s="9">
        <f>IF('Upto Month COPPY'!$C$14="",0,'Upto Month COPPY'!$C$14)</f>
        <v>64441</v>
      </c>
      <c r="N18" s="9">
        <f>IF('Upto Month COPPY'!$C$15="",0,'Upto Month COPPY'!$C$15)</f>
        <v>154</v>
      </c>
      <c r="O18" s="9">
        <f>IF('Upto Month COPPY'!$C$16="",0,'Upto Month COPPY'!$C$16)</f>
        <v>900</v>
      </c>
      <c r="P18" s="9">
        <f>IF('Upto Month COPPY'!$C$17="",0,'Upto Month COPPY'!$C$17)</f>
        <v>40510</v>
      </c>
      <c r="Q18" s="9">
        <f>IF('Upto Month COPPY'!$C$18="",0,'Upto Month COPPY'!$C$18)</f>
        <v>0</v>
      </c>
      <c r="R18" s="9">
        <f>IF('Upto Month COPPY'!$C$21="",0,'Upto Month COPPY'!$C$21)</f>
        <v>396</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2368</v>
      </c>
      <c r="Z18" s="9">
        <f>IF('Upto Month COPPY'!$C$43="",0,'Upto Month COPPY'!$C$43)</f>
        <v>192</v>
      </c>
      <c r="AA18" s="9">
        <f>IF('Upto Month COPPY'!$C$44="",0,'Upto Month COPPY'!$C$44)</f>
        <v>179</v>
      </c>
      <c r="AB18" s="9">
        <f>IF('Upto Month COPPY'!$C$48="",0,'Upto Month COPPY'!$C$48)</f>
        <v>0</v>
      </c>
      <c r="AC18" s="10">
        <f>IF('Upto Month COPPY'!$C$51="",0,'Upto Month COPPY'!$C$51)</f>
        <v>0</v>
      </c>
      <c r="AD18" s="123">
        <f t="shared" ref="AD18:AD19" si="28">SUM(C18:AC18)</f>
        <v>1136998</v>
      </c>
      <c r="AE18" s="9">
        <f>IF('Upto Month COPPY'!$C$19="",0,'Upto Month COPPY'!$C$19)</f>
        <v>324</v>
      </c>
      <c r="AF18" s="9">
        <f>IF('Upto Month COPPY'!$C$20="",0,'Upto Month COPPY'!$C$20)</f>
        <v>271</v>
      </c>
      <c r="AG18" s="9">
        <f>IF('Upto Month COPPY'!$C$22="",0,'Upto Month COPPY'!$C$22)</f>
        <v>10366</v>
      </c>
      <c r="AH18" s="9">
        <f>IF('Upto Month COPPY'!$C$23="",0,'Upto Month COPPY'!$C$23)</f>
        <v>0</v>
      </c>
      <c r="AI18" s="9">
        <f>IF('Upto Month COPPY'!$C$24="",0,'Upto Month COPPY'!$C$24)</f>
        <v>0</v>
      </c>
      <c r="AJ18" s="9">
        <f>IF('Upto Month COPPY'!$C$25="",0,'Upto Month COPPY'!$C$25)</f>
        <v>204</v>
      </c>
      <c r="AK18" s="9">
        <f>IF('Upto Month COPPY'!$C$28="",0,'Upto Month COPPY'!$C$28)</f>
        <v>-25221</v>
      </c>
      <c r="AL18" s="9">
        <f>IF('Upto Month COPPY'!$C$29="",0,'Upto Month COPPY'!$C$29)</f>
        <v>59770</v>
      </c>
      <c r="AM18" s="9">
        <f>IF('Upto Month COPPY'!$C$31="",0,'Upto Month COPPY'!$C$31)</f>
        <v>0</v>
      </c>
      <c r="AN18" s="9">
        <f>IF('Upto Month COPPY'!$C$32="",0,'Upto Month COPPY'!$C$32)</f>
        <v>21186</v>
      </c>
      <c r="AO18" s="9">
        <f>IF('Upto Month COPPY'!$C$33="",0,'Upto Month COPPY'!$C$33)</f>
        <v>156055</v>
      </c>
      <c r="AP18" s="9">
        <f>IF('Upto Month COPPY'!$C$34="",0,'Upto Month COPPY'!$C$34)</f>
        <v>40097</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36</v>
      </c>
      <c r="AX18" s="9">
        <f>IF('Upto Month COPPY'!$C$46="",0,'Upto Month COPPY'!$C$46)</f>
        <v>205</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5469</v>
      </c>
      <c r="BD18" s="9">
        <f>IF('Upto Month COPPY'!$C$54="",0,'Upto Month COPPY'!$C$54)</f>
        <v>5469</v>
      </c>
      <c r="BE18" s="9">
        <f>IF('Upto Month COPPY'!$C$55="",0,'Upto Month COPPY'!$C$55)</f>
        <v>0</v>
      </c>
      <c r="BF18" s="9">
        <f>IF('Upto Month COPPY'!$C$56="",0,'Upto Month COPPY'!$C$56)</f>
        <v>1448</v>
      </c>
      <c r="BG18" s="9">
        <f>IF('Upto Month COPPY'!$C$58="",0,'Upto Month COPPY'!$C$58)</f>
        <v>2709</v>
      </c>
      <c r="BH18" s="9">
        <f>SUM(AE18:BG18)</f>
        <v>278388</v>
      </c>
      <c r="BI18" s="127">
        <f>AD18+BH18</f>
        <v>1415386</v>
      </c>
      <c r="BJ18" s="9">
        <f>IF('Upto Month COPPY'!$C$60="",0,'Upto Month COPPY'!$C$60)</f>
        <v>-505</v>
      </c>
      <c r="BK18" s="51">
        <f t="shared" ref="BK18:BK19" si="29">BI18-BJ18</f>
        <v>1415891</v>
      </c>
      <c r="BL18">
        <f>'Upto Month COPPY'!$C$61</f>
        <v>1415889</v>
      </c>
      <c r="BM18" s="30">
        <f t="shared" ref="BM18:BM22" si="30">BK18-AD18</f>
        <v>278893</v>
      </c>
    </row>
    <row r="19" spans="1:65" ht="15.75" x14ac:dyDescent="0.25">
      <c r="A19" s="130"/>
      <c r="B19" s="185" t="s">
        <v>323</v>
      </c>
      <c r="C19" s="9">
        <f>IF('Upto Month Current'!$C$4="",0,'Upto Month Current'!$C$4)</f>
        <v>808154</v>
      </c>
      <c r="D19" s="9">
        <f>IF('Upto Month Current'!$C$5="",0,'Upto Month Current'!$C$5)</f>
        <v>128302</v>
      </c>
      <c r="E19" s="9">
        <f>IF('Upto Month Current'!$C$6="",0,'Upto Month Current'!$C$6)</f>
        <v>506</v>
      </c>
      <c r="F19" s="9">
        <f>IF('Upto Month Current'!$C$7="",0,'Upto Month Current'!$C$7)</f>
        <v>58664</v>
      </c>
      <c r="G19" s="9">
        <f>IF('Upto Month Current'!$C$8="",0,'Upto Month Current'!$C$8)</f>
        <v>43599</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11127</v>
      </c>
      <c r="M19" s="9">
        <f>IF('Upto Month Current'!$C$14="",0,'Upto Month Current'!$C$14)</f>
        <v>85825</v>
      </c>
      <c r="N19" s="9">
        <f>IF('Upto Month Current'!$C$15="",0,'Upto Month Current'!$C$15)</f>
        <v>26</v>
      </c>
      <c r="O19" s="9">
        <f>IF('Upto Month Current'!$C$16="",0,'Upto Month Current'!$C$16)</f>
        <v>721</v>
      </c>
      <c r="P19" s="9">
        <f>IF('Upto Month Current'!$C$17="",0,'Upto Month Current'!$C$17)</f>
        <v>59291</v>
      </c>
      <c r="Q19" s="9">
        <f>IF('Upto Month Current'!$C$18="",0,'Upto Month Current'!$C$18)</f>
        <v>0</v>
      </c>
      <c r="R19" s="9">
        <f>IF('Upto Month Current'!$C$21="",0,'Upto Month Current'!$C$21)</f>
        <v>1136</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8659</v>
      </c>
      <c r="Z19" s="9">
        <f>IF('Upto Month Current'!$C$43="",0,'Upto Month Current'!$C$43)</f>
        <v>681</v>
      </c>
      <c r="AA19" s="9">
        <f>IF('Upto Month Current'!$C$44="",0,'Upto Month Current'!$C$44)</f>
        <v>519</v>
      </c>
      <c r="AB19" s="9">
        <f>IF('Upto Month Current'!$C$48="",0,'Upto Month Current'!$C$48)</f>
        <v>0</v>
      </c>
      <c r="AC19" s="10">
        <f>IF('Upto Month Current'!$C$51="",0,'Upto Month Current'!$C$51)</f>
        <v>0</v>
      </c>
      <c r="AD19" s="123">
        <f t="shared" si="28"/>
        <v>1207210</v>
      </c>
      <c r="AE19" s="9">
        <f>IF('Upto Month Current'!$C$19="",0,'Upto Month Current'!$C$19)</f>
        <v>329</v>
      </c>
      <c r="AF19" s="9">
        <f>IF('Upto Month Current'!$C$20="",0,'Upto Month Current'!$C$20)</f>
        <v>144</v>
      </c>
      <c r="AG19" s="9">
        <f>IF('Upto Month Current'!$C$22="",0,'Upto Month Current'!$C$22)</f>
        <v>11291</v>
      </c>
      <c r="AH19" s="9">
        <f>IF('Upto Month Current'!$C$23="",0,'Upto Month Current'!$C$23)</f>
        <v>0</v>
      </c>
      <c r="AI19" s="9">
        <f>IF('Upto Month Current'!$C$24="",0,'Upto Month Current'!$C$24)</f>
        <v>0</v>
      </c>
      <c r="AJ19" s="9">
        <f>IF('Upto Month Current'!$C$25="",0,'Upto Month Current'!$C$25)</f>
        <v>34</v>
      </c>
      <c r="AK19" s="9">
        <f>IF('Upto Month Current'!$C$28="",0,'Upto Month Current'!$C$28)</f>
        <v>35139</v>
      </c>
      <c r="AL19" s="9">
        <f>IF('Upto Month Current'!$C$29="",0,'Upto Month Current'!$C$29)</f>
        <v>26806</v>
      </c>
      <c r="AM19" s="9">
        <f>IF('Upto Month Current'!$C$31="",0,'Upto Month Current'!$C$31)</f>
        <v>0</v>
      </c>
      <c r="AN19" s="9">
        <f>IF('Upto Month Current'!$C$32="",0,'Upto Month Current'!$C$32)</f>
        <v>25689</v>
      </c>
      <c r="AO19" s="9">
        <f>IF('Upto Month Current'!$C$33="",0,'Upto Month Current'!$C$33)</f>
        <v>127186</v>
      </c>
      <c r="AP19" s="9">
        <f>IF('Upto Month Current'!$C$34="",0,'Upto Month Current'!$C$34)</f>
        <v>14419</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62</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5146</v>
      </c>
      <c r="BD19" s="9">
        <f>IF('Upto Month Current'!$C$54="",0,'Upto Month Current'!$C$54)</f>
        <v>5146</v>
      </c>
      <c r="BE19" s="9">
        <f>IF('Upto Month Current'!$C$55="",0,'Upto Month Current'!$C$55)</f>
        <v>0</v>
      </c>
      <c r="BF19" s="9">
        <f>IF('Upto Month Current'!$C$56="",0,'Upto Month Current'!$C$56)</f>
        <v>1742</v>
      </c>
      <c r="BG19" s="9">
        <f>IF('Upto Month Current'!$C$58="",0,'Upto Month Current'!$C$58)</f>
        <v>0</v>
      </c>
      <c r="BH19" s="9">
        <f>SUM(AE19:BG19)</f>
        <v>253133</v>
      </c>
      <c r="BI19" s="127">
        <f>AD19+BH19</f>
        <v>1460343</v>
      </c>
      <c r="BJ19" s="9">
        <f>IF('Upto Month Current'!$C$60="",0,'Upto Month Current'!$C$60)</f>
        <v>0</v>
      </c>
      <c r="BK19" s="51">
        <f t="shared" si="29"/>
        <v>1460343</v>
      </c>
      <c r="BL19">
        <f>'Upto Month Current'!$C$61</f>
        <v>1460346</v>
      </c>
      <c r="BM19" s="30">
        <f t="shared" si="30"/>
        <v>253133</v>
      </c>
    </row>
    <row r="20" spans="1:65" ht="15.75" x14ac:dyDescent="0.25">
      <c r="A20" s="130"/>
      <c r="B20" s="5" t="s">
        <v>132</v>
      </c>
      <c r="C20" s="11">
        <f>C19-C17</f>
        <v>-51681.699999999953</v>
      </c>
      <c r="D20" s="11">
        <f t="shared" ref="D20" si="31">D19-D17</f>
        <v>-18018.200000000012</v>
      </c>
      <c r="E20" s="11">
        <f t="shared" ref="E20" si="32">E19-E17</f>
        <v>506</v>
      </c>
      <c r="F20" s="11">
        <f t="shared" ref="F20" si="33">F19-F17</f>
        <v>-10576.240000000005</v>
      </c>
      <c r="G20" s="11">
        <f t="shared" ref="G20" si="34">G19-G17</f>
        <v>-5988.1200000000026</v>
      </c>
      <c r="H20" s="11">
        <f t="shared" ref="H20" si="35">H19-H17</f>
        <v>0</v>
      </c>
      <c r="I20" s="11">
        <f t="shared" ref="I20" si="36">I19-I17</f>
        <v>0</v>
      </c>
      <c r="J20" s="11">
        <f t="shared" ref="J20" si="37">J19-J17</f>
        <v>0</v>
      </c>
      <c r="K20" s="11">
        <f t="shared" ref="K20" si="38">K19-K17</f>
        <v>0</v>
      </c>
      <c r="L20" s="11">
        <f t="shared" ref="L20" si="39">L19-L17</f>
        <v>-2370.84</v>
      </c>
      <c r="M20" s="11">
        <f t="shared" ref="M20" si="40">M19-M17</f>
        <v>-5775.5599999999977</v>
      </c>
      <c r="N20" s="11">
        <f t="shared" ref="N20" si="41">N19-N17</f>
        <v>-88.84</v>
      </c>
      <c r="O20" s="11">
        <f t="shared" ref="O20" si="42">O19-O17</f>
        <v>-1049.48</v>
      </c>
      <c r="P20" s="11">
        <f t="shared" ref="P20" si="43">P19-P17</f>
        <v>9387.2599999999948</v>
      </c>
      <c r="Q20" s="11">
        <f t="shared" ref="Q20" si="44">Q19-Q17</f>
        <v>0</v>
      </c>
      <c r="R20" s="11">
        <f t="shared" ref="R20" si="45">R19-R17</f>
        <v>-277.90000000000009</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6642.1</v>
      </c>
      <c r="Z20" s="11">
        <f t="shared" ref="Z20" si="52">Z19-Z17</f>
        <v>553.20000000000005</v>
      </c>
      <c r="AA20" s="11">
        <f t="shared" ref="AA20:AD20" si="53">AA19-AA17</f>
        <v>292.74</v>
      </c>
      <c r="AB20" s="11">
        <f t="shared" ref="AB20" si="54">AB19-AB17</f>
        <v>-1566.7200000000003</v>
      </c>
      <c r="AC20" s="10">
        <f t="shared" si="53"/>
        <v>0</v>
      </c>
      <c r="AD20" s="11">
        <f t="shared" si="53"/>
        <v>-80012.300000000047</v>
      </c>
      <c r="AE20" s="11">
        <f t="shared" ref="AE20" si="55">AE19-AE17</f>
        <v>-248.79999999999995</v>
      </c>
      <c r="AF20" s="11">
        <f t="shared" ref="AF20" si="56">AF19-AF17</f>
        <v>-36.900000000000006</v>
      </c>
      <c r="AG20" s="11">
        <f t="shared" ref="AG20" si="57">AG19-AG17</f>
        <v>8270.7799999999988</v>
      </c>
      <c r="AH20" s="11">
        <f t="shared" ref="AH20" si="58">AH19-AH17</f>
        <v>0</v>
      </c>
      <c r="AI20" s="11">
        <f t="shared" ref="AI20" si="59">AI19-AI17</f>
        <v>0</v>
      </c>
      <c r="AJ20" s="11">
        <f t="shared" ref="AJ20" si="60">AJ19-AJ17</f>
        <v>8.6199999999999974</v>
      </c>
      <c r="AK20" s="11">
        <f t="shared" ref="AK20" si="61">AK19-AK17</f>
        <v>-12455.520000000004</v>
      </c>
      <c r="AL20" s="11">
        <f t="shared" ref="AL20" si="62">AL19-AL17</f>
        <v>-24477.620000000003</v>
      </c>
      <c r="AM20" s="11">
        <f t="shared" ref="AM20" si="63">AM19-AM17</f>
        <v>0</v>
      </c>
      <c r="AN20" s="11">
        <f t="shared" ref="AN20" si="64">AN19-AN17</f>
        <v>7504.68</v>
      </c>
      <c r="AO20" s="9">
        <f t="shared" ref="AO20" si="65">AO19-AO17</f>
        <v>-23204.540000000008</v>
      </c>
      <c r="AP20" s="11">
        <f t="shared" ref="AP20" si="66">AP19-AP17</f>
        <v>11123.2</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-490.32000000000005</v>
      </c>
      <c r="AX20" s="11">
        <f t="shared" ref="AX20" si="74">AX19-AX17</f>
        <v>-363.34000000000003</v>
      </c>
      <c r="AY20" s="11">
        <f t="shared" ref="AY20" si="75">AY19-AY17</f>
        <v>-245.88</v>
      </c>
      <c r="AZ20" s="11">
        <f t="shared" ref="AZ20" si="76">AZ19-AZ17</f>
        <v>0</v>
      </c>
      <c r="BA20" s="11">
        <f t="shared" ref="BA20" si="77">BA19-BA17</f>
        <v>0</v>
      </c>
      <c r="BB20" s="10">
        <f t="shared" ref="BB20" si="78">BB19-BB17</f>
        <v>0</v>
      </c>
      <c r="BC20" s="11">
        <f t="shared" ref="BC20" si="79">BC19-BC17</f>
        <v>-357.14000000000033</v>
      </c>
      <c r="BD20" s="11">
        <f t="shared" ref="BD20" si="80">BD19-BD17</f>
        <v>-357.5</v>
      </c>
      <c r="BE20" s="11">
        <f t="shared" ref="BE20" si="81">BE19-BE17</f>
        <v>0</v>
      </c>
      <c r="BF20" s="11">
        <f t="shared" ref="BF20" si="82">BF19-BF17</f>
        <v>-131.08000000000015</v>
      </c>
      <c r="BG20" s="11">
        <f t="shared" ref="BG20:BH20" si="83">BG19-BG17</f>
        <v>-4026.0600000000004</v>
      </c>
      <c r="BH20" s="9">
        <f t="shared" si="83"/>
        <v>-39487.4200000001</v>
      </c>
      <c r="BI20" s="45">
        <f t="shared" ref="BI20" si="84">BI19-BI17</f>
        <v>-119499.7200000002</v>
      </c>
      <c r="BJ20" s="11">
        <f t="shared" ref="BJ20:BK20" si="85">BJ19-BJ17</f>
        <v>-5491.666666666667</v>
      </c>
      <c r="BK20" s="51">
        <f t="shared" si="85"/>
        <v>-114008.05333333346</v>
      </c>
      <c r="BM20" s="30">
        <f t="shared" si="30"/>
        <v>-33995.753333333414</v>
      </c>
    </row>
    <row r="21" spans="1:65" ht="15.75" x14ac:dyDescent="0.25">
      <c r="A21" s="130"/>
      <c r="B21" s="5" t="s">
        <v>133</v>
      </c>
      <c r="C21" s="13">
        <f>C20/C17</f>
        <v>-6.0106483133928905E-2</v>
      </c>
      <c r="D21" s="13">
        <f t="shared" ref="D21" si="86">D20/D17</f>
        <v>-0.12314225923693387</v>
      </c>
      <c r="E21" s="13" t="e">
        <f t="shared" ref="E21" si="87">E20/E17</f>
        <v>#DIV/0!</v>
      </c>
      <c r="F21" s="13">
        <f t="shared" ref="F21" si="88">F20/F17</f>
        <v>-0.15274701531941548</v>
      </c>
      <c r="G21" s="13">
        <f t="shared" ref="G21" si="89">G20/G17</f>
        <v>-0.12075958434367638</v>
      </c>
      <c r="H21" s="13" t="e">
        <f t="shared" ref="H21" si="90">H20/H17</f>
        <v>#DIV/0!</v>
      </c>
      <c r="I21" s="13" t="e">
        <f t="shared" ref="I21" si="91">I20/I17</f>
        <v>#DIV/0!</v>
      </c>
      <c r="J21" s="13" t="e">
        <f t="shared" ref="J21" si="92">J20/J17</f>
        <v>#DIV/0!</v>
      </c>
      <c r="K21" s="13" t="e">
        <f t="shared" ref="K21" si="93">K20/K17</f>
        <v>#DIV/0!</v>
      </c>
      <c r="L21" s="13">
        <f t="shared" ref="L21" si="94">L20/L17</f>
        <v>-0.17564588111875679</v>
      </c>
      <c r="M21" s="13">
        <f t="shared" ref="M21" si="95">M20/M17</f>
        <v>-6.3051579597329946E-2</v>
      </c>
      <c r="N21" s="13">
        <f t="shared" ref="N21" si="96">N20/N17</f>
        <v>-0.77359804946011845</v>
      </c>
      <c r="O21" s="13">
        <f t="shared" ref="O21" si="97">O20/O17</f>
        <v>-0.59276580362387599</v>
      </c>
      <c r="P21" s="13">
        <f t="shared" ref="P21" si="98">P20/P17</f>
        <v>0.18810734425916761</v>
      </c>
      <c r="Q21" s="13" t="e">
        <f t="shared" ref="Q21" si="99">Q20/Q17</f>
        <v>#DIV/0!</v>
      </c>
      <c r="R21" s="13">
        <f t="shared" ref="R21" si="100">R20/R17</f>
        <v>-0.1965485536459439</v>
      </c>
      <c r="S21" s="13" t="e">
        <f t="shared" ref="S21" si="101">S20/S17</f>
        <v>#DIV/0!</v>
      </c>
      <c r="T21" s="13" t="e">
        <f t="shared" ref="T21:U21" si="102">T20/T17</f>
        <v>#DIV/0!</v>
      </c>
      <c r="U21" s="13" t="e">
        <f t="shared" si="102"/>
        <v>#DIV/0!</v>
      </c>
      <c r="V21" s="165" t="e">
        <f t="shared" ref="V21" si="103">V20/V17</f>
        <v>#DIV/0!</v>
      </c>
      <c r="W21" s="13" t="e">
        <f t="shared" ref="W21" si="104">W20/W17</f>
        <v>#DIV/0!</v>
      </c>
      <c r="X21" s="13" t="e">
        <f t="shared" ref="X21" si="105">X20/X17</f>
        <v>#DIV/0!</v>
      </c>
      <c r="Y21" s="13">
        <f t="shared" ref="Y21" si="106">Y20/Y17</f>
        <v>3.2932222718032627</v>
      </c>
      <c r="Z21" s="13">
        <f t="shared" ref="Z21" si="107">Z20/Z17</f>
        <v>4.328638497652582</v>
      </c>
      <c r="AA21" s="13">
        <f t="shared" ref="AA21:AD21" si="108">AA20/AA17</f>
        <v>1.2938212675682843</v>
      </c>
      <c r="AB21" s="13">
        <f t="shared" ref="AB21" si="109">AB20/AB17</f>
        <v>-1</v>
      </c>
      <c r="AC21" s="14" t="e">
        <f t="shared" si="108"/>
        <v>#DIV/0!</v>
      </c>
      <c r="AD21" s="13">
        <f t="shared" si="108"/>
        <v>-6.2158882735328658E-2</v>
      </c>
      <c r="AE21" s="13">
        <f t="shared" ref="AE21" si="110">AE20/AE17</f>
        <v>-0.43059882312218756</v>
      </c>
      <c r="AF21" s="13">
        <f t="shared" ref="AF21" si="111">AF20/AF17</f>
        <v>-0.20398009950248758</v>
      </c>
      <c r="AG21" s="13">
        <f t="shared" ref="AG21" si="112">AG20/AG17</f>
        <v>2.7384693830250768</v>
      </c>
      <c r="AH21" s="13" t="e">
        <f t="shared" ref="AH21" si="113">AH20/AH17</f>
        <v>#DIV/0!</v>
      </c>
      <c r="AI21" s="13" t="e">
        <f t="shared" ref="AI21" si="114">AI20/AI17</f>
        <v>#DIV/0!</v>
      </c>
      <c r="AJ21" s="13">
        <f t="shared" ref="AJ21" si="115">AJ20/AJ17</f>
        <v>0.33963750985027569</v>
      </c>
      <c r="AK21" s="13">
        <f t="shared" ref="AK21" si="116">AK20/AK17</f>
        <v>-0.26170071680521212</v>
      </c>
      <c r="AL21" s="13">
        <f t="shared" ref="AL21" si="117">AL20/AL17</f>
        <v>-0.47729898942391352</v>
      </c>
      <c r="AM21" s="13" t="e">
        <f t="shared" ref="AM21" si="118">AM20/AM17</f>
        <v>#DIV/0!</v>
      </c>
      <c r="AN21" s="13">
        <f t="shared" ref="AN21" si="119">AN20/AN17</f>
        <v>0.41270061239573436</v>
      </c>
      <c r="AO21" s="165">
        <f t="shared" ref="AO21" si="120">AO20/AO17</f>
        <v>-0.1542952103237345</v>
      </c>
      <c r="AP21" s="13">
        <f t="shared" ref="AP21" si="121">AP20/AP17</f>
        <v>3.3749620729413192</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-1</v>
      </c>
      <c r="AX21" s="13">
        <f t="shared" ref="AX21" si="129">AX20/AX17</f>
        <v>-0.85423425965110267</v>
      </c>
      <c r="AY21" s="13">
        <f t="shared" ref="AY21" si="130">AY20/AY17</f>
        <v>-1</v>
      </c>
      <c r="AZ21" s="13" t="e">
        <f t="shared" ref="AZ21" si="131">AZ20/AZ17</f>
        <v>#DIV/0!</v>
      </c>
      <c r="BA21" s="13" t="e">
        <f t="shared" ref="BA21" si="132">BA20/BA17</f>
        <v>#DIV/0!</v>
      </c>
      <c r="BB21" s="14" t="e">
        <f t="shared" ref="BB21" si="133">BB20/BB17</f>
        <v>#DIV/0!</v>
      </c>
      <c r="BC21" s="13">
        <f t="shared" ref="BC21" si="134">BC20/BC17</f>
        <v>-6.4897494884738588E-2</v>
      </c>
      <c r="BD21" s="13">
        <f t="shared" ref="BD21" si="135">BD20/BD17</f>
        <v>-6.4958662669210507E-2</v>
      </c>
      <c r="BE21" s="13" t="e">
        <f t="shared" ref="BE21" si="136">BE20/BE17</f>
        <v>#DIV/0!</v>
      </c>
      <c r="BF21" s="13">
        <f t="shared" ref="BF21" si="137">BF20/BF17</f>
        <v>-6.998099387105737E-2</v>
      </c>
      <c r="BG21" s="13">
        <f t="shared" ref="BG21:BH21" si="138">BG20/BG17</f>
        <v>-1</v>
      </c>
      <c r="BH21" s="165">
        <f t="shared" si="138"/>
        <v>-0.13494417101855055</v>
      </c>
      <c r="BI21" s="46">
        <f t="shared" ref="BI21" si="139">BI20/BI17</f>
        <v>-7.5640263734607832E-2</v>
      </c>
      <c r="BJ21" s="13">
        <f t="shared" ref="BJ21:BK21" si="140">BJ20/BJ17</f>
        <v>-1</v>
      </c>
      <c r="BK21" s="52">
        <f t="shared" si="140"/>
        <v>-7.2415903106201829E-2</v>
      </c>
      <c r="BM21" s="165" t="e">
        <f t="shared" ref="BM21" si="141">BM20/BM17</f>
        <v>#DIV/0!</v>
      </c>
    </row>
    <row r="22" spans="1:65" ht="15.75" x14ac:dyDescent="0.25">
      <c r="A22" s="130"/>
      <c r="B22" s="5" t="s">
        <v>134</v>
      </c>
      <c r="C22" s="11">
        <f>C19-C18</f>
        <v>19694</v>
      </c>
      <c r="D22" s="11">
        <f t="shared" ref="D22:BK22" si="142">D19-D18</f>
        <v>3821</v>
      </c>
      <c r="E22" s="11">
        <f t="shared" si="142"/>
        <v>-321</v>
      </c>
      <c r="F22" s="11">
        <f t="shared" si="142"/>
        <v>1909</v>
      </c>
      <c r="G22" s="11">
        <f t="shared" si="142"/>
        <v>712</v>
      </c>
      <c r="H22" s="11">
        <f t="shared" si="142"/>
        <v>0</v>
      </c>
      <c r="I22" s="11">
        <f t="shared" si="142"/>
        <v>0</v>
      </c>
      <c r="J22" s="11">
        <f t="shared" si="142"/>
        <v>0</v>
      </c>
      <c r="K22" s="11">
        <f t="shared" si="142"/>
        <v>0</v>
      </c>
      <c r="L22" s="11">
        <f t="shared" si="142"/>
        <v>-3321</v>
      </c>
      <c r="M22" s="11">
        <f t="shared" si="142"/>
        <v>21384</v>
      </c>
      <c r="N22" s="11">
        <f t="shared" si="142"/>
        <v>-128</v>
      </c>
      <c r="O22" s="11">
        <f t="shared" si="142"/>
        <v>-179</v>
      </c>
      <c r="P22" s="11">
        <f t="shared" si="142"/>
        <v>18781</v>
      </c>
      <c r="Q22" s="11">
        <f t="shared" si="142"/>
        <v>0</v>
      </c>
      <c r="R22" s="11">
        <f t="shared" si="142"/>
        <v>740</v>
      </c>
      <c r="S22" s="11">
        <f t="shared" si="142"/>
        <v>0</v>
      </c>
      <c r="T22" s="11">
        <f t="shared" si="142"/>
        <v>0</v>
      </c>
      <c r="U22" s="11">
        <f t="shared" ref="U22" si="143">U19-U18</f>
        <v>0</v>
      </c>
      <c r="V22" s="9">
        <f t="shared" si="142"/>
        <v>0</v>
      </c>
      <c r="W22" s="11">
        <f t="shared" si="142"/>
        <v>0</v>
      </c>
      <c r="X22" s="11">
        <f t="shared" si="142"/>
        <v>0</v>
      </c>
      <c r="Y22" s="11">
        <f t="shared" si="142"/>
        <v>6291</v>
      </c>
      <c r="Z22" s="11">
        <f t="shared" si="142"/>
        <v>489</v>
      </c>
      <c r="AA22" s="11">
        <f t="shared" si="142"/>
        <v>340</v>
      </c>
      <c r="AB22" s="11">
        <f t="shared" ref="AB22" si="144">AB19-AB18</f>
        <v>0</v>
      </c>
      <c r="AC22" s="10">
        <f t="shared" ref="AC22:AD22" si="145">AC19-AC18</f>
        <v>0</v>
      </c>
      <c r="AD22" s="11">
        <f t="shared" si="145"/>
        <v>70212</v>
      </c>
      <c r="AE22" s="11">
        <f t="shared" si="142"/>
        <v>5</v>
      </c>
      <c r="AF22" s="11">
        <f t="shared" si="142"/>
        <v>-127</v>
      </c>
      <c r="AG22" s="11">
        <f t="shared" si="142"/>
        <v>925</v>
      </c>
      <c r="AH22" s="11">
        <f t="shared" si="142"/>
        <v>0</v>
      </c>
      <c r="AI22" s="11">
        <f t="shared" si="142"/>
        <v>0</v>
      </c>
      <c r="AJ22" s="11">
        <f t="shared" si="142"/>
        <v>-170</v>
      </c>
      <c r="AK22" s="11">
        <f t="shared" si="142"/>
        <v>60360</v>
      </c>
      <c r="AL22" s="11">
        <f t="shared" si="142"/>
        <v>-32964</v>
      </c>
      <c r="AM22" s="11">
        <f t="shared" si="142"/>
        <v>0</v>
      </c>
      <c r="AN22" s="11">
        <f t="shared" si="142"/>
        <v>4503</v>
      </c>
      <c r="AO22" s="9">
        <f t="shared" si="142"/>
        <v>-28869</v>
      </c>
      <c r="AP22" s="11">
        <f t="shared" si="142"/>
        <v>-25678</v>
      </c>
      <c r="AQ22" s="10">
        <f t="shared" si="142"/>
        <v>0</v>
      </c>
      <c r="AR22" s="11">
        <f t="shared" si="142"/>
        <v>0</v>
      </c>
      <c r="AS22" s="11">
        <f t="shared" si="142"/>
        <v>0</v>
      </c>
      <c r="AT22" s="11">
        <f t="shared" si="142"/>
        <v>0</v>
      </c>
      <c r="AU22" s="11">
        <f t="shared" si="142"/>
        <v>0</v>
      </c>
      <c r="AV22" s="11">
        <f t="shared" si="142"/>
        <v>0</v>
      </c>
      <c r="AW22" s="11">
        <f t="shared" si="142"/>
        <v>-36</v>
      </c>
      <c r="AX22" s="11">
        <f t="shared" si="142"/>
        <v>-143</v>
      </c>
      <c r="AY22" s="11">
        <f t="shared" si="142"/>
        <v>0</v>
      </c>
      <c r="AZ22" s="11">
        <f t="shared" si="142"/>
        <v>0</v>
      </c>
      <c r="BA22" s="11">
        <f t="shared" si="142"/>
        <v>0</v>
      </c>
      <c r="BB22" s="10">
        <f t="shared" si="142"/>
        <v>0</v>
      </c>
      <c r="BC22" s="11">
        <f t="shared" si="142"/>
        <v>-323</v>
      </c>
      <c r="BD22" s="11">
        <f t="shared" si="142"/>
        <v>-323</v>
      </c>
      <c r="BE22" s="11">
        <f t="shared" si="142"/>
        <v>0</v>
      </c>
      <c r="BF22" s="11">
        <f t="shared" si="142"/>
        <v>294</v>
      </c>
      <c r="BG22" s="11">
        <f t="shared" si="142"/>
        <v>-2709</v>
      </c>
      <c r="BH22" s="9">
        <f t="shared" si="142"/>
        <v>-25255</v>
      </c>
      <c r="BI22" s="45">
        <f t="shared" si="142"/>
        <v>44957</v>
      </c>
      <c r="BJ22" s="11">
        <f t="shared" si="142"/>
        <v>505</v>
      </c>
      <c r="BK22" s="51">
        <f t="shared" si="142"/>
        <v>44452</v>
      </c>
      <c r="BM22" s="30">
        <f t="shared" si="30"/>
        <v>-25760</v>
      </c>
    </row>
    <row r="23" spans="1:65" ht="15.75" x14ac:dyDescent="0.25">
      <c r="A23" s="130"/>
      <c r="B23" s="5" t="s">
        <v>135</v>
      </c>
      <c r="C23" s="13">
        <f>C22/C18</f>
        <v>2.497780483474114E-2</v>
      </c>
      <c r="D23" s="13">
        <f t="shared" ref="D23" si="146">D22/D18</f>
        <v>3.0695447498011744E-2</v>
      </c>
      <c r="E23" s="13">
        <f t="shared" ref="E23" si="147">E22/E18</f>
        <v>-0.38814993954050786</v>
      </c>
      <c r="F23" s="13">
        <f t="shared" ref="F23" si="148">F22/F18</f>
        <v>3.3635803012950403E-2</v>
      </c>
      <c r="G23" s="13">
        <f t="shared" ref="G23" si="149">G22/G18</f>
        <v>1.6601767435353371E-2</v>
      </c>
      <c r="H23" s="13" t="e">
        <f t="shared" ref="H23" si="150">H22/H18</f>
        <v>#DIV/0!</v>
      </c>
      <c r="I23" s="13" t="e">
        <f t="shared" ref="I23" si="151">I22/I18</f>
        <v>#DIV/0!</v>
      </c>
      <c r="J23" s="13" t="e">
        <f t="shared" ref="J23" si="152">J22/J18</f>
        <v>#DIV/0!</v>
      </c>
      <c r="K23" s="13" t="e">
        <f t="shared" ref="K23" si="153">K22/K18</f>
        <v>#DIV/0!</v>
      </c>
      <c r="L23" s="13">
        <f t="shared" ref="L23" si="154">L22/L18</f>
        <v>-0.22985880398671096</v>
      </c>
      <c r="M23" s="13">
        <f t="shared" ref="M23" si="155">M22/M18</f>
        <v>0.33183842584689871</v>
      </c>
      <c r="N23" s="13">
        <f t="shared" ref="N23" si="156">N22/N18</f>
        <v>-0.83116883116883122</v>
      </c>
      <c r="O23" s="13">
        <f t="shared" ref="O23" si="157">O22/O18</f>
        <v>-0.19888888888888889</v>
      </c>
      <c r="P23" s="13">
        <f t="shared" ref="P23" si="158">P22/P18</f>
        <v>0.46361392248827449</v>
      </c>
      <c r="Q23" s="13" t="e">
        <f t="shared" ref="Q23" si="159">Q22/Q18</f>
        <v>#DIV/0!</v>
      </c>
      <c r="R23" s="13">
        <f t="shared" ref="R23" si="160">R22/R18</f>
        <v>1.8686868686868687</v>
      </c>
      <c r="S23" s="13" t="e">
        <f t="shared" ref="S23" si="161">S22/S18</f>
        <v>#DIV/0!</v>
      </c>
      <c r="T23" s="13" t="e">
        <f t="shared" ref="T23:U23" si="162">T22/T18</f>
        <v>#DIV/0!</v>
      </c>
      <c r="U23" s="13" t="e">
        <f t="shared" si="162"/>
        <v>#DIV/0!</v>
      </c>
      <c r="V23" s="165" t="e">
        <f t="shared" ref="V23" si="163">V22/V18</f>
        <v>#DIV/0!</v>
      </c>
      <c r="W23" s="13" t="e">
        <f t="shared" ref="W23" si="164">W22/W18</f>
        <v>#DIV/0!</v>
      </c>
      <c r="X23" s="13" t="e">
        <f t="shared" ref="X23" si="165">X22/X18</f>
        <v>#DIV/0!</v>
      </c>
      <c r="Y23" s="13">
        <f t="shared" ref="Y23" si="166">Y22/Y18</f>
        <v>2.6566722972972974</v>
      </c>
      <c r="Z23" s="13">
        <f t="shared" ref="Z23" si="167">Z22/Z18</f>
        <v>2.546875</v>
      </c>
      <c r="AA23" s="13">
        <f t="shared" ref="AA23:AD23" si="168">AA22/AA18</f>
        <v>1.8994413407821229</v>
      </c>
      <c r="AB23" s="13" t="e">
        <f t="shared" ref="AB23" si="169">AB22/AB18</f>
        <v>#DIV/0!</v>
      </c>
      <c r="AC23" s="14" t="e">
        <f t="shared" si="168"/>
        <v>#DIV/0!</v>
      </c>
      <c r="AD23" s="13">
        <f t="shared" si="168"/>
        <v>6.1752087514665814E-2</v>
      </c>
      <c r="AE23" s="13">
        <f t="shared" ref="AE23" si="170">AE22/AE18</f>
        <v>1.5432098765432098E-2</v>
      </c>
      <c r="AF23" s="13">
        <f t="shared" ref="AF23" si="171">AF22/AF18</f>
        <v>-0.46863468634686345</v>
      </c>
      <c r="AG23" s="13">
        <f t="shared" ref="AG23" si="172">AG22/AG18</f>
        <v>8.9234034343044569E-2</v>
      </c>
      <c r="AH23" s="13" t="e">
        <f t="shared" ref="AH23" si="173">AH22/AH18</f>
        <v>#DIV/0!</v>
      </c>
      <c r="AI23" s="13" t="e">
        <f t="shared" ref="AI23" si="174">AI22/AI18</f>
        <v>#DIV/0!</v>
      </c>
      <c r="AJ23" s="13">
        <f t="shared" ref="AJ23" si="175">AJ22/AJ18</f>
        <v>-0.83333333333333337</v>
      </c>
      <c r="AK23" s="13">
        <f t="shared" ref="AK23" si="176">AK22/AK18</f>
        <v>-2.3932437254668728</v>
      </c>
      <c r="AL23" s="13">
        <f t="shared" ref="AL23" si="177">AL22/AL18</f>
        <v>-0.55151413752718759</v>
      </c>
      <c r="AM23" s="13" t="e">
        <f t="shared" ref="AM23" si="178">AM22/AM18</f>
        <v>#DIV/0!</v>
      </c>
      <c r="AN23" s="13">
        <f t="shared" ref="AN23" si="179">AN22/AN18</f>
        <v>0.2125460209572359</v>
      </c>
      <c r="AO23" s="165">
        <f t="shared" ref="AO23" si="180">AO22/AO18</f>
        <v>-0.18499247060331295</v>
      </c>
      <c r="AP23" s="13">
        <f t="shared" ref="AP23" si="181">AP22/AP18</f>
        <v>-0.64039703718482677</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-1</v>
      </c>
      <c r="AX23" s="13">
        <f t="shared" ref="AX23" si="189">AX22/AX18</f>
        <v>-0.69756097560975605</v>
      </c>
      <c r="AY23" s="13" t="e">
        <f t="shared" ref="AY23" si="190">AY22/AY18</f>
        <v>#DIV/0!</v>
      </c>
      <c r="AZ23" s="13" t="e">
        <f t="shared" ref="AZ23" si="191">AZ22/AZ18</f>
        <v>#DIV/0!</v>
      </c>
      <c r="BA23" s="13" t="e">
        <f t="shared" ref="BA23" si="192">BA22/BA18</f>
        <v>#DIV/0!</v>
      </c>
      <c r="BB23" s="14" t="e">
        <f t="shared" ref="BB23" si="193">BB22/BB18</f>
        <v>#DIV/0!</v>
      </c>
      <c r="BC23" s="13">
        <f t="shared" ref="BC23" si="194">BC22/BC18</f>
        <v>-5.9060157249954288E-2</v>
      </c>
      <c r="BD23" s="13">
        <f t="shared" ref="BD23" si="195">BD22/BD18</f>
        <v>-5.9060157249954288E-2</v>
      </c>
      <c r="BE23" s="13" t="e">
        <f t="shared" ref="BE23" si="196">BE22/BE18</f>
        <v>#DIV/0!</v>
      </c>
      <c r="BF23" s="13">
        <f t="shared" ref="BF23" si="197">BF22/BF18</f>
        <v>0.20303867403314918</v>
      </c>
      <c r="BG23" s="13">
        <f t="shared" ref="BG23:BH23" si="198">BG22/BG18</f>
        <v>-1</v>
      </c>
      <c r="BH23" s="165">
        <f t="shared" si="198"/>
        <v>-9.0718709139761766E-2</v>
      </c>
      <c r="BI23" s="46">
        <f t="shared" ref="BI23" si="199">BI22/BI18</f>
        <v>3.1763066753521654E-2</v>
      </c>
      <c r="BJ23" s="13">
        <f t="shared" ref="BJ23:BK23" si="200">BJ22/BJ18</f>
        <v>-1</v>
      </c>
      <c r="BK23" s="52">
        <f t="shared" si="200"/>
        <v>3.1395072078288511E-2</v>
      </c>
      <c r="BM23" s="14">
        <f t="shared" ref="BM23" si="201">BM22/BM18</f>
        <v>-9.2365172306224971E-2</v>
      </c>
    </row>
    <row r="24" spans="1:65" ht="15.75" x14ac:dyDescent="0.25">
      <c r="A24" s="130"/>
      <c r="B24" s="5" t="s">
        <v>296</v>
      </c>
      <c r="C24" s="128">
        <f t="shared" ref="C24:AI24" si="202">C19/C16</f>
        <v>0.16918083303589279</v>
      </c>
      <c r="D24" s="128">
        <f t="shared" si="202"/>
        <v>0.15783439333735191</v>
      </c>
      <c r="E24" s="128">
        <f t="shared" si="202"/>
        <v>1.8538669245959779E-3</v>
      </c>
      <c r="F24" s="128">
        <f t="shared" si="202"/>
        <v>0.15250553724250523</v>
      </c>
      <c r="G24" s="128">
        <f t="shared" si="202"/>
        <v>0.15826327481813826</v>
      </c>
      <c r="H24" s="128" t="e">
        <f t="shared" si="202"/>
        <v>#DIV/0!</v>
      </c>
      <c r="I24" s="128" t="e">
        <f t="shared" si="202"/>
        <v>#DIV/0!</v>
      </c>
      <c r="J24" s="128" t="e">
        <f t="shared" si="202"/>
        <v>#DIV/0!</v>
      </c>
      <c r="K24" s="128" t="e">
        <f t="shared" si="202"/>
        <v>#DIV/0!</v>
      </c>
      <c r="L24" s="128">
        <f t="shared" si="202"/>
        <v>0.14838374139862379</v>
      </c>
      <c r="M24" s="128">
        <f t="shared" si="202"/>
        <v>0.16865071567248061</v>
      </c>
      <c r="N24" s="128">
        <f t="shared" si="202"/>
        <v>4.0752351097178681E-2</v>
      </c>
      <c r="O24" s="128">
        <f t="shared" si="202"/>
        <v>7.3302155347702319E-2</v>
      </c>
      <c r="P24" s="128">
        <f t="shared" si="202"/>
        <v>0.2138593219666502</v>
      </c>
      <c r="Q24" s="128" t="e">
        <f t="shared" si="202"/>
        <v>#DIV/0!</v>
      </c>
      <c r="R24" s="128">
        <f t="shared" si="202"/>
        <v>0.1446212603437301</v>
      </c>
      <c r="S24" s="128" t="e">
        <f t="shared" si="202"/>
        <v>#DIV/0!</v>
      </c>
      <c r="T24" s="128" t="e">
        <f t="shared" si="202"/>
        <v>#DIV/0!</v>
      </c>
      <c r="U24" s="128" t="e">
        <f t="shared" si="202"/>
        <v>#DIV/0!</v>
      </c>
      <c r="V24" s="180" t="e">
        <f t="shared" si="202"/>
        <v>#DIV/0!</v>
      </c>
      <c r="W24" s="128" t="e">
        <f t="shared" si="202"/>
        <v>#DIV/0!</v>
      </c>
      <c r="X24" s="128" t="e">
        <f t="shared" si="202"/>
        <v>#DIV/0!</v>
      </c>
      <c r="Y24" s="128">
        <f t="shared" si="202"/>
        <v>0.7727800089245872</v>
      </c>
      <c r="Z24" s="128">
        <f t="shared" si="202"/>
        <v>0.95915492957746484</v>
      </c>
      <c r="AA24" s="128">
        <f t="shared" si="202"/>
        <v>0.41288782816229119</v>
      </c>
      <c r="AB24" s="128">
        <f t="shared" ref="AB24" si="203">AB19/AB16</f>
        <v>0</v>
      </c>
      <c r="AC24" s="228" t="e">
        <f t="shared" si="202"/>
        <v>#DIV/0!</v>
      </c>
      <c r="AD24" s="128">
        <f t="shared" si="202"/>
        <v>0.16260520693334671</v>
      </c>
      <c r="AE24" s="128">
        <f t="shared" si="202"/>
        <v>0.10249221183800623</v>
      </c>
      <c r="AF24" s="128">
        <f t="shared" si="202"/>
        <v>0.14328358208955225</v>
      </c>
      <c r="AG24" s="128">
        <f t="shared" si="202"/>
        <v>0.67292448894451395</v>
      </c>
      <c r="AH24" s="128" t="e">
        <f t="shared" si="202"/>
        <v>#DIV/0!</v>
      </c>
      <c r="AI24" s="128" t="e">
        <f t="shared" si="202"/>
        <v>#DIV/0!</v>
      </c>
      <c r="AJ24" s="128">
        <f t="shared" ref="AJ24:BK24" si="204">AJ19/AJ16</f>
        <v>0.24113475177304963</v>
      </c>
      <c r="AK24" s="128">
        <f t="shared" si="204"/>
        <v>0.13289387097506183</v>
      </c>
      <c r="AL24" s="128">
        <f t="shared" si="204"/>
        <v>9.4086181903695568E-2</v>
      </c>
      <c r="AM24" s="128" t="e">
        <f t="shared" si="204"/>
        <v>#DIV/0!</v>
      </c>
      <c r="AN24" s="128">
        <f t="shared" si="204"/>
        <v>0.25428611023123221</v>
      </c>
      <c r="AO24" s="180">
        <f t="shared" si="204"/>
        <v>0.15222686214172779</v>
      </c>
      <c r="AP24" s="128">
        <f t="shared" si="204"/>
        <v>0.78749317312943745</v>
      </c>
      <c r="AQ24" s="228" t="e">
        <f t="shared" si="204"/>
        <v>#DIV/0!</v>
      </c>
      <c r="AR24" s="128" t="e">
        <f t="shared" si="204"/>
        <v>#DIV/0!</v>
      </c>
      <c r="AS24" s="128" t="e">
        <f t="shared" si="204"/>
        <v>#DIV/0!</v>
      </c>
      <c r="AT24" s="128" t="e">
        <f t="shared" si="204"/>
        <v>#DIV/0!</v>
      </c>
      <c r="AU24" s="128" t="e">
        <f t="shared" si="204"/>
        <v>#DIV/0!</v>
      </c>
      <c r="AV24" s="128" t="e">
        <f t="shared" si="204"/>
        <v>#DIV/0!</v>
      </c>
      <c r="AW24" s="128">
        <f t="shared" si="204"/>
        <v>0</v>
      </c>
      <c r="AX24" s="128">
        <f t="shared" si="204"/>
        <v>2.6237833262801522E-2</v>
      </c>
      <c r="AY24" s="128">
        <f t="shared" si="204"/>
        <v>0</v>
      </c>
      <c r="AZ24" s="128" t="e">
        <f t="shared" si="204"/>
        <v>#DIV/0!</v>
      </c>
      <c r="BA24" s="128" t="e">
        <f t="shared" si="204"/>
        <v>#DIV/0!</v>
      </c>
      <c r="BB24" s="228" t="e">
        <f t="shared" si="204"/>
        <v>#DIV/0!</v>
      </c>
      <c r="BC24" s="128">
        <f t="shared" si="204"/>
        <v>0.16831845092074707</v>
      </c>
      <c r="BD24" s="128">
        <f t="shared" si="204"/>
        <v>0.16830744071954212</v>
      </c>
      <c r="BE24" s="128" t="e">
        <f t="shared" si="204"/>
        <v>#DIV/0!</v>
      </c>
      <c r="BF24" s="128">
        <f t="shared" si="204"/>
        <v>0.16740342110320969</v>
      </c>
      <c r="BG24" s="128">
        <f t="shared" si="204"/>
        <v>0</v>
      </c>
      <c r="BH24" s="180">
        <f t="shared" si="204"/>
        <v>0.15571004921666096</v>
      </c>
      <c r="BI24" s="128">
        <f t="shared" si="204"/>
        <v>0.16136659547945947</v>
      </c>
      <c r="BJ24" s="128">
        <f t="shared" si="204"/>
        <v>0</v>
      </c>
      <c r="BK24" s="128">
        <f t="shared" si="204"/>
        <v>0.16195626943503957</v>
      </c>
      <c r="BM24" s="128" t="e">
        <f>BM19/BM16</f>
        <v>#DIV/0!</v>
      </c>
    </row>
    <row r="25" spans="1:65" ht="15.75" x14ac:dyDescent="0.25">
      <c r="A25" s="130"/>
      <c r="B25" s="5" t="s">
        <v>298</v>
      </c>
      <c r="C25" s="11">
        <f t="shared" ref="C25:AI25" si="205">C19-C16</f>
        <v>-3968711</v>
      </c>
      <c r="D25" s="11">
        <f t="shared" si="205"/>
        <v>-684588</v>
      </c>
      <c r="E25" s="11">
        <f t="shared" si="205"/>
        <v>-272437</v>
      </c>
      <c r="F25" s="11">
        <f t="shared" si="205"/>
        <v>-326004</v>
      </c>
      <c r="G25" s="11">
        <f t="shared" si="205"/>
        <v>-231885</v>
      </c>
      <c r="H25" s="11">
        <f t="shared" si="205"/>
        <v>0</v>
      </c>
      <c r="I25" s="11">
        <f t="shared" si="205"/>
        <v>0</v>
      </c>
      <c r="J25" s="11">
        <f t="shared" si="205"/>
        <v>0</v>
      </c>
      <c r="K25" s="11">
        <f t="shared" si="205"/>
        <v>0</v>
      </c>
      <c r="L25" s="11">
        <f t="shared" si="205"/>
        <v>-63861</v>
      </c>
      <c r="M25" s="11">
        <f t="shared" si="205"/>
        <v>-423067</v>
      </c>
      <c r="N25" s="11">
        <f t="shared" si="205"/>
        <v>-612</v>
      </c>
      <c r="O25" s="11">
        <f t="shared" si="205"/>
        <v>-9115</v>
      </c>
      <c r="P25" s="11">
        <f t="shared" si="205"/>
        <v>-217952</v>
      </c>
      <c r="Q25" s="11">
        <f t="shared" si="205"/>
        <v>0</v>
      </c>
      <c r="R25" s="11">
        <f t="shared" si="205"/>
        <v>-6719</v>
      </c>
      <c r="S25" s="11">
        <f t="shared" si="205"/>
        <v>0</v>
      </c>
      <c r="T25" s="11">
        <f t="shared" si="205"/>
        <v>0</v>
      </c>
      <c r="U25" s="11">
        <f t="shared" si="205"/>
        <v>0</v>
      </c>
      <c r="V25" s="9">
        <f t="shared" si="205"/>
        <v>0</v>
      </c>
      <c r="W25" s="11">
        <f t="shared" si="205"/>
        <v>0</v>
      </c>
      <c r="X25" s="11">
        <f t="shared" si="205"/>
        <v>0</v>
      </c>
      <c r="Y25" s="11">
        <f t="shared" si="205"/>
        <v>-2546</v>
      </c>
      <c r="Z25" s="11">
        <f t="shared" si="205"/>
        <v>-29</v>
      </c>
      <c r="AA25" s="11">
        <f t="shared" si="205"/>
        <v>-738</v>
      </c>
      <c r="AB25" s="11">
        <f t="shared" ref="AB25" si="206">AB19-AB16</f>
        <v>-8704</v>
      </c>
      <c r="AC25" s="10">
        <f t="shared" si="205"/>
        <v>0</v>
      </c>
      <c r="AD25" s="11">
        <f t="shared" si="205"/>
        <v>-6216968</v>
      </c>
      <c r="AE25" s="11">
        <f t="shared" si="205"/>
        <v>-2881</v>
      </c>
      <c r="AF25" s="11">
        <f t="shared" si="205"/>
        <v>-861</v>
      </c>
      <c r="AG25" s="11">
        <f t="shared" si="205"/>
        <v>-5488</v>
      </c>
      <c r="AH25" s="11">
        <f t="shared" si="205"/>
        <v>0</v>
      </c>
      <c r="AI25" s="11">
        <f t="shared" si="205"/>
        <v>0</v>
      </c>
      <c r="AJ25" s="11">
        <f t="shared" ref="AJ25:BM25" si="207">AJ19-AJ16</f>
        <v>-107</v>
      </c>
      <c r="AK25" s="11">
        <f t="shared" si="207"/>
        <v>-229275</v>
      </c>
      <c r="AL25" s="11">
        <f t="shared" si="207"/>
        <v>-258103</v>
      </c>
      <c r="AM25" s="11">
        <f t="shared" si="207"/>
        <v>0</v>
      </c>
      <c r="AN25" s="11">
        <f t="shared" si="207"/>
        <v>-75335</v>
      </c>
      <c r="AO25" s="9">
        <f t="shared" si="207"/>
        <v>-708317</v>
      </c>
      <c r="AP25" s="11">
        <f t="shared" si="207"/>
        <v>-3891</v>
      </c>
      <c r="AQ25" s="10">
        <f t="shared" si="207"/>
        <v>0</v>
      </c>
      <c r="AR25" s="11">
        <f t="shared" si="207"/>
        <v>0</v>
      </c>
      <c r="AS25" s="11">
        <f t="shared" si="207"/>
        <v>0</v>
      </c>
      <c r="AT25" s="11">
        <f t="shared" si="207"/>
        <v>0</v>
      </c>
      <c r="AU25" s="11">
        <f t="shared" si="207"/>
        <v>0</v>
      </c>
      <c r="AV25" s="11">
        <f t="shared" si="207"/>
        <v>0</v>
      </c>
      <c r="AW25" s="11">
        <f t="shared" si="207"/>
        <v>-2724</v>
      </c>
      <c r="AX25" s="11">
        <f t="shared" si="207"/>
        <v>-2301</v>
      </c>
      <c r="AY25" s="11">
        <f t="shared" si="207"/>
        <v>-1366</v>
      </c>
      <c r="AZ25" s="11">
        <f t="shared" si="207"/>
        <v>0</v>
      </c>
      <c r="BA25" s="11">
        <f t="shared" si="207"/>
        <v>0</v>
      </c>
      <c r="BB25" s="10">
        <f t="shared" si="207"/>
        <v>0</v>
      </c>
      <c r="BC25" s="11">
        <f t="shared" si="207"/>
        <v>-25427</v>
      </c>
      <c r="BD25" s="11">
        <f t="shared" si="207"/>
        <v>-25429</v>
      </c>
      <c r="BE25" s="11">
        <f t="shared" si="207"/>
        <v>0</v>
      </c>
      <c r="BF25" s="11">
        <f t="shared" si="207"/>
        <v>-8664</v>
      </c>
      <c r="BG25" s="11">
        <f t="shared" si="207"/>
        <v>-22367</v>
      </c>
      <c r="BH25" s="11">
        <f t="shared" si="207"/>
        <v>-1372536</v>
      </c>
      <c r="BI25" s="11">
        <f t="shared" si="207"/>
        <v>-7589504</v>
      </c>
      <c r="BJ25" s="11">
        <f t="shared" si="207"/>
        <v>-32950</v>
      </c>
      <c r="BK25" s="11">
        <f t="shared" si="207"/>
        <v>-7556554</v>
      </c>
      <c r="BL25" s="11">
        <f t="shared" si="207"/>
        <v>1460344</v>
      </c>
      <c r="BM25" s="11">
        <f t="shared" si="207"/>
        <v>253133</v>
      </c>
    </row>
    <row r="26" spans="1:65" s="183" customFormat="1" ht="15.75" x14ac:dyDescent="0.2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4"/>
      <c r="BM26" s="184"/>
    </row>
    <row r="27" spans="1:65" ht="15.75" x14ac:dyDescent="0.25">
      <c r="A27" s="15" t="s">
        <v>137</v>
      </c>
      <c r="B27" s="11" t="s">
        <v>301</v>
      </c>
      <c r="C27" s="122">
        <v>984195</v>
      </c>
      <c r="D27" s="122">
        <v>167464</v>
      </c>
      <c r="E27" s="122">
        <v>50198</v>
      </c>
      <c r="F27" s="122">
        <v>113315</v>
      </c>
      <c r="G27" s="122">
        <v>72743</v>
      </c>
      <c r="H27" s="122">
        <v>0</v>
      </c>
      <c r="I27" s="122">
        <v>0</v>
      </c>
      <c r="J27" s="122">
        <v>0</v>
      </c>
      <c r="K27" s="122">
        <v>625</v>
      </c>
      <c r="L27" s="122">
        <v>9488</v>
      </c>
      <c r="M27" s="122">
        <v>24887</v>
      </c>
      <c r="N27" s="122">
        <v>1527</v>
      </c>
      <c r="O27" s="122">
        <v>2435</v>
      </c>
      <c r="P27" s="122">
        <v>16944</v>
      </c>
      <c r="Q27" s="122">
        <v>0</v>
      </c>
      <c r="R27" s="122">
        <v>5624</v>
      </c>
      <c r="S27" s="122">
        <v>0</v>
      </c>
      <c r="T27" s="122">
        <v>0</v>
      </c>
      <c r="U27" s="122"/>
      <c r="V27" s="195">
        <v>6871</v>
      </c>
      <c r="W27" s="122">
        <v>0</v>
      </c>
      <c r="X27" s="122">
        <v>0</v>
      </c>
      <c r="Y27" s="122">
        <v>1134</v>
      </c>
      <c r="Z27" s="122">
        <v>0</v>
      </c>
      <c r="AA27" s="122">
        <v>3</v>
      </c>
      <c r="AB27" s="122">
        <v>1793</v>
      </c>
      <c r="AC27" s="154">
        <v>175996</v>
      </c>
      <c r="AD27" s="123">
        <f t="shared" ref="AD27" si="208">SUM(C27:AC27)</f>
        <v>1635242</v>
      </c>
      <c r="AE27" s="122">
        <v>424</v>
      </c>
      <c r="AF27" s="122">
        <v>350</v>
      </c>
      <c r="AG27" s="122">
        <v>247</v>
      </c>
      <c r="AH27" s="122">
        <v>0</v>
      </c>
      <c r="AI27" s="122">
        <v>0</v>
      </c>
      <c r="AJ27" s="122">
        <v>14</v>
      </c>
      <c r="AK27" s="122">
        <v>325486</v>
      </c>
      <c r="AL27" s="122">
        <v>92108</v>
      </c>
      <c r="AM27" s="122">
        <v>0</v>
      </c>
      <c r="AN27" s="122">
        <v>0</v>
      </c>
      <c r="AO27" s="195">
        <v>101248</v>
      </c>
      <c r="AP27" s="122">
        <v>153826</v>
      </c>
      <c r="AQ27" s="154">
        <v>0</v>
      </c>
      <c r="AR27" s="122">
        <v>0</v>
      </c>
      <c r="AS27" s="122"/>
      <c r="AT27" s="122"/>
      <c r="AU27" s="122">
        <v>0</v>
      </c>
      <c r="AV27" s="122"/>
      <c r="AW27" s="122">
        <v>839</v>
      </c>
      <c r="AX27" s="122">
        <v>72</v>
      </c>
      <c r="AY27" s="122">
        <v>27</v>
      </c>
      <c r="AZ27" s="122">
        <v>0</v>
      </c>
      <c r="BA27" s="122">
        <v>0</v>
      </c>
      <c r="BB27" s="154">
        <v>111696</v>
      </c>
      <c r="BC27" s="122">
        <v>2408</v>
      </c>
      <c r="BD27" s="122">
        <v>2408</v>
      </c>
      <c r="BE27" s="122">
        <v>0</v>
      </c>
      <c r="BF27" s="122">
        <v>7348</v>
      </c>
      <c r="BG27" s="122">
        <v>845</v>
      </c>
      <c r="BH27" s="9">
        <f>SUM(AE27:BG27)</f>
        <v>799346</v>
      </c>
      <c r="BI27" s="127">
        <f>AD27+BH27</f>
        <v>2434588</v>
      </c>
      <c r="BJ27" s="98">
        <v>64278</v>
      </c>
      <c r="BK27" s="51">
        <f t="shared" ref="BK27" si="209">BI27-BJ27</f>
        <v>2370310</v>
      </c>
      <c r="BL27">
        <v>3</v>
      </c>
      <c r="BM27" s="30"/>
    </row>
    <row r="28" spans="1:65" s="217" customFormat="1" ht="15.75" x14ac:dyDescent="0.25">
      <c r="A28" s="130" t="s">
        <v>137</v>
      </c>
      <c r="B28" s="196" t="s">
        <v>320</v>
      </c>
      <c r="C28" s="9">
        <v>177155.1</v>
      </c>
      <c r="D28" s="9">
        <v>30143.520000000004</v>
      </c>
      <c r="E28" s="9">
        <v>0</v>
      </c>
      <c r="F28" s="9">
        <v>20396.7</v>
      </c>
      <c r="G28" s="9">
        <v>13093.740000000002</v>
      </c>
      <c r="H28" s="9">
        <v>0</v>
      </c>
      <c r="I28" s="9">
        <v>0</v>
      </c>
      <c r="J28" s="9">
        <v>0</v>
      </c>
      <c r="K28" s="9">
        <v>112.5</v>
      </c>
      <c r="L28" s="9">
        <v>1707.8400000000001</v>
      </c>
      <c r="M28" s="9">
        <v>4479.66</v>
      </c>
      <c r="N28" s="9">
        <v>274.86</v>
      </c>
      <c r="O28" s="9">
        <v>438.3</v>
      </c>
      <c r="P28" s="9">
        <v>3049.92</v>
      </c>
      <c r="Q28" s="9">
        <v>0</v>
      </c>
      <c r="R28" s="9">
        <v>1012.3199999999999</v>
      </c>
      <c r="S28" s="9">
        <v>0</v>
      </c>
      <c r="T28" s="9">
        <v>0</v>
      </c>
      <c r="U28" s="9"/>
      <c r="V28" s="9">
        <v>1236.7800000000002</v>
      </c>
      <c r="W28" s="9">
        <v>0</v>
      </c>
      <c r="X28" s="9">
        <v>0</v>
      </c>
      <c r="Y28" s="9">
        <v>204.12</v>
      </c>
      <c r="Z28" s="9">
        <v>0</v>
      </c>
      <c r="AA28" s="9">
        <v>0.54</v>
      </c>
      <c r="AB28" s="9">
        <v>322.74</v>
      </c>
      <c r="AC28" s="10">
        <v>31679.280000000002</v>
      </c>
      <c r="AD28" s="123">
        <v>285307.92</v>
      </c>
      <c r="AE28" s="9">
        <v>76.320000000000007</v>
      </c>
      <c r="AF28" s="9">
        <v>63</v>
      </c>
      <c r="AG28" s="9">
        <v>44.460000000000008</v>
      </c>
      <c r="AH28" s="9">
        <v>0</v>
      </c>
      <c r="AI28" s="9">
        <v>0</v>
      </c>
      <c r="AJ28" s="9">
        <v>2.5200000000000005</v>
      </c>
      <c r="AK28" s="9">
        <v>58587.48</v>
      </c>
      <c r="AL28" s="9">
        <v>16579.440000000002</v>
      </c>
      <c r="AM28" s="9">
        <v>0</v>
      </c>
      <c r="AN28" s="9">
        <v>0</v>
      </c>
      <c r="AO28" s="9">
        <v>18224.64</v>
      </c>
      <c r="AP28" s="9">
        <v>27688.68</v>
      </c>
      <c r="AQ28" s="10">
        <v>0</v>
      </c>
      <c r="AR28" s="9">
        <v>0</v>
      </c>
      <c r="AS28" s="9"/>
      <c r="AT28" s="9"/>
      <c r="AU28" s="9">
        <v>0</v>
      </c>
      <c r="AV28" s="9"/>
      <c r="AW28" s="9">
        <v>151.02000000000001</v>
      </c>
      <c r="AX28" s="9">
        <v>12.96</v>
      </c>
      <c r="AY28" s="9">
        <v>4.8600000000000003</v>
      </c>
      <c r="AZ28" s="9">
        <v>0</v>
      </c>
      <c r="BA28" s="9">
        <v>0</v>
      </c>
      <c r="BB28" s="10">
        <v>20105.28</v>
      </c>
      <c r="BC28" s="9">
        <v>433.44000000000005</v>
      </c>
      <c r="BD28" s="9">
        <v>433.44000000000005</v>
      </c>
      <c r="BE28" s="9">
        <v>0</v>
      </c>
      <c r="BF28" s="9">
        <v>1322.64</v>
      </c>
      <c r="BG28" s="9">
        <v>152.1</v>
      </c>
      <c r="BH28" s="9">
        <v>143882.28000000006</v>
      </c>
      <c r="BI28" s="127">
        <v>429190.20000000007</v>
      </c>
      <c r="BJ28" s="9">
        <v>10713</v>
      </c>
      <c r="BK28" s="51">
        <v>418477.20000000007</v>
      </c>
      <c r="BM28" s="30"/>
    </row>
    <row r="29" spans="1:65" ht="15.75" x14ac:dyDescent="0.25">
      <c r="A29" s="130"/>
      <c r="B29" s="12" t="s">
        <v>322</v>
      </c>
      <c r="C29" s="9">
        <f>IF('Upto Month COPPY'!$D$4="",0,'Upto Month COPPY'!$D$4)</f>
        <v>163199</v>
      </c>
      <c r="D29" s="9">
        <f>IF('Upto Month COPPY'!$D$5="",0,'Upto Month COPPY'!$D$5)</f>
        <v>26710</v>
      </c>
      <c r="E29" s="9">
        <f>IF('Upto Month COPPY'!$D$6="",0,'Upto Month COPPY'!$D$6)</f>
        <v>0</v>
      </c>
      <c r="F29" s="9">
        <f>IF('Upto Month COPPY'!$D$7="",0,'Upto Month COPPY'!$D$7)</f>
        <v>17426</v>
      </c>
      <c r="G29" s="9">
        <f>IF('Upto Month COPPY'!$D$8="",0,'Upto Month COPPY'!$D$8)</f>
        <v>10809</v>
      </c>
      <c r="H29" s="9">
        <f>IF('Upto Month COPPY'!$D$9="",0,'Upto Month COPPY'!$D$9)</f>
        <v>0</v>
      </c>
      <c r="I29" s="9">
        <f>IF('Upto Month COPPY'!$D$10="",0,'Upto Month COPPY'!$D$10)</f>
        <v>0</v>
      </c>
      <c r="J29" s="9">
        <f>IF('Upto Month COPPY'!$D$11="",0,'Upto Month COPPY'!$D$11)</f>
        <v>0</v>
      </c>
      <c r="K29" s="9">
        <f>IF('Upto Month COPPY'!$D$12="",0,'Upto Month COPPY'!$D$12)</f>
        <v>145</v>
      </c>
      <c r="L29" s="9">
        <f>IF('Upto Month COPPY'!$D$13="",0,'Upto Month COPPY'!$D$13)</f>
        <v>969</v>
      </c>
      <c r="M29" s="9">
        <f>IF('Upto Month COPPY'!$D$14="",0,'Upto Month COPPY'!$D$14)</f>
        <v>1559</v>
      </c>
      <c r="N29" s="9">
        <f>IF('Upto Month COPPY'!$D$15="",0,'Upto Month COPPY'!$D$15)</f>
        <v>80</v>
      </c>
      <c r="O29" s="9">
        <f>IF('Upto Month COPPY'!$D$16="",0,'Upto Month COPPY'!$D$16)</f>
        <v>0</v>
      </c>
      <c r="P29" s="9">
        <f>IF('Upto Month COPPY'!$D$17="",0,'Upto Month COPPY'!$D$17)</f>
        <v>3121</v>
      </c>
      <c r="Q29" s="9">
        <f>IF('Upto Month COPPY'!$D$18="",0,'Upto Month COPPY'!$D$18)</f>
        <v>0</v>
      </c>
      <c r="R29" s="9">
        <f>IF('Upto Month COPPY'!$D$21="",0,'Upto Month COPPY'!$D$21)</f>
        <v>139</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v>
      </c>
      <c r="Z29" s="9">
        <f>IF('Upto Month COPPY'!$D$43="",0,'Upto Month COPPY'!$D$43)</f>
        <v>1</v>
      </c>
      <c r="AA29" s="9">
        <f>IF('Upto Month COPPY'!$D$44="",0,'Upto Month COPPY'!$D$44)</f>
        <v>1</v>
      </c>
      <c r="AB29" s="9">
        <f>IF('Upto Month COPPY'!$D$48="",0,'Upto Month COPPY'!$D$48)</f>
        <v>0</v>
      </c>
      <c r="AC29" s="10">
        <f>IF('Upto Month COPPY'!$D$51="",0,'Upto Month COPPY'!$D$51)</f>
        <v>22856</v>
      </c>
      <c r="AD29" s="123">
        <f t="shared" ref="AD29:AD30" si="210">SUM(C29:AC29)</f>
        <v>247018</v>
      </c>
      <c r="AE29" s="9">
        <f>IF('Upto Month COPPY'!$D$19="",0,'Upto Month COPPY'!$D$19)</f>
        <v>133</v>
      </c>
      <c r="AF29" s="9">
        <f>IF('Upto Month COPPY'!$D$20="",0,'Upto Month COPPY'!$D$20)</f>
        <v>47</v>
      </c>
      <c r="AG29" s="9">
        <f>IF('Upto Month COPPY'!$D$22="",0,'Upto Month COPPY'!$D$22)</f>
        <v>0</v>
      </c>
      <c r="AH29" s="9">
        <f>IF('Upto Month COPPY'!$D$23="",0,'Upto Month COPPY'!$D$23)</f>
        <v>0</v>
      </c>
      <c r="AI29" s="9">
        <f>IF('Upto Month COPPY'!$D$24="",0,'Upto Month COPPY'!$D$24)</f>
        <v>0</v>
      </c>
      <c r="AJ29" s="9">
        <f>IF('Upto Month COPPY'!$D$25="",0,'Upto Month COPPY'!$D$25)</f>
        <v>15</v>
      </c>
      <c r="AK29" s="9">
        <f>IF('Upto Month COPPY'!$D$28="",0,'Upto Month COPPY'!$D$28)</f>
        <v>109121</v>
      </c>
      <c r="AL29" s="9">
        <f>IF('Upto Month COPPY'!$D$29="",0,'Upto Month COPPY'!$D$29)</f>
        <v>19900</v>
      </c>
      <c r="AM29" s="9">
        <f>IF('Upto Month COPPY'!$D$31="",0,'Upto Month COPPY'!$D$31)</f>
        <v>0</v>
      </c>
      <c r="AN29" s="9">
        <f>IF('Upto Month COPPY'!$D$32="",0,'Upto Month COPPY'!$D$32)</f>
        <v>40</v>
      </c>
      <c r="AO29" s="9">
        <f>IF('Upto Month COPPY'!$D$33="",0,'Upto Month COPPY'!$D$33)</f>
        <v>21645</v>
      </c>
      <c r="AP29" s="9">
        <f>IF('Upto Month COPPY'!$D$34="",0,'Upto Month COPPY'!$D$34)</f>
        <v>17503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44851</v>
      </c>
      <c r="BC29" s="9">
        <f>IF('Upto Month COPPY'!$D$53="",0,'Upto Month COPPY'!$D$53)</f>
        <v>713</v>
      </c>
      <c r="BD29" s="9">
        <f>IF('Upto Month COPPY'!$D$54="",0,'Upto Month COPPY'!$D$54)</f>
        <v>713</v>
      </c>
      <c r="BE29" s="9">
        <f>IF('Upto Month COPPY'!$D$55="",0,'Upto Month COPPY'!$D$55)</f>
        <v>0</v>
      </c>
      <c r="BF29" s="9">
        <f>IF('Upto Month COPPY'!$D$56="",0,'Upto Month COPPY'!$D$56)</f>
        <v>3529</v>
      </c>
      <c r="BG29" s="9">
        <f>IF('Upto Month COPPY'!$D$58="",0,'Upto Month COPPY'!$D$58)</f>
        <v>0</v>
      </c>
      <c r="BH29" s="9">
        <f>SUM(AE29:BG29)</f>
        <v>218210</v>
      </c>
      <c r="BI29" s="127">
        <f>AD29+BH29</f>
        <v>465228</v>
      </c>
      <c r="BJ29" s="9">
        <f>IF('Upto Month COPPY'!$D$60="",0,'Upto Month COPPY'!$D$60)</f>
        <v>-7312</v>
      </c>
      <c r="BK29" s="51">
        <f t="shared" ref="BK29:BK30" si="211">BI29-BJ29</f>
        <v>472540</v>
      </c>
      <c r="BL29">
        <f>'Upto Month COPPY'!$D$61</f>
        <v>472539</v>
      </c>
      <c r="BM29" s="30">
        <f t="shared" ref="BM29:BM33" si="212">BK29-AD29</f>
        <v>225522</v>
      </c>
    </row>
    <row r="30" spans="1:65" ht="15.75" x14ac:dyDescent="0.25">
      <c r="A30" s="130"/>
      <c r="B30" s="185" t="s">
        <v>323</v>
      </c>
      <c r="C30" s="9">
        <f>IF('Upto Month Current'!$D$4="",0,'Upto Month Current'!$D$4)</f>
        <v>167393</v>
      </c>
      <c r="D30" s="9">
        <f>IF('Upto Month Current'!$D$5="",0,'Upto Month Current'!$D$5)</f>
        <v>28014</v>
      </c>
      <c r="E30" s="9">
        <f>IF('Upto Month Current'!$D$6="",0,'Upto Month Current'!$D$6)</f>
        <v>16</v>
      </c>
      <c r="F30" s="9">
        <f>IF('Upto Month Current'!$D$7="",0,'Upto Month Current'!$D$7)</f>
        <v>18503</v>
      </c>
      <c r="G30" s="9">
        <f>IF('Upto Month Current'!$D$8="",0,'Upto Month Current'!$D$8)</f>
        <v>11988</v>
      </c>
      <c r="H30" s="9">
        <f>IF('Upto Month Current'!$D$9="",0,'Upto Month Current'!$D$9)</f>
        <v>0</v>
      </c>
      <c r="I30" s="9">
        <f>IF('Upto Month Current'!$D$10="",0,'Upto Month Current'!$D$10)</f>
        <v>0</v>
      </c>
      <c r="J30" s="9">
        <f>IF('Upto Month Current'!$D$11="",0,'Upto Month Current'!$D$11)</f>
        <v>0</v>
      </c>
      <c r="K30" s="9">
        <f>IF('Upto Month Current'!$D$12="",0,'Upto Month Current'!$D$12)</f>
        <v>313</v>
      </c>
      <c r="L30" s="9">
        <f>IF('Upto Month Current'!$D$13="",0,'Upto Month Current'!$D$13)</f>
        <v>929</v>
      </c>
      <c r="M30" s="9">
        <f>IF('Upto Month Current'!$D$14="",0,'Upto Month Current'!$D$14)</f>
        <v>779</v>
      </c>
      <c r="N30" s="9">
        <f>IF('Upto Month Current'!$D$15="",0,'Upto Month Current'!$D$15)</f>
        <v>16</v>
      </c>
      <c r="O30" s="9">
        <f>IF('Upto Month Current'!$D$16="",0,'Upto Month Current'!$D$16)</f>
        <v>137</v>
      </c>
      <c r="P30" s="9">
        <f>IF('Upto Month Current'!$D$17="",0,'Upto Month Current'!$D$17)</f>
        <v>1935</v>
      </c>
      <c r="Q30" s="9">
        <f>IF('Upto Month Current'!$D$18="",0,'Upto Month Current'!$D$18)</f>
        <v>0</v>
      </c>
      <c r="R30" s="9">
        <f>IF('Upto Month Current'!$D$21="",0,'Upto Month Current'!$D$21)</f>
        <v>193</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251</v>
      </c>
      <c r="Z30" s="9">
        <f>IF('Upto Month Current'!$D$43="",0,'Upto Month Current'!$D$43)</f>
        <v>23</v>
      </c>
      <c r="AA30" s="9">
        <f>IF('Upto Month Current'!$D$44="",0,'Upto Month Current'!$D$44)</f>
        <v>2</v>
      </c>
      <c r="AB30" s="9">
        <f>IF('Upto Month Current'!$D$48="",0,'Upto Month Current'!$D$48)</f>
        <v>0</v>
      </c>
      <c r="AC30" s="10">
        <f>IF('Upto Month Current'!$D$51="",0,'Upto Month Current'!$D$51)</f>
        <v>7268</v>
      </c>
      <c r="AD30" s="123">
        <f t="shared" si="210"/>
        <v>237760</v>
      </c>
      <c r="AE30" s="9">
        <f>IF('Upto Month Current'!$D$19="",0,'Upto Month Current'!$D$19)</f>
        <v>154</v>
      </c>
      <c r="AF30" s="9">
        <f>IF('Upto Month Current'!$D$20="",0,'Upto Month Current'!$D$20)</f>
        <v>121</v>
      </c>
      <c r="AG30" s="9">
        <f>IF('Upto Month Current'!$D$22="",0,'Upto Month Current'!$D$22)</f>
        <v>0</v>
      </c>
      <c r="AH30" s="9">
        <f>IF('Upto Month Current'!$D$23="",0,'Upto Month Current'!$D$23)</f>
        <v>0</v>
      </c>
      <c r="AI30" s="9">
        <f>IF('Upto Month Current'!$D$24="",0,'Upto Month Current'!$D$24)</f>
        <v>0</v>
      </c>
      <c r="AJ30" s="9">
        <f>IF('Upto Month Current'!$D$25="",0,'Upto Month Current'!$D$25)</f>
        <v>9</v>
      </c>
      <c r="AK30" s="9">
        <f>IF('Upto Month Current'!$D$28="",0,'Upto Month Current'!$D$28)</f>
        <v>125026</v>
      </c>
      <c r="AL30" s="9">
        <f>IF('Upto Month Current'!$D$29="",0,'Upto Month Current'!$D$29)</f>
        <v>4335</v>
      </c>
      <c r="AM30" s="9">
        <f>IF('Upto Month Current'!$D$31="",0,'Upto Month Current'!$D$31)</f>
        <v>0</v>
      </c>
      <c r="AN30" s="9">
        <f>IF('Upto Month Current'!$D$32="",0,'Upto Month Current'!$D$32)</f>
        <v>30</v>
      </c>
      <c r="AO30" s="9">
        <f>IF('Upto Month Current'!$D$33="",0,'Upto Month Current'!$D$33)</f>
        <v>3069</v>
      </c>
      <c r="AP30" s="9">
        <f>IF('Upto Month Current'!$D$34="",0,'Upto Month Current'!$D$34)</f>
        <v>10588</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21505</v>
      </c>
      <c r="BC30" s="9">
        <f>IF('Upto Month Current'!$D$53="",0,'Upto Month Current'!$D$53)</f>
        <v>178</v>
      </c>
      <c r="BD30" s="9">
        <f>IF('Upto Month Current'!$D$54="",0,'Upto Month Current'!$D$54)</f>
        <v>178</v>
      </c>
      <c r="BE30" s="9">
        <f>IF('Upto Month Current'!$D$55="",0,'Upto Month Current'!$D$55)</f>
        <v>0</v>
      </c>
      <c r="BF30" s="9">
        <f>IF('Upto Month Current'!$D$56="",0,'Upto Month Current'!$D$56)</f>
        <v>331</v>
      </c>
      <c r="BG30" s="9">
        <f>IF('Upto Month Current'!$D$58="",0,'Upto Month Current'!$D$58)</f>
        <v>8</v>
      </c>
      <c r="BH30" s="9">
        <f>SUM(AE30:BG30)</f>
        <v>165532</v>
      </c>
      <c r="BI30" s="127">
        <f>AD30+BH30</f>
        <v>403292</v>
      </c>
      <c r="BJ30" s="9">
        <f>IF('Upto Month Current'!$D$60="",0,'Upto Month Current'!$D$60)</f>
        <v>0</v>
      </c>
      <c r="BK30" s="51">
        <f t="shared" si="211"/>
        <v>403292</v>
      </c>
      <c r="BL30">
        <f>'Upto Month Current'!$D$61</f>
        <v>403291</v>
      </c>
      <c r="BM30" s="30">
        <f t="shared" si="212"/>
        <v>165532</v>
      </c>
    </row>
    <row r="31" spans="1:65" ht="15.75" x14ac:dyDescent="0.25">
      <c r="A31" s="130"/>
      <c r="B31" s="5" t="s">
        <v>132</v>
      </c>
      <c r="C31" s="11">
        <f>C30-C28</f>
        <v>-9762.1000000000058</v>
      </c>
      <c r="D31" s="11">
        <f t="shared" ref="D31" si="213">D30-D28</f>
        <v>-2129.5200000000041</v>
      </c>
      <c r="E31" s="11">
        <f t="shared" ref="E31" si="214">E30-E28</f>
        <v>16</v>
      </c>
      <c r="F31" s="11">
        <f t="shared" ref="F31" si="215">F30-F28</f>
        <v>-1893.7000000000007</v>
      </c>
      <c r="G31" s="11">
        <f t="shared" ref="G31" si="216">G30-G28</f>
        <v>-1105.7400000000016</v>
      </c>
      <c r="H31" s="11">
        <f t="shared" ref="H31" si="217">H30-H28</f>
        <v>0</v>
      </c>
      <c r="I31" s="11">
        <f t="shared" ref="I31" si="218">I30-I28</f>
        <v>0</v>
      </c>
      <c r="J31" s="11">
        <f t="shared" ref="J31" si="219">J30-J28</f>
        <v>0</v>
      </c>
      <c r="K31" s="11">
        <f t="shared" ref="K31" si="220">K30-K28</f>
        <v>200.5</v>
      </c>
      <c r="L31" s="11">
        <f t="shared" ref="L31" si="221">L30-L28</f>
        <v>-778.84000000000015</v>
      </c>
      <c r="M31" s="11">
        <f t="shared" ref="M31" si="222">M30-M28</f>
        <v>-3700.66</v>
      </c>
      <c r="N31" s="11">
        <f t="shared" ref="N31" si="223">N30-N28</f>
        <v>-258.86</v>
      </c>
      <c r="O31" s="11">
        <f t="shared" ref="O31" si="224">O30-O28</f>
        <v>-301.3</v>
      </c>
      <c r="P31" s="11">
        <f t="shared" ref="P31" si="225">P30-P28</f>
        <v>-1114.92</v>
      </c>
      <c r="Q31" s="11">
        <f t="shared" ref="Q31" si="226">Q30-Q28</f>
        <v>0</v>
      </c>
      <c r="R31" s="11">
        <f t="shared" ref="R31" si="227">R30-R28</f>
        <v>-819.31999999999994</v>
      </c>
      <c r="S31" s="11">
        <f t="shared" ref="S31" si="228">S30-S28</f>
        <v>0</v>
      </c>
      <c r="T31" s="11">
        <f t="shared" ref="T31:U31" si="229">T30-T28</f>
        <v>0</v>
      </c>
      <c r="U31" s="11">
        <f t="shared" si="229"/>
        <v>0</v>
      </c>
      <c r="V31" s="9">
        <f t="shared" ref="V31" si="230">V30-V28</f>
        <v>-1236.7800000000002</v>
      </c>
      <c r="W31" s="11">
        <f t="shared" ref="W31" si="231">W30-W28</f>
        <v>0</v>
      </c>
      <c r="X31" s="11">
        <f t="shared" ref="X31" si="232">X30-X28</f>
        <v>0</v>
      </c>
      <c r="Y31" s="11">
        <f t="shared" ref="Y31" si="233">Y30-Y28</f>
        <v>46.879999999999995</v>
      </c>
      <c r="Z31" s="11">
        <f t="shared" ref="Z31" si="234">Z30-Z28</f>
        <v>23</v>
      </c>
      <c r="AA31" s="11">
        <f t="shared" ref="AA31:AD31" si="235">AA30-AA28</f>
        <v>1.46</v>
      </c>
      <c r="AB31" s="11">
        <f t="shared" ref="AB31" si="236">AB30-AB28</f>
        <v>-322.74</v>
      </c>
      <c r="AC31" s="10">
        <f t="shared" si="235"/>
        <v>-24411.280000000002</v>
      </c>
      <c r="AD31" s="11">
        <f t="shared" si="235"/>
        <v>-47547.919999999984</v>
      </c>
      <c r="AE31" s="11">
        <f t="shared" ref="AE31" si="237">AE30-AE28</f>
        <v>77.679999999999993</v>
      </c>
      <c r="AF31" s="11">
        <f t="shared" ref="AF31" si="238">AF30-AF28</f>
        <v>58</v>
      </c>
      <c r="AG31" s="11">
        <f t="shared" ref="AG31" si="239">AG30-AG28</f>
        <v>-44.460000000000008</v>
      </c>
      <c r="AH31" s="11">
        <f t="shared" ref="AH31" si="240">AH30-AH28</f>
        <v>0</v>
      </c>
      <c r="AI31" s="11">
        <f t="shared" ref="AI31" si="241">AI30-AI28</f>
        <v>0</v>
      </c>
      <c r="AJ31" s="11">
        <f t="shared" ref="AJ31" si="242">AJ30-AJ28</f>
        <v>6.4799999999999995</v>
      </c>
      <c r="AK31" s="11">
        <f t="shared" ref="AK31" si="243">AK30-AK28</f>
        <v>66438.51999999999</v>
      </c>
      <c r="AL31" s="11">
        <f t="shared" ref="AL31" si="244">AL30-AL28</f>
        <v>-12244.440000000002</v>
      </c>
      <c r="AM31" s="11">
        <f t="shared" ref="AM31" si="245">AM30-AM28</f>
        <v>0</v>
      </c>
      <c r="AN31" s="11">
        <f t="shared" ref="AN31" si="246">AN30-AN28</f>
        <v>30</v>
      </c>
      <c r="AO31" s="9">
        <f t="shared" ref="AO31" si="247">AO30-AO28</f>
        <v>-15155.64</v>
      </c>
      <c r="AP31" s="11">
        <f t="shared" ref="AP31" si="248">AP30-AP28</f>
        <v>-17100.68</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-151.02000000000001</v>
      </c>
      <c r="AX31" s="11">
        <f t="shared" ref="AX31" si="256">AX30-AX28</f>
        <v>-12.96</v>
      </c>
      <c r="AY31" s="11">
        <f t="shared" ref="AY31" si="257">AY30-AY28</f>
        <v>-4.8600000000000003</v>
      </c>
      <c r="AZ31" s="11">
        <f t="shared" ref="AZ31" si="258">AZ30-AZ28</f>
        <v>0</v>
      </c>
      <c r="BA31" s="11">
        <f t="shared" ref="BA31" si="259">BA30-BA28</f>
        <v>0</v>
      </c>
      <c r="BB31" s="10">
        <f t="shared" ref="BB31" si="260">BB30-BB28</f>
        <v>1399.7200000000012</v>
      </c>
      <c r="BC31" s="11">
        <f t="shared" ref="BC31" si="261">BC30-BC28</f>
        <v>-255.44000000000005</v>
      </c>
      <c r="BD31" s="11">
        <f t="shared" ref="BD31" si="262">BD30-BD28</f>
        <v>-255.44000000000005</v>
      </c>
      <c r="BE31" s="11">
        <f t="shared" ref="BE31" si="263">BE30-BE28</f>
        <v>0</v>
      </c>
      <c r="BF31" s="11">
        <f t="shared" ref="BF31" si="264">BF30-BF28</f>
        <v>-991.6400000000001</v>
      </c>
      <c r="BG31" s="11">
        <f t="shared" ref="BG31:BH31" si="265">BG30-BG28</f>
        <v>-144.1</v>
      </c>
      <c r="BH31" s="9">
        <f t="shared" si="265"/>
        <v>21649.719999999943</v>
      </c>
      <c r="BI31" s="45">
        <f t="shared" ref="BI31" si="266">BI30-BI28</f>
        <v>-25898.20000000007</v>
      </c>
      <c r="BJ31" s="11">
        <f t="shared" ref="BJ31:BK31" si="267">BJ30-BJ28</f>
        <v>-10713</v>
      </c>
      <c r="BK31" s="51">
        <f t="shared" si="267"/>
        <v>-15185.20000000007</v>
      </c>
      <c r="BM31" s="30">
        <f t="shared" si="212"/>
        <v>32362.719999999914</v>
      </c>
    </row>
    <row r="32" spans="1:65" ht="15.75" x14ac:dyDescent="0.25">
      <c r="A32" s="130"/>
      <c r="B32" s="5" t="s">
        <v>133</v>
      </c>
      <c r="C32" s="13">
        <f>C31/C28</f>
        <v>-5.5104820578126205E-2</v>
      </c>
      <c r="D32" s="13">
        <f t="shared" ref="D32" si="268">D31/D28</f>
        <v>-7.0646029395372664E-2</v>
      </c>
      <c r="E32" s="13" t="e">
        <f t="shared" ref="E32" si="269">E31/E28</f>
        <v>#DIV/0!</v>
      </c>
      <c r="F32" s="13">
        <f t="shared" ref="F32" si="270">F31/F28</f>
        <v>-9.2843450165958255E-2</v>
      </c>
      <c r="G32" s="13">
        <f t="shared" ref="G32" si="271">G31/G28</f>
        <v>-8.444798812256861E-2</v>
      </c>
      <c r="H32" s="13" t="e">
        <f t="shared" ref="H32" si="272">H31/H28</f>
        <v>#DIV/0!</v>
      </c>
      <c r="I32" s="13" t="e">
        <f t="shared" ref="I32" si="273">I31/I28</f>
        <v>#DIV/0!</v>
      </c>
      <c r="J32" s="13" t="e">
        <f t="shared" ref="J32" si="274">J31/J28</f>
        <v>#DIV/0!</v>
      </c>
      <c r="K32" s="13">
        <f t="shared" ref="K32" si="275">K31/K28</f>
        <v>1.7822222222222222</v>
      </c>
      <c r="L32" s="13">
        <f t="shared" ref="L32" si="276">L31/L28</f>
        <v>-0.45603803635000939</v>
      </c>
      <c r="M32" s="13">
        <f t="shared" ref="M32" si="277">M31/M28</f>
        <v>-0.8261028738788212</v>
      </c>
      <c r="N32" s="13">
        <f t="shared" ref="N32" si="278">N31/N28</f>
        <v>-0.94178854689660196</v>
      </c>
      <c r="O32" s="13">
        <f t="shared" ref="O32" si="279">O31/O28</f>
        <v>-0.68742870180241844</v>
      </c>
      <c r="P32" s="13">
        <f t="shared" ref="P32" si="280">P31/P28</f>
        <v>-0.3655571293673277</v>
      </c>
      <c r="Q32" s="13" t="e">
        <f t="shared" ref="Q32" si="281">Q31/Q28</f>
        <v>#DIV/0!</v>
      </c>
      <c r="R32" s="13">
        <f t="shared" ref="R32" si="282">R31/R28</f>
        <v>-0.80934882250671725</v>
      </c>
      <c r="S32" s="13" t="e">
        <f t="shared" ref="S32" si="283">S31/S28</f>
        <v>#DIV/0!</v>
      </c>
      <c r="T32" s="13" t="e">
        <f t="shared" ref="T32:U32" si="284">T31/T28</f>
        <v>#DIV/0!</v>
      </c>
      <c r="U32" s="13" t="e">
        <f t="shared" si="284"/>
        <v>#DIV/0!</v>
      </c>
      <c r="V32" s="165">
        <f t="shared" ref="V32" si="285">V31/V28</f>
        <v>-1</v>
      </c>
      <c r="W32" s="13" t="e">
        <f t="shared" ref="W32" si="286">W31/W28</f>
        <v>#DIV/0!</v>
      </c>
      <c r="X32" s="13" t="e">
        <f t="shared" ref="X32" si="287">X31/X28</f>
        <v>#DIV/0!</v>
      </c>
      <c r="Y32" s="13">
        <f t="shared" ref="Y32" si="288">Y31/Y28</f>
        <v>0.22966882226141483</v>
      </c>
      <c r="Z32" s="13" t="e">
        <f t="shared" ref="Z32" si="289">Z31/Z28</f>
        <v>#DIV/0!</v>
      </c>
      <c r="AA32" s="13">
        <f t="shared" ref="AA32:AD32" si="290">AA31/AA28</f>
        <v>2.7037037037037033</v>
      </c>
      <c r="AB32" s="13">
        <f t="shared" ref="AB32" si="291">AB31/AB28</f>
        <v>-1</v>
      </c>
      <c r="AC32" s="14">
        <f t="shared" si="290"/>
        <v>-0.77057559388976016</v>
      </c>
      <c r="AD32" s="13">
        <f t="shared" si="290"/>
        <v>-0.16665474971742805</v>
      </c>
      <c r="AE32" s="13">
        <f t="shared" ref="AE32" si="292">AE31/AE28</f>
        <v>1.0178197064989516</v>
      </c>
      <c r="AF32" s="13">
        <f t="shared" ref="AF32" si="293">AF31/AF28</f>
        <v>0.92063492063492058</v>
      </c>
      <c r="AG32" s="13">
        <f t="shared" ref="AG32" si="294">AG31/AG28</f>
        <v>-1</v>
      </c>
      <c r="AH32" s="13" t="e">
        <f t="shared" ref="AH32" si="295">AH31/AH28</f>
        <v>#DIV/0!</v>
      </c>
      <c r="AI32" s="13" t="e">
        <f t="shared" ref="AI32" si="296">AI31/AI28</f>
        <v>#DIV/0!</v>
      </c>
      <c r="AJ32" s="13">
        <f t="shared" ref="AJ32" si="297">AJ31/AJ28</f>
        <v>2.5714285714285707</v>
      </c>
      <c r="AK32" s="13">
        <f t="shared" ref="AK32" si="298">AK31/AK28</f>
        <v>1.134005422318898</v>
      </c>
      <c r="AL32" s="13">
        <f t="shared" ref="AL32" si="299">AL31/AL28</f>
        <v>-0.73853157887118026</v>
      </c>
      <c r="AM32" s="13" t="e">
        <f t="shared" ref="AM32" si="300">AM31/AM28</f>
        <v>#DIV/0!</v>
      </c>
      <c r="AN32" s="13" t="e">
        <f t="shared" ref="AN32" si="301">AN31/AN28</f>
        <v>#DIV/0!</v>
      </c>
      <c r="AO32" s="165">
        <f t="shared" ref="AO32" si="302">AO31/AO28</f>
        <v>-0.83160161188369153</v>
      </c>
      <c r="AP32" s="13">
        <f t="shared" ref="AP32" si="303">AP31/AP28</f>
        <v>-0.61760546187106069</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-1</v>
      </c>
      <c r="AX32" s="13">
        <f t="shared" ref="AX32" si="311">AX31/AX28</f>
        <v>-1</v>
      </c>
      <c r="AY32" s="13">
        <f t="shared" ref="AY32" si="312">AY31/AY28</f>
        <v>-1</v>
      </c>
      <c r="AZ32" s="13" t="e">
        <f t="shared" ref="AZ32" si="313">AZ31/AZ28</f>
        <v>#DIV/0!</v>
      </c>
      <c r="BA32" s="13" t="e">
        <f t="shared" ref="BA32" si="314">BA31/BA28</f>
        <v>#DIV/0!</v>
      </c>
      <c r="BB32" s="14">
        <f t="shared" ref="BB32" si="315">BB31/BB28</f>
        <v>6.9619522831813399E-2</v>
      </c>
      <c r="BC32" s="13">
        <f t="shared" ref="BC32" si="316">BC31/BC28</f>
        <v>-0.58933185677371724</v>
      </c>
      <c r="BD32" s="13">
        <f t="shared" ref="BD32" si="317">BD31/BD28</f>
        <v>-0.58933185677371724</v>
      </c>
      <c r="BE32" s="13" t="e">
        <f t="shared" ref="BE32" si="318">BE31/BE28</f>
        <v>#DIV/0!</v>
      </c>
      <c r="BF32" s="13">
        <f t="shared" ref="BF32" si="319">BF31/BF28</f>
        <v>-0.74974293836569283</v>
      </c>
      <c r="BG32" s="13">
        <f t="shared" ref="BG32:BH32" si="320">BG31/BG28</f>
        <v>-0.94740302432610124</v>
      </c>
      <c r="BH32" s="165">
        <f t="shared" si="320"/>
        <v>0.15046828560125636</v>
      </c>
      <c r="BI32" s="46">
        <f t="shared" ref="BI32" si="321">BI31/BI28</f>
        <v>-6.0342011537076252E-2</v>
      </c>
      <c r="BJ32" s="13">
        <f t="shared" ref="BJ32:BK32" si="322">BJ31/BJ28</f>
        <v>-1</v>
      </c>
      <c r="BK32" s="52">
        <f t="shared" si="322"/>
        <v>-3.628680367771546E-2</v>
      </c>
      <c r="BM32" s="165" t="e">
        <f t="shared" ref="BM32" si="323">BM31/BM28</f>
        <v>#DIV/0!</v>
      </c>
    </row>
    <row r="33" spans="1:65" ht="15.75" x14ac:dyDescent="0.25">
      <c r="A33" s="130"/>
      <c r="B33" s="5" t="s">
        <v>134</v>
      </c>
      <c r="C33" s="11">
        <f>C30-C29</f>
        <v>4194</v>
      </c>
      <c r="D33" s="11">
        <f t="shared" ref="D33:BK33" si="324">D30-D29</f>
        <v>1304</v>
      </c>
      <c r="E33" s="11">
        <f t="shared" si="324"/>
        <v>16</v>
      </c>
      <c r="F33" s="11">
        <f t="shared" si="324"/>
        <v>1077</v>
      </c>
      <c r="G33" s="11">
        <f t="shared" si="324"/>
        <v>1179</v>
      </c>
      <c r="H33" s="11">
        <f t="shared" si="324"/>
        <v>0</v>
      </c>
      <c r="I33" s="11">
        <f t="shared" si="324"/>
        <v>0</v>
      </c>
      <c r="J33" s="11">
        <f t="shared" si="324"/>
        <v>0</v>
      </c>
      <c r="K33" s="11">
        <f t="shared" si="324"/>
        <v>168</v>
      </c>
      <c r="L33" s="11">
        <f t="shared" si="324"/>
        <v>-40</v>
      </c>
      <c r="M33" s="11">
        <f t="shared" si="324"/>
        <v>-780</v>
      </c>
      <c r="N33" s="11">
        <f t="shared" si="324"/>
        <v>-64</v>
      </c>
      <c r="O33" s="11">
        <f t="shared" si="324"/>
        <v>137</v>
      </c>
      <c r="P33" s="11">
        <f t="shared" si="324"/>
        <v>-1186</v>
      </c>
      <c r="Q33" s="11">
        <f t="shared" si="324"/>
        <v>0</v>
      </c>
      <c r="R33" s="11">
        <f t="shared" si="324"/>
        <v>54</v>
      </c>
      <c r="S33" s="11">
        <f t="shared" si="324"/>
        <v>0</v>
      </c>
      <c r="T33" s="11">
        <f t="shared" si="324"/>
        <v>0</v>
      </c>
      <c r="U33" s="11">
        <f t="shared" ref="U33" si="325">U30-U29</f>
        <v>0</v>
      </c>
      <c r="V33" s="9">
        <f t="shared" si="324"/>
        <v>0</v>
      </c>
      <c r="W33" s="11">
        <f t="shared" si="324"/>
        <v>0</v>
      </c>
      <c r="X33" s="11">
        <f t="shared" si="324"/>
        <v>0</v>
      </c>
      <c r="Y33" s="11">
        <f t="shared" si="324"/>
        <v>248</v>
      </c>
      <c r="Z33" s="11">
        <f t="shared" si="324"/>
        <v>22</v>
      </c>
      <c r="AA33" s="11">
        <f t="shared" si="324"/>
        <v>1</v>
      </c>
      <c r="AB33" s="11">
        <f t="shared" ref="AB33" si="326">AB30-AB29</f>
        <v>0</v>
      </c>
      <c r="AC33" s="10">
        <f t="shared" ref="AC33:AD33" si="327">AC30-AC29</f>
        <v>-15588</v>
      </c>
      <c r="AD33" s="11">
        <f t="shared" si="327"/>
        <v>-9258</v>
      </c>
      <c r="AE33" s="11">
        <f t="shared" si="324"/>
        <v>21</v>
      </c>
      <c r="AF33" s="11">
        <f t="shared" si="324"/>
        <v>74</v>
      </c>
      <c r="AG33" s="11">
        <f t="shared" si="324"/>
        <v>0</v>
      </c>
      <c r="AH33" s="11">
        <f t="shared" si="324"/>
        <v>0</v>
      </c>
      <c r="AI33" s="11">
        <f t="shared" si="324"/>
        <v>0</v>
      </c>
      <c r="AJ33" s="11">
        <f t="shared" si="324"/>
        <v>-6</v>
      </c>
      <c r="AK33" s="11">
        <f t="shared" si="324"/>
        <v>15905</v>
      </c>
      <c r="AL33" s="11">
        <f t="shared" si="324"/>
        <v>-15565</v>
      </c>
      <c r="AM33" s="11">
        <f t="shared" si="324"/>
        <v>0</v>
      </c>
      <c r="AN33" s="11">
        <f t="shared" si="324"/>
        <v>-10</v>
      </c>
      <c r="AO33" s="9">
        <f t="shared" si="324"/>
        <v>-18576</v>
      </c>
      <c r="AP33" s="11">
        <f t="shared" si="324"/>
        <v>-6915</v>
      </c>
      <c r="AQ33" s="10">
        <f t="shared" si="324"/>
        <v>0</v>
      </c>
      <c r="AR33" s="11">
        <f t="shared" si="324"/>
        <v>0</v>
      </c>
      <c r="AS33" s="11">
        <f t="shared" si="324"/>
        <v>0</v>
      </c>
      <c r="AT33" s="11">
        <f t="shared" si="324"/>
        <v>0</v>
      </c>
      <c r="AU33" s="11">
        <f t="shared" si="324"/>
        <v>0</v>
      </c>
      <c r="AV33" s="11">
        <f t="shared" si="324"/>
        <v>0</v>
      </c>
      <c r="AW33" s="11">
        <f t="shared" si="324"/>
        <v>0</v>
      </c>
      <c r="AX33" s="11">
        <f t="shared" si="324"/>
        <v>0</v>
      </c>
      <c r="AY33" s="11">
        <f t="shared" si="324"/>
        <v>0</v>
      </c>
      <c r="AZ33" s="11">
        <f t="shared" si="324"/>
        <v>0</v>
      </c>
      <c r="BA33" s="11">
        <f t="shared" si="324"/>
        <v>0</v>
      </c>
      <c r="BB33" s="10">
        <f t="shared" si="324"/>
        <v>-23346</v>
      </c>
      <c r="BC33" s="11">
        <f t="shared" si="324"/>
        <v>-535</v>
      </c>
      <c r="BD33" s="11">
        <f t="shared" si="324"/>
        <v>-535</v>
      </c>
      <c r="BE33" s="11">
        <f t="shared" si="324"/>
        <v>0</v>
      </c>
      <c r="BF33" s="11">
        <f t="shared" si="324"/>
        <v>-3198</v>
      </c>
      <c r="BG33" s="11">
        <f t="shared" si="324"/>
        <v>8</v>
      </c>
      <c r="BH33" s="9">
        <f t="shared" si="324"/>
        <v>-52678</v>
      </c>
      <c r="BI33" s="45">
        <f t="shared" si="324"/>
        <v>-61936</v>
      </c>
      <c r="BJ33" s="11">
        <f t="shared" si="324"/>
        <v>7312</v>
      </c>
      <c r="BK33" s="51">
        <f t="shared" si="324"/>
        <v>-69248</v>
      </c>
      <c r="BM33" s="30">
        <f t="shared" si="212"/>
        <v>-59990</v>
      </c>
    </row>
    <row r="34" spans="1:65" ht="15.75" x14ac:dyDescent="0.25">
      <c r="A34" s="130"/>
      <c r="B34" s="5" t="s">
        <v>135</v>
      </c>
      <c r="C34" s="13">
        <f>C33/C29</f>
        <v>2.5698686879208819E-2</v>
      </c>
      <c r="D34" s="13">
        <f t="shared" ref="D34" si="328">D33/D29</f>
        <v>4.8820666417072257E-2</v>
      </c>
      <c r="E34" s="13" t="e">
        <f t="shared" ref="E34" si="329">E33/E29</f>
        <v>#DIV/0!</v>
      </c>
      <c r="F34" s="13">
        <f t="shared" ref="F34" si="330">F33/F29</f>
        <v>6.180420061976357E-2</v>
      </c>
      <c r="G34" s="13">
        <f t="shared" ref="G34" si="331">G33/G29</f>
        <v>0.10907577019150708</v>
      </c>
      <c r="H34" s="13" t="e">
        <f t="shared" ref="H34" si="332">H33/H29</f>
        <v>#DIV/0!</v>
      </c>
      <c r="I34" s="13" t="e">
        <f t="shared" ref="I34" si="333">I33/I29</f>
        <v>#DIV/0!</v>
      </c>
      <c r="J34" s="13" t="e">
        <f t="shared" ref="J34" si="334">J33/J29</f>
        <v>#DIV/0!</v>
      </c>
      <c r="K34" s="13">
        <f t="shared" ref="K34" si="335">K33/K29</f>
        <v>1.1586206896551725</v>
      </c>
      <c r="L34" s="13">
        <f t="shared" ref="L34" si="336">L33/L29</f>
        <v>-4.1279669762641899E-2</v>
      </c>
      <c r="M34" s="13">
        <f t="shared" ref="M34" si="337">M33/M29</f>
        <v>-0.50032071840923664</v>
      </c>
      <c r="N34" s="13">
        <f t="shared" ref="N34" si="338">N33/N29</f>
        <v>-0.8</v>
      </c>
      <c r="O34" s="13" t="e">
        <f t="shared" ref="O34" si="339">O33/O29</f>
        <v>#DIV/0!</v>
      </c>
      <c r="P34" s="13">
        <f t="shared" ref="P34" si="340">P33/P29</f>
        <v>-0.3800064082024992</v>
      </c>
      <c r="Q34" s="13" t="e">
        <f t="shared" ref="Q34" si="341">Q33/Q29</f>
        <v>#DIV/0!</v>
      </c>
      <c r="R34" s="13">
        <f t="shared" ref="R34" si="342">R33/R29</f>
        <v>0.38848920863309355</v>
      </c>
      <c r="S34" s="13" t="e">
        <f t="shared" ref="S34" si="343">S33/S29</f>
        <v>#DIV/0!</v>
      </c>
      <c r="T34" s="13" t="e">
        <f t="shared" ref="T34:U34" si="344">T33/T29</f>
        <v>#DIV/0!</v>
      </c>
      <c r="U34" s="13" t="e">
        <f t="shared" si="344"/>
        <v>#DIV/0!</v>
      </c>
      <c r="V34" s="165" t="e">
        <f t="shared" ref="V34" si="345">V33/V29</f>
        <v>#DIV/0!</v>
      </c>
      <c r="W34" s="13" t="e">
        <f t="shared" ref="W34" si="346">W33/W29</f>
        <v>#DIV/0!</v>
      </c>
      <c r="X34" s="13" t="e">
        <f t="shared" ref="X34" si="347">X33/X29</f>
        <v>#DIV/0!</v>
      </c>
      <c r="Y34" s="13">
        <f t="shared" ref="Y34" si="348">Y33/Y29</f>
        <v>82.666666666666671</v>
      </c>
      <c r="Z34" s="13">
        <f t="shared" ref="Z34" si="349">Z33/Z29</f>
        <v>22</v>
      </c>
      <c r="AA34" s="13">
        <f t="shared" ref="AA34:AD34" si="350">AA33/AA29</f>
        <v>1</v>
      </c>
      <c r="AB34" s="13" t="e">
        <f t="shared" ref="AB34" si="351">AB33/AB29</f>
        <v>#DIV/0!</v>
      </c>
      <c r="AC34" s="14">
        <f t="shared" si="350"/>
        <v>-0.68200910045502272</v>
      </c>
      <c r="AD34" s="13">
        <f t="shared" si="350"/>
        <v>-3.7479050109708603E-2</v>
      </c>
      <c r="AE34" s="13">
        <f t="shared" ref="AE34" si="352">AE33/AE29</f>
        <v>0.15789473684210525</v>
      </c>
      <c r="AF34" s="13">
        <f t="shared" ref="AF34" si="353">AF33/AF29</f>
        <v>1.574468085106383</v>
      </c>
      <c r="AG34" s="13" t="e">
        <f t="shared" ref="AG34" si="354">AG33/AG29</f>
        <v>#DIV/0!</v>
      </c>
      <c r="AH34" s="13" t="e">
        <f t="shared" ref="AH34" si="355">AH33/AH29</f>
        <v>#DIV/0!</v>
      </c>
      <c r="AI34" s="13" t="e">
        <f t="shared" ref="AI34" si="356">AI33/AI29</f>
        <v>#DIV/0!</v>
      </c>
      <c r="AJ34" s="13">
        <f t="shared" ref="AJ34" si="357">AJ33/AJ29</f>
        <v>-0.4</v>
      </c>
      <c r="AK34" s="13">
        <f t="shared" ref="AK34" si="358">AK33/AK29</f>
        <v>0.14575562907231421</v>
      </c>
      <c r="AL34" s="13">
        <f t="shared" ref="AL34" si="359">AL33/AL29</f>
        <v>-0.78216080402010046</v>
      </c>
      <c r="AM34" s="13" t="e">
        <f t="shared" ref="AM34" si="360">AM33/AM29</f>
        <v>#DIV/0!</v>
      </c>
      <c r="AN34" s="13">
        <f t="shared" ref="AN34" si="361">AN33/AN29</f>
        <v>-0.25</v>
      </c>
      <c r="AO34" s="165">
        <f t="shared" ref="AO34" si="362">AO33/AO29</f>
        <v>-0.85821205821205826</v>
      </c>
      <c r="AP34" s="13">
        <f t="shared" ref="AP34" si="363">AP33/AP29</f>
        <v>-0.3950751299777181</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t="e">
        <f t="shared" ref="AY34" si="372">AY33/AY29</f>
        <v>#DIV/0!</v>
      </c>
      <c r="AZ34" s="13" t="e">
        <f t="shared" ref="AZ34" si="373">AZ33/AZ29</f>
        <v>#DIV/0!</v>
      </c>
      <c r="BA34" s="13" t="e">
        <f t="shared" ref="BA34" si="374">BA33/BA29</f>
        <v>#DIV/0!</v>
      </c>
      <c r="BB34" s="14">
        <f t="shared" ref="BB34" si="375">BB33/BB29</f>
        <v>-0.52052351118146756</v>
      </c>
      <c r="BC34" s="13">
        <f t="shared" ref="BC34" si="376">BC33/BC29</f>
        <v>-0.75035063113604483</v>
      </c>
      <c r="BD34" s="13">
        <f t="shared" ref="BD34" si="377">BD33/BD29</f>
        <v>-0.75035063113604483</v>
      </c>
      <c r="BE34" s="13" t="e">
        <f t="shared" ref="BE34" si="378">BE33/BE29</f>
        <v>#DIV/0!</v>
      </c>
      <c r="BF34" s="13">
        <f t="shared" ref="BF34" si="379">BF33/BF29</f>
        <v>-0.90620572400113342</v>
      </c>
      <c r="BG34" s="13" t="e">
        <f t="shared" ref="BG34:BH34" si="380">BG33/BG29</f>
        <v>#DIV/0!</v>
      </c>
      <c r="BH34" s="165">
        <f t="shared" si="380"/>
        <v>-0.24140965125337976</v>
      </c>
      <c r="BI34" s="46">
        <f t="shared" ref="BI34" si="381">BI33/BI29</f>
        <v>-0.13313042207261816</v>
      </c>
      <c r="BJ34" s="13">
        <f t="shared" ref="BJ34:BK34" si="382">BJ33/BJ29</f>
        <v>-1</v>
      </c>
      <c r="BK34" s="52">
        <f t="shared" si="382"/>
        <v>-0.14654420789774411</v>
      </c>
      <c r="BM34" s="14">
        <f t="shared" ref="BM34" si="383">BM33/BM29</f>
        <v>-0.26600509041246528</v>
      </c>
    </row>
    <row r="35" spans="1:65" ht="15.75" x14ac:dyDescent="0.25">
      <c r="A35" s="130"/>
      <c r="B35" s="5" t="s">
        <v>296</v>
      </c>
      <c r="C35" s="128">
        <f>C30/C27</f>
        <v>0.1700811322959373</v>
      </c>
      <c r="D35" s="128">
        <f t="shared" ref="D35:BK35" si="384">D30/D27</f>
        <v>0.16728371470883294</v>
      </c>
      <c r="E35" s="128">
        <f t="shared" si="384"/>
        <v>3.1873779831865812E-4</v>
      </c>
      <c r="F35" s="128">
        <f t="shared" si="384"/>
        <v>0.16328817897012751</v>
      </c>
      <c r="G35" s="128">
        <f t="shared" si="384"/>
        <v>0.16479936213793767</v>
      </c>
      <c r="H35" s="128" t="e">
        <f t="shared" si="384"/>
        <v>#DIV/0!</v>
      </c>
      <c r="I35" s="128" t="e">
        <f t="shared" si="384"/>
        <v>#DIV/0!</v>
      </c>
      <c r="J35" s="128" t="e">
        <f t="shared" si="384"/>
        <v>#DIV/0!</v>
      </c>
      <c r="K35" s="128">
        <f t="shared" si="384"/>
        <v>0.50080000000000002</v>
      </c>
      <c r="L35" s="128">
        <f t="shared" si="384"/>
        <v>9.7913153456998317E-2</v>
      </c>
      <c r="M35" s="128">
        <f t="shared" si="384"/>
        <v>3.130148270181219E-2</v>
      </c>
      <c r="N35" s="128">
        <f t="shared" si="384"/>
        <v>1.0478061558611657E-2</v>
      </c>
      <c r="O35" s="128">
        <f t="shared" si="384"/>
        <v>5.6262833675564679E-2</v>
      </c>
      <c r="P35" s="128">
        <f t="shared" si="384"/>
        <v>0.11419971671388102</v>
      </c>
      <c r="Q35" s="128" t="e">
        <f t="shared" si="384"/>
        <v>#DIV/0!</v>
      </c>
      <c r="R35" s="128">
        <f t="shared" si="384"/>
        <v>3.4317211948790893E-2</v>
      </c>
      <c r="S35" s="128" t="e">
        <f t="shared" si="384"/>
        <v>#DIV/0!</v>
      </c>
      <c r="T35" s="128" t="e">
        <f t="shared" si="384"/>
        <v>#DIV/0!</v>
      </c>
      <c r="U35" s="128" t="e">
        <f t="shared" si="384"/>
        <v>#DIV/0!</v>
      </c>
      <c r="V35" s="180">
        <f t="shared" si="384"/>
        <v>0</v>
      </c>
      <c r="W35" s="128" t="e">
        <f t="shared" si="384"/>
        <v>#DIV/0!</v>
      </c>
      <c r="X35" s="128" t="e">
        <f t="shared" si="384"/>
        <v>#DIV/0!</v>
      </c>
      <c r="Y35" s="128">
        <f t="shared" si="384"/>
        <v>0.22134038800705466</v>
      </c>
      <c r="Z35" s="128" t="e">
        <f t="shared" si="384"/>
        <v>#DIV/0!</v>
      </c>
      <c r="AA35" s="128">
        <f t="shared" si="384"/>
        <v>0.66666666666666663</v>
      </c>
      <c r="AB35" s="128">
        <f t="shared" ref="AB35" si="385">AB30/AB27</f>
        <v>0</v>
      </c>
      <c r="AC35" s="228">
        <f t="shared" si="384"/>
        <v>4.1296393099843176E-2</v>
      </c>
      <c r="AD35" s="128">
        <f t="shared" si="384"/>
        <v>0.14539743964501889</v>
      </c>
      <c r="AE35" s="128">
        <f t="shared" si="384"/>
        <v>0.3632075471698113</v>
      </c>
      <c r="AF35" s="128">
        <f t="shared" si="384"/>
        <v>0.3457142857142857</v>
      </c>
      <c r="AG35" s="128">
        <f t="shared" si="384"/>
        <v>0</v>
      </c>
      <c r="AH35" s="128" t="e">
        <f t="shared" si="384"/>
        <v>#DIV/0!</v>
      </c>
      <c r="AI35" s="128" t="e">
        <f t="shared" si="384"/>
        <v>#DIV/0!</v>
      </c>
      <c r="AJ35" s="128">
        <f t="shared" si="384"/>
        <v>0.6428571428571429</v>
      </c>
      <c r="AK35" s="128">
        <f t="shared" si="384"/>
        <v>0.38412097601740169</v>
      </c>
      <c r="AL35" s="128">
        <f t="shared" si="384"/>
        <v>4.7064315803187561E-2</v>
      </c>
      <c r="AM35" s="128" t="e">
        <f t="shared" si="384"/>
        <v>#DIV/0!</v>
      </c>
      <c r="AN35" s="128" t="e">
        <f t="shared" si="384"/>
        <v>#DIV/0!</v>
      </c>
      <c r="AO35" s="180">
        <f t="shared" si="384"/>
        <v>3.0311709860935523E-2</v>
      </c>
      <c r="AP35" s="128">
        <f t="shared" si="384"/>
        <v>6.8831016863209082E-2</v>
      </c>
      <c r="AQ35" s="228" t="e">
        <f t="shared" si="384"/>
        <v>#DIV/0!</v>
      </c>
      <c r="AR35" s="128" t="e">
        <f t="shared" si="384"/>
        <v>#DIV/0!</v>
      </c>
      <c r="AS35" s="128" t="e">
        <f t="shared" si="384"/>
        <v>#DIV/0!</v>
      </c>
      <c r="AT35" s="128" t="e">
        <f t="shared" si="384"/>
        <v>#DIV/0!</v>
      </c>
      <c r="AU35" s="128" t="e">
        <f t="shared" si="384"/>
        <v>#DIV/0!</v>
      </c>
      <c r="AV35" s="128" t="e">
        <f t="shared" si="384"/>
        <v>#DIV/0!</v>
      </c>
      <c r="AW35" s="128">
        <f t="shared" si="384"/>
        <v>0</v>
      </c>
      <c r="AX35" s="128">
        <f t="shared" si="384"/>
        <v>0</v>
      </c>
      <c r="AY35" s="128">
        <f t="shared" si="384"/>
        <v>0</v>
      </c>
      <c r="AZ35" s="128" t="e">
        <f t="shared" si="384"/>
        <v>#DIV/0!</v>
      </c>
      <c r="BA35" s="128" t="e">
        <f t="shared" si="384"/>
        <v>#DIV/0!</v>
      </c>
      <c r="BB35" s="228">
        <f t="shared" si="384"/>
        <v>0.19253151410972641</v>
      </c>
      <c r="BC35" s="128">
        <f t="shared" si="384"/>
        <v>7.3920265780730895E-2</v>
      </c>
      <c r="BD35" s="128">
        <f t="shared" si="384"/>
        <v>7.3920265780730895E-2</v>
      </c>
      <c r="BE35" s="128" t="e">
        <f t="shared" si="384"/>
        <v>#DIV/0!</v>
      </c>
      <c r="BF35" s="128">
        <f t="shared" si="384"/>
        <v>4.5046271094175284E-2</v>
      </c>
      <c r="BG35" s="128">
        <f t="shared" si="384"/>
        <v>9.4674556213017753E-3</v>
      </c>
      <c r="BH35" s="180">
        <f t="shared" si="384"/>
        <v>0.20708429140822623</v>
      </c>
      <c r="BI35" s="128">
        <f t="shared" si="384"/>
        <v>0.16565102596414671</v>
      </c>
      <c r="BJ35" s="128">
        <f t="shared" si="384"/>
        <v>0</v>
      </c>
      <c r="BK35" s="128">
        <f t="shared" si="384"/>
        <v>0.17014314583324544</v>
      </c>
      <c r="BM35" s="128" t="e">
        <f t="shared" ref="BM35" si="386">BM30/BM27</f>
        <v>#DIV/0!</v>
      </c>
    </row>
    <row r="36" spans="1:65" s="183" customFormat="1" ht="15.75" x14ac:dyDescent="0.25">
      <c r="A36" s="130"/>
      <c r="B36" s="5" t="s">
        <v>297</v>
      </c>
      <c r="C36" s="11">
        <f>C30-C27</f>
        <v>-816802</v>
      </c>
      <c r="D36" s="11">
        <f t="shared" ref="D36:BM36" si="387">D30-D27</f>
        <v>-139450</v>
      </c>
      <c r="E36" s="11">
        <f t="shared" si="387"/>
        <v>-50182</v>
      </c>
      <c r="F36" s="11">
        <f t="shared" si="387"/>
        <v>-94812</v>
      </c>
      <c r="G36" s="11">
        <f t="shared" si="387"/>
        <v>-60755</v>
      </c>
      <c r="H36" s="11">
        <f t="shared" si="387"/>
        <v>0</v>
      </c>
      <c r="I36" s="11">
        <f t="shared" si="387"/>
        <v>0</v>
      </c>
      <c r="J36" s="11">
        <f t="shared" si="387"/>
        <v>0</v>
      </c>
      <c r="K36" s="11">
        <f t="shared" si="387"/>
        <v>-312</v>
      </c>
      <c r="L36" s="11">
        <f t="shared" si="387"/>
        <v>-8559</v>
      </c>
      <c r="M36" s="11">
        <f t="shared" si="387"/>
        <v>-24108</v>
      </c>
      <c r="N36" s="11">
        <f t="shared" si="387"/>
        <v>-1511</v>
      </c>
      <c r="O36" s="11">
        <f t="shared" si="387"/>
        <v>-2298</v>
      </c>
      <c r="P36" s="11">
        <f t="shared" si="387"/>
        <v>-15009</v>
      </c>
      <c r="Q36" s="11">
        <f t="shared" si="387"/>
        <v>0</v>
      </c>
      <c r="R36" s="11">
        <f t="shared" si="387"/>
        <v>-5431</v>
      </c>
      <c r="S36" s="11">
        <f t="shared" si="387"/>
        <v>0</v>
      </c>
      <c r="T36" s="11">
        <f t="shared" si="387"/>
        <v>0</v>
      </c>
      <c r="U36" s="11">
        <f t="shared" si="387"/>
        <v>0</v>
      </c>
      <c r="V36" s="9">
        <f t="shared" si="387"/>
        <v>-6871</v>
      </c>
      <c r="W36" s="11">
        <f t="shared" si="387"/>
        <v>0</v>
      </c>
      <c r="X36" s="11">
        <f t="shared" si="387"/>
        <v>0</v>
      </c>
      <c r="Y36" s="11">
        <f t="shared" si="387"/>
        <v>-883</v>
      </c>
      <c r="Z36" s="11">
        <f t="shared" si="387"/>
        <v>23</v>
      </c>
      <c r="AA36" s="11">
        <f t="shared" si="387"/>
        <v>-1</v>
      </c>
      <c r="AB36" s="11">
        <f t="shared" ref="AB36" si="388">AB30-AB27</f>
        <v>-1793</v>
      </c>
      <c r="AC36" s="10">
        <f t="shared" si="387"/>
        <v>-168728</v>
      </c>
      <c r="AD36" s="11">
        <f t="shared" si="387"/>
        <v>-1397482</v>
      </c>
      <c r="AE36" s="11">
        <f t="shared" si="387"/>
        <v>-270</v>
      </c>
      <c r="AF36" s="11">
        <f t="shared" si="387"/>
        <v>-229</v>
      </c>
      <c r="AG36" s="11">
        <f t="shared" si="387"/>
        <v>-247</v>
      </c>
      <c r="AH36" s="11">
        <f t="shared" si="387"/>
        <v>0</v>
      </c>
      <c r="AI36" s="11">
        <f t="shared" si="387"/>
        <v>0</v>
      </c>
      <c r="AJ36" s="11">
        <f t="shared" si="387"/>
        <v>-5</v>
      </c>
      <c r="AK36" s="11">
        <f t="shared" si="387"/>
        <v>-200460</v>
      </c>
      <c r="AL36" s="11">
        <f t="shared" si="387"/>
        <v>-87773</v>
      </c>
      <c r="AM36" s="11">
        <f t="shared" si="387"/>
        <v>0</v>
      </c>
      <c r="AN36" s="11">
        <f t="shared" si="387"/>
        <v>30</v>
      </c>
      <c r="AO36" s="9">
        <f t="shared" si="387"/>
        <v>-98179</v>
      </c>
      <c r="AP36" s="11">
        <f t="shared" si="387"/>
        <v>-143238</v>
      </c>
      <c r="AQ36" s="10">
        <f t="shared" si="387"/>
        <v>0</v>
      </c>
      <c r="AR36" s="11">
        <f t="shared" si="387"/>
        <v>0</v>
      </c>
      <c r="AS36" s="11">
        <f t="shared" si="387"/>
        <v>0</v>
      </c>
      <c r="AT36" s="11">
        <f t="shared" si="387"/>
        <v>0</v>
      </c>
      <c r="AU36" s="11">
        <f t="shared" si="387"/>
        <v>0</v>
      </c>
      <c r="AV36" s="11">
        <f t="shared" si="387"/>
        <v>0</v>
      </c>
      <c r="AW36" s="11">
        <f t="shared" si="387"/>
        <v>-839</v>
      </c>
      <c r="AX36" s="11">
        <f t="shared" si="387"/>
        <v>-72</v>
      </c>
      <c r="AY36" s="11">
        <f t="shared" si="387"/>
        <v>-27</v>
      </c>
      <c r="AZ36" s="11">
        <f t="shared" si="387"/>
        <v>0</v>
      </c>
      <c r="BA36" s="11">
        <f t="shared" si="387"/>
        <v>0</v>
      </c>
      <c r="BB36" s="10">
        <f t="shared" si="387"/>
        <v>-90191</v>
      </c>
      <c r="BC36" s="11">
        <f t="shared" si="387"/>
        <v>-2230</v>
      </c>
      <c r="BD36" s="11">
        <f t="shared" si="387"/>
        <v>-2230</v>
      </c>
      <c r="BE36" s="11">
        <f t="shared" si="387"/>
        <v>0</v>
      </c>
      <c r="BF36" s="11">
        <f t="shared" si="387"/>
        <v>-7017</v>
      </c>
      <c r="BG36" s="11">
        <f t="shared" si="387"/>
        <v>-837</v>
      </c>
      <c r="BH36" s="11">
        <f t="shared" si="387"/>
        <v>-633814</v>
      </c>
      <c r="BI36" s="11">
        <f t="shared" si="387"/>
        <v>-2031296</v>
      </c>
      <c r="BJ36" s="11">
        <f t="shared" si="387"/>
        <v>-64278</v>
      </c>
      <c r="BK36" s="11">
        <f t="shared" si="387"/>
        <v>-1967018</v>
      </c>
      <c r="BL36" s="11">
        <f t="shared" si="387"/>
        <v>403288</v>
      </c>
      <c r="BM36" s="11">
        <f t="shared" si="387"/>
        <v>165532</v>
      </c>
    </row>
    <row r="37" spans="1:65" s="183" customFormat="1" ht="15.75" x14ac:dyDescent="0.2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ht="15.75" x14ac:dyDescent="0.25">
      <c r="A38" s="15" t="s">
        <v>138</v>
      </c>
      <c r="B38" s="11" t="s">
        <v>301</v>
      </c>
      <c r="C38" s="122">
        <v>1538528</v>
      </c>
      <c r="D38" s="122">
        <v>262226</v>
      </c>
      <c r="E38" s="122">
        <v>65242</v>
      </c>
      <c r="F38" s="122">
        <v>185619</v>
      </c>
      <c r="G38" s="122">
        <v>98410</v>
      </c>
      <c r="H38" s="122">
        <v>0</v>
      </c>
      <c r="I38" s="122">
        <v>0</v>
      </c>
      <c r="J38" s="122">
        <v>0</v>
      </c>
      <c r="K38" s="122">
        <v>1451</v>
      </c>
      <c r="L38" s="122">
        <v>40822</v>
      </c>
      <c r="M38" s="122">
        <v>57025</v>
      </c>
      <c r="N38" s="122">
        <v>209</v>
      </c>
      <c r="O38" s="122">
        <v>3360</v>
      </c>
      <c r="P38" s="122">
        <v>28074</v>
      </c>
      <c r="Q38" s="122">
        <v>0</v>
      </c>
      <c r="R38" s="122">
        <v>5083</v>
      </c>
      <c r="S38" s="122">
        <v>0</v>
      </c>
      <c r="T38" s="122">
        <v>0</v>
      </c>
      <c r="U38" s="122"/>
      <c r="V38" s="195">
        <v>332810</v>
      </c>
      <c r="W38" s="122">
        <v>0</v>
      </c>
      <c r="X38" s="122">
        <v>0</v>
      </c>
      <c r="Y38" s="122">
        <v>243</v>
      </c>
      <c r="Z38" s="122">
        <v>24</v>
      </c>
      <c r="AA38" s="122">
        <v>206</v>
      </c>
      <c r="AB38" s="122">
        <v>2808</v>
      </c>
      <c r="AC38" s="154">
        <v>1155805</v>
      </c>
      <c r="AD38" s="123">
        <f t="shared" ref="AD38" si="389">SUM(C38:AC38)</f>
        <v>3777945</v>
      </c>
      <c r="AE38" s="122">
        <v>1049</v>
      </c>
      <c r="AF38" s="122">
        <v>224</v>
      </c>
      <c r="AG38" s="122">
        <v>4618</v>
      </c>
      <c r="AH38" s="122">
        <v>0</v>
      </c>
      <c r="AI38" s="122">
        <v>0</v>
      </c>
      <c r="AJ38" s="122">
        <v>0</v>
      </c>
      <c r="AK38" s="122">
        <v>173369</v>
      </c>
      <c r="AL38" s="122">
        <v>30087</v>
      </c>
      <c r="AM38" s="122">
        <v>525</v>
      </c>
      <c r="AN38" s="122">
        <v>0</v>
      </c>
      <c r="AO38" s="195">
        <v>122676</v>
      </c>
      <c r="AP38" s="122">
        <v>-80383</v>
      </c>
      <c r="AQ38" s="154">
        <v>145520</v>
      </c>
      <c r="AR38" s="122">
        <v>0</v>
      </c>
      <c r="AS38" s="122"/>
      <c r="AT38" s="122"/>
      <c r="AU38" s="122">
        <v>0</v>
      </c>
      <c r="AV38" s="122"/>
      <c r="AW38" s="122">
        <v>0</v>
      </c>
      <c r="AX38" s="122">
        <v>0</v>
      </c>
      <c r="AY38" s="122">
        <v>169</v>
      </c>
      <c r="AZ38" s="122">
        <v>0</v>
      </c>
      <c r="BA38" s="122">
        <v>0</v>
      </c>
      <c r="BB38" s="154">
        <v>650303</v>
      </c>
      <c r="BC38" s="122">
        <v>5071</v>
      </c>
      <c r="BD38" s="122">
        <v>5071</v>
      </c>
      <c r="BE38" s="122">
        <v>0</v>
      </c>
      <c r="BF38" s="122">
        <v>11395</v>
      </c>
      <c r="BG38" s="122">
        <v>471</v>
      </c>
      <c r="BH38" s="9">
        <f>SUM(AE38:BG38)</f>
        <v>1070165</v>
      </c>
      <c r="BI38" s="127">
        <f>AD38+BH38</f>
        <v>4848110</v>
      </c>
      <c r="BJ38" s="98">
        <v>81243</v>
      </c>
      <c r="BK38" s="51">
        <f t="shared" ref="BK38" si="390">BI38-BJ38</f>
        <v>4766867</v>
      </c>
      <c r="BL38">
        <v>4</v>
      </c>
      <c r="BM38" s="30"/>
    </row>
    <row r="39" spans="1:65" s="217" customFormat="1" ht="15.75" x14ac:dyDescent="0.25">
      <c r="A39" s="130" t="s">
        <v>138</v>
      </c>
      <c r="B39" s="196" t="s">
        <v>320</v>
      </c>
      <c r="C39" s="9">
        <v>276935.04000000004</v>
      </c>
      <c r="D39" s="9">
        <v>47200.680000000008</v>
      </c>
      <c r="E39" s="9">
        <v>0</v>
      </c>
      <c r="F39" s="9">
        <v>33411.42</v>
      </c>
      <c r="G39" s="9">
        <v>17713.8</v>
      </c>
      <c r="H39" s="9">
        <v>0</v>
      </c>
      <c r="I39" s="9">
        <v>0</v>
      </c>
      <c r="J39" s="9">
        <v>0</v>
      </c>
      <c r="K39" s="9">
        <v>261.18</v>
      </c>
      <c r="L39" s="9">
        <v>7347.9600000000009</v>
      </c>
      <c r="M39" s="9">
        <v>10264.5</v>
      </c>
      <c r="N39" s="9">
        <v>37.620000000000005</v>
      </c>
      <c r="O39" s="9">
        <v>604.79999999999995</v>
      </c>
      <c r="P39" s="9">
        <v>5053.32</v>
      </c>
      <c r="Q39" s="9">
        <v>0</v>
      </c>
      <c r="R39" s="9">
        <v>914.94</v>
      </c>
      <c r="S39" s="9">
        <v>0</v>
      </c>
      <c r="T39" s="9">
        <v>0</v>
      </c>
      <c r="U39" s="9"/>
      <c r="V39" s="9">
        <v>59905.8</v>
      </c>
      <c r="W39" s="9">
        <v>0</v>
      </c>
      <c r="X39" s="9">
        <v>0</v>
      </c>
      <c r="Y39" s="9">
        <v>43.74</v>
      </c>
      <c r="Z39" s="9">
        <v>4.32</v>
      </c>
      <c r="AA39" s="9">
        <v>37.08</v>
      </c>
      <c r="AB39" s="9">
        <v>505.44000000000005</v>
      </c>
      <c r="AC39" s="10">
        <v>208044.90000000002</v>
      </c>
      <c r="AD39" s="123">
        <v>668286.54</v>
      </c>
      <c r="AE39" s="9">
        <v>188.82</v>
      </c>
      <c r="AF39" s="9">
        <v>40.320000000000007</v>
      </c>
      <c r="AG39" s="9">
        <v>831.24</v>
      </c>
      <c r="AH39" s="9">
        <v>0</v>
      </c>
      <c r="AI39" s="9">
        <v>0</v>
      </c>
      <c r="AJ39" s="9">
        <v>0</v>
      </c>
      <c r="AK39" s="9">
        <v>31206.420000000002</v>
      </c>
      <c r="AL39" s="9">
        <v>5415.66</v>
      </c>
      <c r="AM39" s="9">
        <v>94.5</v>
      </c>
      <c r="AN39" s="9">
        <v>0</v>
      </c>
      <c r="AO39" s="9">
        <v>22081.68</v>
      </c>
      <c r="AP39" s="9">
        <v>-14468.94</v>
      </c>
      <c r="AQ39" s="10">
        <v>26193.599999999999</v>
      </c>
      <c r="AR39" s="9">
        <v>0</v>
      </c>
      <c r="AS39" s="9"/>
      <c r="AT39" s="9"/>
      <c r="AU39" s="9">
        <v>0</v>
      </c>
      <c r="AV39" s="9"/>
      <c r="AW39" s="9">
        <v>0</v>
      </c>
      <c r="AX39" s="9">
        <v>0</v>
      </c>
      <c r="AY39" s="9">
        <v>30.42</v>
      </c>
      <c r="AZ39" s="9">
        <v>0</v>
      </c>
      <c r="BA39" s="9">
        <v>0</v>
      </c>
      <c r="BB39" s="10">
        <v>117054.54000000001</v>
      </c>
      <c r="BC39" s="9">
        <v>912.78</v>
      </c>
      <c r="BD39" s="9">
        <v>912.78</v>
      </c>
      <c r="BE39" s="9">
        <v>0</v>
      </c>
      <c r="BF39" s="9">
        <v>2051.1</v>
      </c>
      <c r="BG39" s="9">
        <v>84.78</v>
      </c>
      <c r="BH39" s="9">
        <v>192629.7</v>
      </c>
      <c r="BI39" s="127">
        <v>860916.24</v>
      </c>
      <c r="BJ39" s="9">
        <v>13540.5</v>
      </c>
      <c r="BK39" s="51">
        <v>847375.74</v>
      </c>
      <c r="BM39" s="30"/>
    </row>
    <row r="40" spans="1:65" ht="15.75" x14ac:dyDescent="0.25">
      <c r="A40" s="130"/>
      <c r="B40" s="12" t="s">
        <v>322</v>
      </c>
      <c r="C40" s="9">
        <f>IF('Upto Month COPPY'!$E$4="",0,'Upto Month COPPY'!$E$4)</f>
        <v>275295</v>
      </c>
      <c r="D40" s="9">
        <f>IF('Upto Month COPPY'!$E$5="",0,'Upto Month COPPY'!$E$5)</f>
        <v>45606</v>
      </c>
      <c r="E40" s="9">
        <f>IF('Upto Month COPPY'!$E$6="",0,'Upto Month COPPY'!$E$6)</f>
        <v>181</v>
      </c>
      <c r="F40" s="9">
        <f>IF('Upto Month COPPY'!$E$7="",0,'Upto Month COPPY'!$E$7)</f>
        <v>31184</v>
      </c>
      <c r="G40" s="9">
        <f>IF('Upto Month COPPY'!$E$8="",0,'Upto Month COPPY'!$E$8)</f>
        <v>15210</v>
      </c>
      <c r="H40" s="9">
        <f>IF('Upto Month COPPY'!$E$9="",0,'Upto Month COPPY'!$E$9)</f>
        <v>0</v>
      </c>
      <c r="I40" s="9">
        <f>IF('Upto Month COPPY'!$E$10="",0,'Upto Month COPPY'!$E$10)</f>
        <v>0</v>
      </c>
      <c r="J40" s="9">
        <f>IF('Upto Month COPPY'!$E$11="",0,'Upto Month COPPY'!$E$11)</f>
        <v>0</v>
      </c>
      <c r="K40" s="9">
        <f>IF('Upto Month COPPY'!$E$12="",0,'Upto Month COPPY'!$E$12)</f>
        <v>57</v>
      </c>
      <c r="L40" s="9">
        <v>581</v>
      </c>
      <c r="M40" s="9">
        <f>IF('Upto Month COPPY'!$E$14="",0,'Upto Month COPPY'!$E$14)</f>
        <v>2218</v>
      </c>
      <c r="N40" s="9">
        <f>IF('Upto Month COPPY'!$E$15="",0,'Upto Month COPPY'!$E$15)</f>
        <v>24</v>
      </c>
      <c r="O40" s="9">
        <f>IF('Upto Month COPPY'!$E$16="",0,'Upto Month COPPY'!$E$16)</f>
        <v>417</v>
      </c>
      <c r="P40" s="9">
        <f>IF('Upto Month COPPY'!$E$17="",0,'Upto Month COPPY'!$E$17)</f>
        <v>3539</v>
      </c>
      <c r="Q40" s="9">
        <f>IF('Upto Month COPPY'!$E$18="",0,'Upto Month COPPY'!$E$18)</f>
        <v>0</v>
      </c>
      <c r="R40" s="9">
        <f>IF('Upto Month COPPY'!$E$21="",0,'Upto Month COPPY'!$E$21)</f>
        <v>172</v>
      </c>
      <c r="S40" s="9">
        <f>IF('Upto Month COPPY'!$E$26="",0,'Upto Month COPPY'!$E$26)</f>
        <v>0</v>
      </c>
      <c r="T40" s="9">
        <f>IF('Upto Month COPPY'!$E$27="",0,'Upto Month COPPY'!$E$27)</f>
        <v>0</v>
      </c>
      <c r="U40" s="9">
        <f>IF('Upto Month COPPY'!$E$30="",0,'Upto Month COPPY'!$E$30)</f>
        <v>0</v>
      </c>
      <c r="V40" s="9">
        <f>IF('Upto Month COPPY'!$E$35="",0,'Upto Month COPPY'!$E$35)</f>
        <v>22227</v>
      </c>
      <c r="W40" s="9">
        <f>IF('Upto Month COPPY'!$E$39="",0,'Upto Month COPPY'!$E$39)</f>
        <v>0</v>
      </c>
      <c r="X40" s="9">
        <f>IF('Upto Month COPPY'!$E$40="",0,'Upto Month COPPY'!$E$40)</f>
        <v>0</v>
      </c>
      <c r="Y40" s="9">
        <f>IF('Upto Month COPPY'!$E$42="",0,'Upto Month COPPY'!$E$42)</f>
        <v>126</v>
      </c>
      <c r="Z40" s="9">
        <f>IF('Upto Month COPPY'!$E$43="",0,'Upto Month COPPY'!$E$43)</f>
        <v>16</v>
      </c>
      <c r="AA40" s="9">
        <f>IF('Upto Month COPPY'!$E$44="",0,'Upto Month COPPY'!$E$44)</f>
        <v>6</v>
      </c>
      <c r="AB40" s="9">
        <f>IF('Upto Month COPPY'!$E$48="",0,'Upto Month COPPY'!$E$48)</f>
        <v>0</v>
      </c>
      <c r="AC40" s="10">
        <f>IF('Upto Month COPPY'!$E$51="",0,'Upto Month COPPY'!$E$51)</f>
        <v>81612</v>
      </c>
      <c r="AD40" s="123">
        <f t="shared" ref="AD40:AD41" si="391">SUM(C40:AC40)</f>
        <v>478471</v>
      </c>
      <c r="AE40" s="9">
        <f>IF('Upto Month COPPY'!$E$19="",0,'Upto Month COPPY'!$E$19)</f>
        <v>61</v>
      </c>
      <c r="AF40" s="9">
        <f>IF('Upto Month COPPY'!$E$20="",0,'Upto Month COPPY'!$E$20)</f>
        <v>30</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34762</v>
      </c>
      <c r="AL40" s="9">
        <f>IF('Upto Month COPPY'!$E$29="",0,'Upto Month COPPY'!$E$29)</f>
        <v>2736</v>
      </c>
      <c r="AM40" s="9">
        <f>IF('Upto Month COPPY'!$E$31="",0,'Upto Month COPPY'!$E$31)</f>
        <v>0</v>
      </c>
      <c r="AN40" s="9">
        <f>IF('Upto Month COPPY'!$E$32="",0,'Upto Month COPPY'!$E$32)</f>
        <v>0</v>
      </c>
      <c r="AO40" s="9">
        <f>IF('Upto Month COPPY'!$E$33="",0,'Upto Month COPPY'!$E$33)</f>
        <v>47326</v>
      </c>
      <c r="AP40" s="9">
        <f>IF('Upto Month COPPY'!$E$34="",0,'Upto Month COPPY'!$E$34)</f>
        <v>175</v>
      </c>
      <c r="AQ40" s="10">
        <f>IF('Upto Month COPPY'!$E$36="",0,'Upto Month COPPY'!$E$36)</f>
        <v>4206</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55</v>
      </c>
      <c r="AZ40" s="9">
        <f>IF('Upto Month COPPY'!$E$49="",0,'Upto Month COPPY'!$E$49)</f>
        <v>0</v>
      </c>
      <c r="BA40" s="9">
        <f>IF('Upto Month COPPY'!$E$50="",0,'Upto Month COPPY'!$E$50)</f>
        <v>0</v>
      </c>
      <c r="BB40" s="10">
        <f>IF('Upto Month COPPY'!$E$52="",0,'Upto Month COPPY'!$E$52)</f>
        <v>42082</v>
      </c>
      <c r="BC40" s="9">
        <f>IF('Upto Month COPPY'!$E$53="",0,'Upto Month COPPY'!$E$53)</f>
        <v>824</v>
      </c>
      <c r="BD40" s="9">
        <f>IF('Upto Month COPPY'!$E$54="",0,'Upto Month COPPY'!$E$54)</f>
        <v>824</v>
      </c>
      <c r="BE40" s="9">
        <f>IF('Upto Month COPPY'!$E$55="",0,'Upto Month COPPY'!$E$55)</f>
        <v>0</v>
      </c>
      <c r="BF40" s="9">
        <f>IF('Upto Month COPPY'!$E$56="",0,'Upto Month COPPY'!$E$56)</f>
        <v>4145</v>
      </c>
      <c r="BG40" s="9">
        <f>IF('Upto Month COPPY'!$E$58="",0,'Upto Month COPPY'!$E$58)+5394</f>
        <v>5408</v>
      </c>
      <c r="BH40" s="9">
        <f>SUM(AE40:BG40)</f>
        <v>146520</v>
      </c>
      <c r="BI40" s="127">
        <f>AD40+BH40</f>
        <v>624991</v>
      </c>
      <c r="BJ40" s="9">
        <f>IF('Upto Month COPPY'!$E$60="",0,'Upto Month COPPY'!$E$60)</f>
        <v>-4033</v>
      </c>
      <c r="BK40" s="9">
        <f t="shared" ref="BK40:BK41" si="392">BI40-BJ40</f>
        <v>629024</v>
      </c>
      <c r="BL40">
        <f>'Upto Month COPPY'!$E$61</f>
        <v>629024</v>
      </c>
      <c r="BM40" s="30">
        <f t="shared" ref="BM40:BM44" si="393">BK40-AD40</f>
        <v>150553</v>
      </c>
    </row>
    <row r="41" spans="1:65" ht="15.75" x14ac:dyDescent="0.25">
      <c r="A41" s="130"/>
      <c r="B41" s="185" t="s">
        <v>323</v>
      </c>
      <c r="C41" s="9">
        <f>IF('Upto Month Current'!$E$4="",0,'Upto Month Current'!$E$4)</f>
        <v>277939</v>
      </c>
      <c r="D41" s="9">
        <f>IF('Upto Month Current'!$E$5="",0,'Upto Month Current'!$E$5)</f>
        <v>46658</v>
      </c>
      <c r="E41" s="9">
        <f>IF('Upto Month Current'!$E$6="",0,'Upto Month Current'!$E$6)</f>
        <v>127</v>
      </c>
      <c r="F41" s="9">
        <f>IF('Upto Month Current'!$E$7="",0,'Upto Month Current'!$E$7)</f>
        <v>30968</v>
      </c>
      <c r="G41" s="9">
        <f>IF('Upto Month Current'!$E$8="",0,'Upto Month Current'!$E$8)</f>
        <v>15682</v>
      </c>
      <c r="H41" s="9">
        <f>IF('Upto Month Current'!$E$9="",0,'Upto Month Current'!$E$9)</f>
        <v>0</v>
      </c>
      <c r="I41" s="9">
        <f>IF('Upto Month Current'!$E$10="",0,'Upto Month Current'!$E$10)</f>
        <v>0</v>
      </c>
      <c r="J41" s="9">
        <f>IF('Upto Month Current'!$E$11="",0,'Upto Month Current'!$E$11)</f>
        <v>0</v>
      </c>
      <c r="K41" s="9">
        <f>IF('Upto Month Current'!$E$12="",0,'Upto Month Current'!$E$12)</f>
        <v>36</v>
      </c>
      <c r="L41" s="9">
        <f>IF('Upto Month Current'!$E$13="",0,'Upto Month Current'!$E$13)</f>
        <v>3165</v>
      </c>
      <c r="M41" s="9">
        <f>IF('Upto Month Current'!$E$14="",0,'Upto Month Current'!$E$14)</f>
        <v>2635</v>
      </c>
      <c r="N41" s="9">
        <f>IF('Upto Month Current'!$E$15="",0,'Upto Month Current'!$E$15)</f>
        <v>4</v>
      </c>
      <c r="O41" s="9">
        <f>IF('Upto Month Current'!$E$16="",0,'Upto Month Current'!$E$16)</f>
        <v>168</v>
      </c>
      <c r="P41" s="9">
        <f>IF('Upto Month Current'!$E$17="",0,'Upto Month Current'!$E$17)</f>
        <v>6432</v>
      </c>
      <c r="Q41" s="9">
        <f>IF('Upto Month Current'!$E$18="",0,'Upto Month Current'!$E$18)</f>
        <v>0</v>
      </c>
      <c r="R41" s="9">
        <f>IF('Upto Month Current'!$E$21="",0,'Upto Month Current'!$E$21)</f>
        <v>496</v>
      </c>
      <c r="S41" s="9">
        <f>IF('Upto Month Current'!$E$26="",0,'Upto Month Current'!$E$26)</f>
        <v>0</v>
      </c>
      <c r="T41" s="9">
        <f>IF('Upto Month Current'!$E$27="",0,'Upto Month Current'!$E$27)</f>
        <v>0</v>
      </c>
      <c r="U41" s="9">
        <f>IF('Upto Month Current'!$E$30="",0,'Upto Month Current'!$E$30)</f>
        <v>0</v>
      </c>
      <c r="V41" s="9">
        <f>IF('Upto Month Current'!$E$35="",0,'Upto Month Current'!$E$35)</f>
        <v>54836</v>
      </c>
      <c r="W41" s="9">
        <f>IF('Upto Month Current'!$E$39="",0,'Upto Month Current'!$E$39)</f>
        <v>0</v>
      </c>
      <c r="X41" s="9">
        <f>IF('Upto Month Current'!$E$40="",0,'Upto Month Current'!$E$40)</f>
        <v>0</v>
      </c>
      <c r="Y41" s="9">
        <f>IF('Upto Month Current'!$E$42="",0,'Upto Month Current'!$E$42)</f>
        <v>1794</v>
      </c>
      <c r="Z41" s="9">
        <f>IF('Upto Month Current'!$E$43="",0,'Upto Month Current'!$E$43)</f>
        <v>166</v>
      </c>
      <c r="AA41" s="9">
        <f>IF('Upto Month Current'!$E$44="",0,'Upto Month Current'!$E$44)</f>
        <v>241</v>
      </c>
      <c r="AB41" s="9">
        <f>IF('Upto Month Current'!$E$48="",0,'Upto Month Current'!$E$48)</f>
        <v>54</v>
      </c>
      <c r="AC41" s="10">
        <f>IF('Upto Month Current'!$E$51="",0,'Upto Month Current'!$E$51)</f>
        <v>216856</v>
      </c>
      <c r="AD41" s="123">
        <f t="shared" si="391"/>
        <v>658257</v>
      </c>
      <c r="AE41" s="9">
        <f>IF('Upto Month Current'!$E$19="",0,'Upto Month Current'!$E$19)</f>
        <v>26</v>
      </c>
      <c r="AF41" s="9">
        <f>IF('Upto Month Current'!$E$20="",0,'Upto Month Current'!$E$20)</f>
        <v>16</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53220</v>
      </c>
      <c r="AL41" s="9">
        <f>IF('Upto Month Current'!$E$29="",0,'Upto Month Current'!$E$29)</f>
        <v>826</v>
      </c>
      <c r="AM41" s="9">
        <f>IF('Upto Month Current'!$E$31="",0,'Upto Month Current'!$E$31)</f>
        <v>18</v>
      </c>
      <c r="AN41" s="9">
        <f>IF('Upto Month Current'!$E$32="",0,'Upto Month Current'!$E$32)</f>
        <v>0</v>
      </c>
      <c r="AO41" s="9">
        <f>IF('Upto Month Current'!$E$33="",0,'Upto Month Current'!$E$33)</f>
        <v>17201</v>
      </c>
      <c r="AP41" s="9">
        <f>IF('Upto Month Current'!$E$34="",0,'Upto Month Current'!$E$34)</f>
        <v>18723</v>
      </c>
      <c r="AQ41" s="10">
        <f>IF('Upto Month Current'!$E$36="",0,'Upto Month Current'!$E$36)</f>
        <v>51625</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129</v>
      </c>
      <c r="AZ41" s="9">
        <f>IF('Upto Month Current'!$E$49="",0,'Upto Month Current'!$E$49)</f>
        <v>0</v>
      </c>
      <c r="BA41" s="9">
        <f>IF('Upto Month Current'!$E$50="",0,'Upto Month Current'!$E$50)</f>
        <v>0</v>
      </c>
      <c r="BB41" s="10">
        <f>IF('Upto Month Current'!$E$52="",0,'Upto Month Current'!$E$52)</f>
        <v>177846</v>
      </c>
      <c r="BC41" s="9">
        <f>IF('Upto Month Current'!$E$53="",0,'Upto Month Current'!$E$53)</f>
        <v>631</v>
      </c>
      <c r="BD41" s="9">
        <f>IF('Upto Month Current'!$E$54="",0,'Upto Month Current'!$E$54)</f>
        <v>631</v>
      </c>
      <c r="BE41" s="9">
        <f>IF('Upto Month Current'!$E$55="",0,'Upto Month Current'!$E$55)</f>
        <v>0</v>
      </c>
      <c r="BF41" s="9">
        <f>IF('Upto Month Current'!$E$56="",0,'Upto Month Current'!$E$56)</f>
        <v>1320</v>
      </c>
      <c r="BG41" s="9">
        <f>IF('Upto Month Current'!$E$58="",0,'Upto Month Current'!$E$58)</f>
        <v>-14</v>
      </c>
      <c r="BH41" s="9">
        <f>SUM(AE41:BG41)</f>
        <v>322198</v>
      </c>
      <c r="BI41" s="127">
        <f>AD41+BH41</f>
        <v>980455</v>
      </c>
      <c r="BJ41" s="9">
        <f>IF('Upto Month Current'!$E$60="",0,'Upto Month Current'!$E$60)</f>
        <v>0</v>
      </c>
      <c r="BK41" s="51">
        <f t="shared" si="392"/>
        <v>980455</v>
      </c>
      <c r="BL41">
        <f>'Upto Month Current'!$E$61</f>
        <v>980452</v>
      </c>
      <c r="BM41" s="30">
        <f t="shared" si="393"/>
        <v>322198</v>
      </c>
    </row>
    <row r="42" spans="1:65" ht="15.75" x14ac:dyDescent="0.25">
      <c r="A42" s="130"/>
      <c r="B42" s="5" t="s">
        <v>132</v>
      </c>
      <c r="C42" s="11">
        <f>C41-C39</f>
        <v>1003.9599999999627</v>
      </c>
      <c r="D42" s="11">
        <f t="shared" ref="D42" si="394">D41-D39</f>
        <v>-542.68000000000757</v>
      </c>
      <c r="E42" s="11">
        <f t="shared" ref="E42" si="395">E41-E39</f>
        <v>127</v>
      </c>
      <c r="F42" s="11">
        <f t="shared" ref="F42" si="396">F41-F39</f>
        <v>-2443.4199999999983</v>
      </c>
      <c r="G42" s="11">
        <f t="shared" ref="G42" si="397">G41-G39</f>
        <v>-2031.7999999999993</v>
      </c>
      <c r="H42" s="11">
        <f t="shared" ref="H42" si="398">H41-H39</f>
        <v>0</v>
      </c>
      <c r="I42" s="11">
        <f t="shared" ref="I42" si="399">I41-I39</f>
        <v>0</v>
      </c>
      <c r="J42" s="11">
        <f t="shared" ref="J42" si="400">J41-J39</f>
        <v>0</v>
      </c>
      <c r="K42" s="11">
        <f t="shared" ref="K42" si="401">K41-K39</f>
        <v>-225.18</v>
      </c>
      <c r="L42" s="11">
        <f t="shared" ref="L42" si="402">L41-L39</f>
        <v>-4182.9600000000009</v>
      </c>
      <c r="M42" s="11">
        <f t="shared" ref="M42" si="403">M41-M39</f>
        <v>-7629.5</v>
      </c>
      <c r="N42" s="11">
        <f t="shared" ref="N42" si="404">N41-N39</f>
        <v>-33.620000000000005</v>
      </c>
      <c r="O42" s="11">
        <f t="shared" ref="O42" si="405">O41-O39</f>
        <v>-436.79999999999995</v>
      </c>
      <c r="P42" s="11">
        <f t="shared" ref="P42" si="406">P41-P39</f>
        <v>1378.6800000000003</v>
      </c>
      <c r="Q42" s="11">
        <f t="shared" ref="Q42" si="407">Q41-Q39</f>
        <v>0</v>
      </c>
      <c r="R42" s="11">
        <f t="shared" ref="R42" si="408">R41-R39</f>
        <v>-418.94000000000005</v>
      </c>
      <c r="S42" s="11">
        <f t="shared" ref="S42" si="409">S41-S39</f>
        <v>0</v>
      </c>
      <c r="T42" s="11">
        <f t="shared" ref="T42:U42" si="410">T41-T39</f>
        <v>0</v>
      </c>
      <c r="U42" s="11">
        <f t="shared" si="410"/>
        <v>0</v>
      </c>
      <c r="V42" s="9">
        <f t="shared" ref="V42" si="411">V41-V39</f>
        <v>-5069.8000000000029</v>
      </c>
      <c r="W42" s="11">
        <f t="shared" ref="W42" si="412">W41-W39</f>
        <v>0</v>
      </c>
      <c r="X42" s="11">
        <f t="shared" ref="X42" si="413">X41-X39</f>
        <v>0</v>
      </c>
      <c r="Y42" s="11">
        <f t="shared" ref="Y42" si="414">Y41-Y39</f>
        <v>1750.26</v>
      </c>
      <c r="Z42" s="11">
        <f t="shared" ref="Z42" si="415">Z41-Z39</f>
        <v>161.68</v>
      </c>
      <c r="AA42" s="11">
        <f t="shared" ref="AA42:AD42" si="416">AA41-AA39</f>
        <v>203.92000000000002</v>
      </c>
      <c r="AB42" s="11">
        <f t="shared" si="416"/>
        <v>-451.44000000000005</v>
      </c>
      <c r="AC42" s="10">
        <f t="shared" si="416"/>
        <v>8811.0999999999767</v>
      </c>
      <c r="AD42" s="11">
        <f t="shared" si="416"/>
        <v>-10029.540000000037</v>
      </c>
      <c r="AE42" s="11">
        <f t="shared" ref="AE42" si="417">AE41-AE39</f>
        <v>-162.82</v>
      </c>
      <c r="AF42" s="11">
        <f t="shared" ref="AF42" si="418">AF41-AF39</f>
        <v>-24.320000000000007</v>
      </c>
      <c r="AG42" s="11">
        <f t="shared" ref="AG42" si="419">AG41-AG39</f>
        <v>-831.24</v>
      </c>
      <c r="AH42" s="11">
        <f t="shared" ref="AH42" si="420">AH41-AH39</f>
        <v>0</v>
      </c>
      <c r="AI42" s="11">
        <f t="shared" ref="AI42" si="421">AI41-AI39</f>
        <v>0</v>
      </c>
      <c r="AJ42" s="11">
        <f t="shared" ref="AJ42" si="422">AJ41-AJ39</f>
        <v>0</v>
      </c>
      <c r="AK42" s="11">
        <f t="shared" ref="AK42" si="423">AK41-AK39</f>
        <v>22013.579999999998</v>
      </c>
      <c r="AL42" s="11">
        <f t="shared" ref="AL42" si="424">AL41-AL39</f>
        <v>-4589.66</v>
      </c>
      <c r="AM42" s="11">
        <f t="shared" ref="AM42" si="425">AM41-AM39</f>
        <v>-76.5</v>
      </c>
      <c r="AN42" s="11">
        <f t="shared" ref="AN42" si="426">AN41-AN39</f>
        <v>0</v>
      </c>
      <c r="AO42" s="9">
        <f t="shared" ref="AO42" si="427">AO41-AO39</f>
        <v>-4880.68</v>
      </c>
      <c r="AP42" s="11">
        <f t="shared" ref="AP42" si="428">AP41-AP39</f>
        <v>33191.94</v>
      </c>
      <c r="AQ42" s="10">
        <f t="shared" ref="AQ42" si="429">AQ41-AQ39</f>
        <v>25431.4</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98.58</v>
      </c>
      <c r="AZ42" s="11">
        <f t="shared" ref="AZ42" si="438">AZ41-AZ39</f>
        <v>0</v>
      </c>
      <c r="BA42" s="11">
        <f t="shared" ref="BA42" si="439">BA41-BA39</f>
        <v>0</v>
      </c>
      <c r="BB42" s="10">
        <f t="shared" ref="BB42" si="440">BB41-BB39</f>
        <v>60791.459999999992</v>
      </c>
      <c r="BC42" s="11">
        <f t="shared" ref="BC42" si="441">BC41-BC39</f>
        <v>-281.77999999999997</v>
      </c>
      <c r="BD42" s="11">
        <f t="shared" ref="BD42" si="442">BD41-BD39</f>
        <v>-281.77999999999997</v>
      </c>
      <c r="BE42" s="11">
        <f t="shared" ref="BE42" si="443">BE41-BE39</f>
        <v>0</v>
      </c>
      <c r="BF42" s="11">
        <f t="shared" ref="BF42" si="444">BF41-BF39</f>
        <v>-731.09999999999991</v>
      </c>
      <c r="BG42" s="11">
        <f t="shared" ref="BG42:BH42" si="445">BG41-BG39</f>
        <v>-98.78</v>
      </c>
      <c r="BH42" s="9">
        <f t="shared" si="445"/>
        <v>129568.29999999999</v>
      </c>
      <c r="BI42" s="45">
        <f t="shared" ref="BI42" si="446">BI41-BI39</f>
        <v>119538.76000000001</v>
      </c>
      <c r="BJ42" s="11">
        <f t="shared" ref="BJ42:BK42" si="447">BJ41-BJ39</f>
        <v>-13540.5</v>
      </c>
      <c r="BK42" s="51">
        <f t="shared" si="447"/>
        <v>133079.26</v>
      </c>
      <c r="BM42" s="30">
        <f t="shared" si="393"/>
        <v>143108.80000000005</v>
      </c>
    </row>
    <row r="43" spans="1:65" ht="15.75" x14ac:dyDescent="0.25">
      <c r="A43" s="130"/>
      <c r="B43" s="5" t="s">
        <v>133</v>
      </c>
      <c r="C43" s="13">
        <f>C42/C39</f>
        <v>3.625254500116571E-3</v>
      </c>
      <c r="D43" s="13">
        <f t="shared" ref="D43" si="448">D42/D39</f>
        <v>-1.149729198816643E-2</v>
      </c>
      <c r="E43" s="13" t="e">
        <f t="shared" ref="E43" si="449">E42/E39</f>
        <v>#DIV/0!</v>
      </c>
      <c r="F43" s="13">
        <f t="shared" ref="F43" si="450">F42/F39</f>
        <v>-7.3131282657247082E-2</v>
      </c>
      <c r="G43" s="13">
        <f t="shared" ref="G43" si="451">G42/G39</f>
        <v>-0.11470153213878441</v>
      </c>
      <c r="H43" s="13" t="e">
        <f t="shared" ref="H43" si="452">H42/H39</f>
        <v>#DIV/0!</v>
      </c>
      <c r="I43" s="13" t="e">
        <f t="shared" ref="I43" si="453">I42/I39</f>
        <v>#DIV/0!</v>
      </c>
      <c r="J43" s="13" t="e">
        <f t="shared" ref="J43" si="454">J42/J39</f>
        <v>#DIV/0!</v>
      </c>
      <c r="K43" s="13">
        <f t="shared" ref="K43" si="455">K42/K39</f>
        <v>-0.86216402481047549</v>
      </c>
      <c r="L43" s="13">
        <f t="shared" ref="L43" si="456">L42/L39</f>
        <v>-0.56926820505283104</v>
      </c>
      <c r="M43" s="13">
        <f t="shared" ref="M43" si="457">M42/M39</f>
        <v>-0.74328998002825275</v>
      </c>
      <c r="N43" s="13">
        <f t="shared" ref="N43" si="458">N42/N39</f>
        <v>-0.89367357788410418</v>
      </c>
      <c r="O43" s="13">
        <f t="shared" ref="O43" si="459">O42/O39</f>
        <v>-0.72222222222222221</v>
      </c>
      <c r="P43" s="13">
        <f t="shared" ref="P43" si="460">P42/P39</f>
        <v>0.2728265773788322</v>
      </c>
      <c r="Q43" s="13" t="e">
        <f t="shared" ref="Q43" si="461">Q42/Q39</f>
        <v>#DIV/0!</v>
      </c>
      <c r="R43" s="13">
        <f t="shared" ref="R43" si="462">R42/R39</f>
        <v>-0.45788794893654233</v>
      </c>
      <c r="S43" s="13" t="e">
        <f t="shared" ref="S43" si="463">S42/S39</f>
        <v>#DIV/0!</v>
      </c>
      <c r="T43" s="13" t="e">
        <f t="shared" ref="T43:U43" si="464">T42/T39</f>
        <v>#DIV/0!</v>
      </c>
      <c r="U43" s="13" t="e">
        <f t="shared" si="464"/>
        <v>#DIV/0!</v>
      </c>
      <c r="V43" s="165">
        <f t="shared" ref="V43" si="465">V42/V39</f>
        <v>-8.4629535036674294E-2</v>
      </c>
      <c r="W43" s="13" t="e">
        <f t="shared" ref="W43" si="466">W42/W39</f>
        <v>#DIV/0!</v>
      </c>
      <c r="X43" s="13" t="e">
        <f t="shared" ref="X43" si="467">X42/X39</f>
        <v>#DIV/0!</v>
      </c>
      <c r="Y43" s="13">
        <f t="shared" ref="Y43" si="468">Y42/Y39</f>
        <v>40.015089163237306</v>
      </c>
      <c r="Z43" s="13">
        <f t="shared" ref="Z43" si="469">Z42/Z39</f>
        <v>37.425925925925924</v>
      </c>
      <c r="AA43" s="13">
        <f t="shared" ref="AA43:AD43" si="470">AA42/AA39</f>
        <v>5.4994606256742182</v>
      </c>
      <c r="AB43" s="13">
        <f t="shared" si="470"/>
        <v>-0.89316239316239321</v>
      </c>
      <c r="AC43" s="14">
        <f t="shared" si="470"/>
        <v>4.2351915379804914E-2</v>
      </c>
      <c r="AD43" s="13">
        <f t="shared" si="470"/>
        <v>-1.5007843791078055E-2</v>
      </c>
      <c r="AE43" s="13">
        <f t="shared" ref="AE43" si="471">AE42/AE39</f>
        <v>-0.86230272216926174</v>
      </c>
      <c r="AF43" s="13">
        <f t="shared" ref="AF43" si="472">AF42/AF39</f>
        <v>-0.60317460317460325</v>
      </c>
      <c r="AG43" s="13">
        <f t="shared" ref="AG43" si="473">AG42/AG39</f>
        <v>-1</v>
      </c>
      <c r="AH43" s="13" t="e">
        <f t="shared" ref="AH43" si="474">AH42/AH39</f>
        <v>#DIV/0!</v>
      </c>
      <c r="AI43" s="13" t="e">
        <f t="shared" ref="AI43" si="475">AI42/AI39</f>
        <v>#DIV/0!</v>
      </c>
      <c r="AJ43" s="13" t="e">
        <f t="shared" ref="AJ43" si="476">AJ42/AJ39</f>
        <v>#DIV/0!</v>
      </c>
      <c r="AK43" s="13">
        <f t="shared" ref="AK43" si="477">AK42/AK39</f>
        <v>0.70541830815582163</v>
      </c>
      <c r="AL43" s="13">
        <f t="shared" ref="AL43" si="478">AL42/AL39</f>
        <v>-0.84747934693093729</v>
      </c>
      <c r="AM43" s="13">
        <f t="shared" ref="AM43" si="479">AM42/AM39</f>
        <v>-0.80952380952380953</v>
      </c>
      <c r="AN43" s="13" t="e">
        <f t="shared" ref="AN43" si="480">AN42/AN39</f>
        <v>#DIV/0!</v>
      </c>
      <c r="AO43" s="165">
        <f t="shared" ref="AO43" si="481">AO42/AO39</f>
        <v>-0.22102847247129748</v>
      </c>
      <c r="AP43" s="13">
        <f t="shared" ref="AP43" si="482">AP42/AP39</f>
        <v>-2.2940132449232631</v>
      </c>
      <c r="AQ43" s="14">
        <f t="shared" ref="AQ43" si="483">AQ42/AQ39</f>
        <v>0.97090128886445559</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3.2406311637080867</v>
      </c>
      <c r="AZ43" s="13" t="e">
        <f t="shared" ref="AZ43" si="492">AZ42/AZ39</f>
        <v>#DIV/0!</v>
      </c>
      <c r="BA43" s="13" t="e">
        <f t="shared" ref="BA43" si="493">BA42/BA39</f>
        <v>#DIV/0!</v>
      </c>
      <c r="BB43" s="14">
        <f t="shared" ref="BB43" si="494">BB42/BB39</f>
        <v>0.51934303445214502</v>
      </c>
      <c r="BC43" s="13">
        <f t="shared" ref="BC43" si="495">BC42/BC39</f>
        <v>-0.30870527399811565</v>
      </c>
      <c r="BD43" s="13">
        <f t="shared" ref="BD43" si="496">BD42/BD39</f>
        <v>-0.30870527399811565</v>
      </c>
      <c r="BE43" s="13" t="e">
        <f t="shared" ref="BE43" si="497">BE42/BE39</f>
        <v>#DIV/0!</v>
      </c>
      <c r="BF43" s="13">
        <f t="shared" ref="BF43" si="498">BF42/BF39</f>
        <v>-0.35644288430598214</v>
      </c>
      <c r="BG43" s="13">
        <f t="shared" ref="BG43:BH43" si="499">BG42/BG39</f>
        <v>-1.1651332861523944</v>
      </c>
      <c r="BH43" s="165">
        <f t="shared" si="499"/>
        <v>0.67262888329265935</v>
      </c>
      <c r="BI43" s="46">
        <f t="shared" ref="BI43" si="500">BI42/BI39</f>
        <v>0.13885062732699757</v>
      </c>
      <c r="BJ43" s="13">
        <f t="shared" ref="BJ43:BK43" si="501">BJ42/BJ39</f>
        <v>-1</v>
      </c>
      <c r="BK43" s="52">
        <f t="shared" si="501"/>
        <v>0.15704870191351006</v>
      </c>
      <c r="BM43" s="165" t="e">
        <f t="shared" ref="BM43" si="502">BM42/BM39</f>
        <v>#DIV/0!</v>
      </c>
    </row>
    <row r="44" spans="1:65" ht="15.75" x14ac:dyDescent="0.25">
      <c r="A44" s="130"/>
      <c r="B44" s="5" t="s">
        <v>134</v>
      </c>
      <c r="C44" s="11">
        <f>C41-C40</f>
        <v>2644</v>
      </c>
      <c r="D44" s="11">
        <f t="shared" ref="D44:BK44" si="503">D41-D40</f>
        <v>1052</v>
      </c>
      <c r="E44" s="11">
        <f t="shared" si="503"/>
        <v>-54</v>
      </c>
      <c r="F44" s="11">
        <f t="shared" si="503"/>
        <v>-216</v>
      </c>
      <c r="G44" s="11">
        <f t="shared" si="503"/>
        <v>472</v>
      </c>
      <c r="H44" s="11">
        <f t="shared" si="503"/>
        <v>0</v>
      </c>
      <c r="I44" s="11">
        <f t="shared" si="503"/>
        <v>0</v>
      </c>
      <c r="J44" s="11">
        <f t="shared" si="503"/>
        <v>0</v>
      </c>
      <c r="K44" s="11">
        <f t="shared" si="503"/>
        <v>-21</v>
      </c>
      <c r="L44" s="11">
        <f t="shared" si="503"/>
        <v>2584</v>
      </c>
      <c r="M44" s="11">
        <f t="shared" si="503"/>
        <v>417</v>
      </c>
      <c r="N44" s="11">
        <f t="shared" si="503"/>
        <v>-20</v>
      </c>
      <c r="O44" s="11">
        <f t="shared" si="503"/>
        <v>-249</v>
      </c>
      <c r="P44" s="11">
        <f t="shared" si="503"/>
        <v>2893</v>
      </c>
      <c r="Q44" s="11">
        <f t="shared" si="503"/>
        <v>0</v>
      </c>
      <c r="R44" s="11">
        <f t="shared" si="503"/>
        <v>324</v>
      </c>
      <c r="S44" s="11">
        <f t="shared" si="503"/>
        <v>0</v>
      </c>
      <c r="T44" s="11">
        <f t="shared" si="503"/>
        <v>0</v>
      </c>
      <c r="U44" s="11">
        <f t="shared" ref="U44" si="504">U41-U40</f>
        <v>0</v>
      </c>
      <c r="V44" s="9">
        <f t="shared" si="503"/>
        <v>32609</v>
      </c>
      <c r="W44" s="11">
        <f t="shared" si="503"/>
        <v>0</v>
      </c>
      <c r="X44" s="11">
        <f t="shared" si="503"/>
        <v>0</v>
      </c>
      <c r="Y44" s="11">
        <f t="shared" si="503"/>
        <v>1668</v>
      </c>
      <c r="Z44" s="11">
        <f t="shared" si="503"/>
        <v>150</v>
      </c>
      <c r="AA44" s="11">
        <f t="shared" si="503"/>
        <v>235</v>
      </c>
      <c r="AB44" s="11">
        <f t="shared" ref="AB44" si="505">AB41-AB40</f>
        <v>54</v>
      </c>
      <c r="AC44" s="10">
        <f t="shared" ref="AC44:AD44" si="506">AC41-AC40</f>
        <v>135244</v>
      </c>
      <c r="AD44" s="11">
        <f t="shared" si="506"/>
        <v>179786</v>
      </c>
      <c r="AE44" s="11">
        <f t="shared" si="503"/>
        <v>-35</v>
      </c>
      <c r="AF44" s="11">
        <f t="shared" si="503"/>
        <v>-14</v>
      </c>
      <c r="AG44" s="11">
        <f t="shared" si="503"/>
        <v>-3886</v>
      </c>
      <c r="AH44" s="11">
        <f t="shared" si="503"/>
        <v>0</v>
      </c>
      <c r="AI44" s="11">
        <f t="shared" si="503"/>
        <v>0</v>
      </c>
      <c r="AJ44" s="11">
        <f t="shared" si="503"/>
        <v>0</v>
      </c>
      <c r="AK44" s="11">
        <f t="shared" si="503"/>
        <v>18458</v>
      </c>
      <c r="AL44" s="11">
        <f t="shared" si="503"/>
        <v>-1910</v>
      </c>
      <c r="AM44" s="11">
        <f t="shared" si="503"/>
        <v>18</v>
      </c>
      <c r="AN44" s="11">
        <f t="shared" si="503"/>
        <v>0</v>
      </c>
      <c r="AO44" s="9">
        <f t="shared" si="503"/>
        <v>-30125</v>
      </c>
      <c r="AP44" s="11">
        <f t="shared" si="503"/>
        <v>18548</v>
      </c>
      <c r="AQ44" s="10">
        <f t="shared" si="503"/>
        <v>47419</v>
      </c>
      <c r="AR44" s="11">
        <f t="shared" si="503"/>
        <v>0</v>
      </c>
      <c r="AS44" s="11">
        <f t="shared" si="503"/>
        <v>0</v>
      </c>
      <c r="AT44" s="11">
        <f t="shared" si="503"/>
        <v>0</v>
      </c>
      <c r="AU44" s="11">
        <f t="shared" si="503"/>
        <v>0</v>
      </c>
      <c r="AV44" s="11">
        <f t="shared" si="503"/>
        <v>0</v>
      </c>
      <c r="AW44" s="11">
        <f t="shared" si="503"/>
        <v>0</v>
      </c>
      <c r="AX44" s="11">
        <f t="shared" si="503"/>
        <v>0</v>
      </c>
      <c r="AY44" s="11">
        <f t="shared" si="503"/>
        <v>74</v>
      </c>
      <c r="AZ44" s="11">
        <f t="shared" si="503"/>
        <v>0</v>
      </c>
      <c r="BA44" s="11">
        <f t="shared" si="503"/>
        <v>0</v>
      </c>
      <c r="BB44" s="10">
        <f t="shared" si="503"/>
        <v>135764</v>
      </c>
      <c r="BC44" s="11">
        <f t="shared" si="503"/>
        <v>-193</v>
      </c>
      <c r="BD44" s="11">
        <f t="shared" si="503"/>
        <v>-193</v>
      </c>
      <c r="BE44" s="11">
        <f t="shared" si="503"/>
        <v>0</v>
      </c>
      <c r="BF44" s="11">
        <f t="shared" si="503"/>
        <v>-2825</v>
      </c>
      <c r="BG44" s="11">
        <f t="shared" si="503"/>
        <v>-5422</v>
      </c>
      <c r="BH44" s="9">
        <f t="shared" si="503"/>
        <v>175678</v>
      </c>
      <c r="BI44" s="45">
        <f t="shared" si="503"/>
        <v>355464</v>
      </c>
      <c r="BJ44" s="11">
        <f t="shared" si="503"/>
        <v>4033</v>
      </c>
      <c r="BK44" s="51">
        <f t="shared" si="503"/>
        <v>351431</v>
      </c>
      <c r="BM44" s="30">
        <f t="shared" si="393"/>
        <v>171645</v>
      </c>
    </row>
    <row r="45" spans="1:65" ht="15.75" x14ac:dyDescent="0.25">
      <c r="A45" s="130"/>
      <c r="B45" s="5" t="s">
        <v>135</v>
      </c>
      <c r="C45" s="13">
        <f>C44/C40</f>
        <v>9.6042427214442696E-3</v>
      </c>
      <c r="D45" s="13">
        <f t="shared" ref="D45" si="507">D44/D40</f>
        <v>2.3067140288558524E-2</v>
      </c>
      <c r="E45" s="13">
        <f t="shared" ref="E45" si="508">E44/E40</f>
        <v>-0.2983425414364641</v>
      </c>
      <c r="F45" s="13">
        <f t="shared" ref="F45" si="509">F44/F40</f>
        <v>-6.926629040533607E-3</v>
      </c>
      <c r="G45" s="13">
        <f t="shared" ref="G45" si="510">G44/G40</f>
        <v>3.1032215647600263E-2</v>
      </c>
      <c r="H45" s="13" t="e">
        <f t="shared" ref="H45" si="511">H44/H40</f>
        <v>#DIV/0!</v>
      </c>
      <c r="I45" s="13" t="e">
        <f t="shared" ref="I45" si="512">I44/I40</f>
        <v>#DIV/0!</v>
      </c>
      <c r="J45" s="13" t="e">
        <f t="shared" ref="J45" si="513">J44/J40</f>
        <v>#DIV/0!</v>
      </c>
      <c r="K45" s="13">
        <f t="shared" ref="K45" si="514">K44/K40</f>
        <v>-0.36842105263157893</v>
      </c>
      <c r="L45" s="13">
        <f t="shared" ref="L45" si="515">L44/L40</f>
        <v>4.4475043029259895</v>
      </c>
      <c r="M45" s="13">
        <f t="shared" ref="M45" si="516">M44/M40</f>
        <v>0.18800721370604148</v>
      </c>
      <c r="N45" s="13">
        <f t="shared" ref="N45" si="517">N44/N40</f>
        <v>-0.83333333333333337</v>
      </c>
      <c r="O45" s="13">
        <f t="shared" ref="O45" si="518">O44/O40</f>
        <v>-0.59712230215827333</v>
      </c>
      <c r="P45" s="13">
        <f t="shared" ref="P45" si="519">P44/P40</f>
        <v>0.81746256004521056</v>
      </c>
      <c r="Q45" s="13" t="e">
        <f t="shared" ref="Q45" si="520">Q44/Q40</f>
        <v>#DIV/0!</v>
      </c>
      <c r="R45" s="13">
        <f t="shared" ref="R45" si="521">R44/R40</f>
        <v>1.8837209302325582</v>
      </c>
      <c r="S45" s="13" t="e">
        <f t="shared" ref="S45" si="522">S44/S40</f>
        <v>#DIV/0!</v>
      </c>
      <c r="T45" s="13" t="e">
        <f t="shared" ref="T45:U45" si="523">T44/T40</f>
        <v>#DIV/0!</v>
      </c>
      <c r="U45" s="13" t="e">
        <f t="shared" si="523"/>
        <v>#DIV/0!</v>
      </c>
      <c r="V45" s="165">
        <f t="shared" ref="V45" si="524">V44/V40</f>
        <v>1.4670895757412157</v>
      </c>
      <c r="W45" s="13" t="e">
        <f t="shared" ref="W45" si="525">W44/W40</f>
        <v>#DIV/0!</v>
      </c>
      <c r="X45" s="13" t="e">
        <f t="shared" ref="X45" si="526">X44/X40</f>
        <v>#DIV/0!</v>
      </c>
      <c r="Y45" s="13">
        <f t="shared" ref="Y45" si="527">Y44/Y40</f>
        <v>13.238095238095237</v>
      </c>
      <c r="Z45" s="13">
        <f t="shared" ref="Z45" si="528">Z44/Z40</f>
        <v>9.375</v>
      </c>
      <c r="AA45" s="13">
        <f t="shared" ref="AA45:AD45" si="529">AA44/AA40</f>
        <v>39.166666666666664</v>
      </c>
      <c r="AB45" s="13" t="e">
        <f t="shared" ref="AB45" si="530">AB44/AB40</f>
        <v>#DIV/0!</v>
      </c>
      <c r="AC45" s="14">
        <f t="shared" si="529"/>
        <v>1.657158261040043</v>
      </c>
      <c r="AD45" s="13">
        <f t="shared" si="529"/>
        <v>0.37575109045271293</v>
      </c>
      <c r="AE45" s="13">
        <f t="shared" ref="AE45" si="531">AE44/AE40</f>
        <v>-0.57377049180327866</v>
      </c>
      <c r="AF45" s="13">
        <f t="shared" ref="AF45" si="532">AF44/AF40</f>
        <v>-0.46666666666666667</v>
      </c>
      <c r="AG45" s="13">
        <f t="shared" ref="AG45" si="533">AG44/AG40</f>
        <v>-1</v>
      </c>
      <c r="AH45" s="13" t="e">
        <f t="shared" ref="AH45" si="534">AH44/AH40</f>
        <v>#DIV/0!</v>
      </c>
      <c r="AI45" s="13" t="e">
        <f t="shared" ref="AI45" si="535">AI44/AI40</f>
        <v>#DIV/0!</v>
      </c>
      <c r="AJ45" s="13" t="e">
        <f t="shared" ref="AJ45" si="536">AJ44/AJ40</f>
        <v>#DIV/0!</v>
      </c>
      <c r="AK45" s="13">
        <f t="shared" ref="AK45" si="537">AK44/AK40</f>
        <v>0.53098210689833725</v>
      </c>
      <c r="AL45" s="13">
        <f t="shared" ref="AL45" si="538">AL44/AL40</f>
        <v>-0.69809941520467833</v>
      </c>
      <c r="AM45" s="13" t="e">
        <f t="shared" ref="AM45" si="539">AM44/AM40</f>
        <v>#DIV/0!</v>
      </c>
      <c r="AN45" s="13" t="e">
        <f t="shared" ref="AN45" si="540">AN44/AN40</f>
        <v>#DIV/0!</v>
      </c>
      <c r="AO45" s="165">
        <f t="shared" ref="AO45" si="541">AO44/AO40</f>
        <v>-0.63654228119849554</v>
      </c>
      <c r="AP45" s="13">
        <f t="shared" ref="AP45" si="542">AP44/AP40</f>
        <v>105.98857142857143</v>
      </c>
      <c r="AQ45" s="14">
        <f t="shared" ref="AQ45" si="543">AQ44/AQ40</f>
        <v>11.274132192106514</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f t="shared" ref="AY45" si="551">AY44/AY40</f>
        <v>1.3454545454545455</v>
      </c>
      <c r="AZ45" s="13" t="e">
        <f t="shared" ref="AZ45" si="552">AZ44/AZ40</f>
        <v>#DIV/0!</v>
      </c>
      <c r="BA45" s="13" t="e">
        <f t="shared" ref="BA45" si="553">BA44/BA40</f>
        <v>#DIV/0!</v>
      </c>
      <c r="BB45" s="14">
        <f t="shared" ref="BB45" si="554">BB44/BB40</f>
        <v>3.2261774630483342</v>
      </c>
      <c r="BC45" s="13">
        <f t="shared" ref="BC45" si="555">BC44/BC40</f>
        <v>-0.23422330097087379</v>
      </c>
      <c r="BD45" s="13">
        <f t="shared" ref="BD45" si="556">BD44/BD40</f>
        <v>-0.23422330097087379</v>
      </c>
      <c r="BE45" s="13" t="e">
        <f t="shared" ref="BE45" si="557">BE44/BE40</f>
        <v>#DIV/0!</v>
      </c>
      <c r="BF45" s="13">
        <f t="shared" ref="BF45" si="558">BF44/BF40</f>
        <v>-0.68154402895054278</v>
      </c>
      <c r="BG45" s="13">
        <f t="shared" ref="BG45:BH45" si="559">BG44/BG40</f>
        <v>-1.0025887573964498</v>
      </c>
      <c r="BH45" s="165">
        <f t="shared" si="559"/>
        <v>1.1990035490035491</v>
      </c>
      <c r="BI45" s="46">
        <f t="shared" ref="BI45" si="560">BI44/BI40</f>
        <v>0.56875059000849615</v>
      </c>
      <c r="BJ45" s="13">
        <f t="shared" ref="BJ45:BK45" si="561">BJ44/BJ40</f>
        <v>-1</v>
      </c>
      <c r="BK45" s="52">
        <f t="shared" si="561"/>
        <v>0.55869251411710841</v>
      </c>
      <c r="BM45" s="14">
        <f t="shared" ref="BM45" si="562">BM44/BM40</f>
        <v>1.1400968429722422</v>
      </c>
    </row>
    <row r="46" spans="1:65" ht="15.75" x14ac:dyDescent="0.25">
      <c r="A46" s="130"/>
      <c r="B46" s="5" t="s">
        <v>296</v>
      </c>
      <c r="C46" s="128">
        <f>C41/C38</f>
        <v>0.18065254581002102</v>
      </c>
      <c r="D46" s="128">
        <f t="shared" ref="D46:BK46" si="563">D41/D38</f>
        <v>0.17793048744213008</v>
      </c>
      <c r="E46" s="128">
        <f t="shared" si="563"/>
        <v>1.9465988167131603E-3</v>
      </c>
      <c r="F46" s="128">
        <f t="shared" si="563"/>
        <v>0.16683636912169553</v>
      </c>
      <c r="G46" s="128">
        <f t="shared" si="563"/>
        <v>0.15935372421501881</v>
      </c>
      <c r="H46" s="128" t="e">
        <f t="shared" si="563"/>
        <v>#DIV/0!</v>
      </c>
      <c r="I46" s="128" t="e">
        <f t="shared" si="563"/>
        <v>#DIV/0!</v>
      </c>
      <c r="J46" s="128" t="e">
        <f t="shared" si="563"/>
        <v>#DIV/0!</v>
      </c>
      <c r="K46" s="128">
        <f t="shared" si="563"/>
        <v>2.4810475534114404E-2</v>
      </c>
      <c r="L46" s="128">
        <f t="shared" si="563"/>
        <v>7.7531723090490418E-2</v>
      </c>
      <c r="M46" s="128">
        <f t="shared" si="563"/>
        <v>4.6207803594914512E-2</v>
      </c>
      <c r="N46" s="128">
        <f t="shared" si="563"/>
        <v>1.9138755980861243E-2</v>
      </c>
      <c r="O46" s="128">
        <f t="shared" si="563"/>
        <v>0.05</v>
      </c>
      <c r="P46" s="128">
        <f t="shared" si="563"/>
        <v>0.22910878392818979</v>
      </c>
      <c r="Q46" s="128" t="e">
        <f t="shared" si="563"/>
        <v>#DIV/0!</v>
      </c>
      <c r="R46" s="128">
        <f t="shared" si="563"/>
        <v>9.7580169191422386E-2</v>
      </c>
      <c r="S46" s="128" t="e">
        <f t="shared" si="563"/>
        <v>#DIV/0!</v>
      </c>
      <c r="T46" s="128" t="e">
        <f t="shared" si="563"/>
        <v>#DIV/0!</v>
      </c>
      <c r="U46" s="128" t="e">
        <f t="shared" si="563"/>
        <v>#DIV/0!</v>
      </c>
      <c r="V46" s="180">
        <f t="shared" si="563"/>
        <v>0.16476668369339864</v>
      </c>
      <c r="W46" s="128" t="e">
        <f t="shared" si="563"/>
        <v>#DIV/0!</v>
      </c>
      <c r="X46" s="128" t="e">
        <f t="shared" si="563"/>
        <v>#DIV/0!</v>
      </c>
      <c r="Y46" s="128">
        <f t="shared" si="563"/>
        <v>7.382716049382716</v>
      </c>
      <c r="Z46" s="128">
        <f t="shared" si="563"/>
        <v>6.916666666666667</v>
      </c>
      <c r="AA46" s="128">
        <f t="shared" si="563"/>
        <v>1.1699029126213591</v>
      </c>
      <c r="AB46" s="128">
        <f t="shared" ref="AB46" si="564">AB41/AB38</f>
        <v>1.9230769230769232E-2</v>
      </c>
      <c r="AC46" s="228">
        <f t="shared" si="563"/>
        <v>0.1876233447683649</v>
      </c>
      <c r="AD46" s="128">
        <f t="shared" si="563"/>
        <v>0.17423678745984919</v>
      </c>
      <c r="AE46" s="128">
        <f t="shared" si="563"/>
        <v>2.4785510009532889E-2</v>
      </c>
      <c r="AF46" s="128">
        <f t="shared" si="563"/>
        <v>7.1428571428571425E-2</v>
      </c>
      <c r="AG46" s="128">
        <f t="shared" si="563"/>
        <v>0</v>
      </c>
      <c r="AH46" s="128" t="e">
        <f t="shared" si="563"/>
        <v>#DIV/0!</v>
      </c>
      <c r="AI46" s="128" t="e">
        <f t="shared" si="563"/>
        <v>#DIV/0!</v>
      </c>
      <c r="AJ46" s="128" t="e">
        <f t="shared" si="563"/>
        <v>#DIV/0!</v>
      </c>
      <c r="AK46" s="128">
        <f t="shared" si="563"/>
        <v>0.30697529546804792</v>
      </c>
      <c r="AL46" s="128">
        <f t="shared" si="563"/>
        <v>2.7453717552431284E-2</v>
      </c>
      <c r="AM46" s="128">
        <f t="shared" si="563"/>
        <v>3.4285714285714287E-2</v>
      </c>
      <c r="AN46" s="128" t="e">
        <f t="shared" si="563"/>
        <v>#DIV/0!</v>
      </c>
      <c r="AO46" s="180">
        <f t="shared" si="563"/>
        <v>0.14021487495516646</v>
      </c>
      <c r="AP46" s="128">
        <f t="shared" si="563"/>
        <v>-0.23292238408618737</v>
      </c>
      <c r="AQ46" s="228">
        <f t="shared" si="563"/>
        <v>0.35476223199560197</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f t="shared" si="563"/>
        <v>0.76331360946745563</v>
      </c>
      <c r="AZ46" s="128" t="e">
        <f t="shared" si="563"/>
        <v>#DIV/0!</v>
      </c>
      <c r="BA46" s="128" t="e">
        <f t="shared" si="563"/>
        <v>#DIV/0!</v>
      </c>
      <c r="BB46" s="228">
        <f t="shared" si="563"/>
        <v>0.2734817462013861</v>
      </c>
      <c r="BC46" s="128">
        <f t="shared" si="563"/>
        <v>0.12443305068033918</v>
      </c>
      <c r="BD46" s="128">
        <f t="shared" si="563"/>
        <v>0.12443305068033918</v>
      </c>
      <c r="BE46" s="128" t="e">
        <f t="shared" si="563"/>
        <v>#DIV/0!</v>
      </c>
      <c r="BF46" s="128">
        <f t="shared" si="563"/>
        <v>0.11584028082492322</v>
      </c>
      <c r="BG46" s="128">
        <f t="shared" si="563"/>
        <v>-2.9723991507430998E-2</v>
      </c>
      <c r="BH46" s="180">
        <f t="shared" si="563"/>
        <v>0.3010731989926787</v>
      </c>
      <c r="BI46" s="128">
        <f t="shared" si="563"/>
        <v>0.20223447900315794</v>
      </c>
      <c r="BJ46" s="128">
        <f t="shared" si="563"/>
        <v>0</v>
      </c>
      <c r="BK46" s="128">
        <f t="shared" si="563"/>
        <v>0.20568121577547685</v>
      </c>
      <c r="BM46" s="128" t="e">
        <f t="shared" ref="BM46" si="565">BM41/BM38</f>
        <v>#DIV/0!</v>
      </c>
    </row>
    <row r="47" spans="1:65" s="183" customFormat="1" ht="15.75" x14ac:dyDescent="0.25">
      <c r="A47" s="130"/>
      <c r="B47" s="5" t="s">
        <v>297</v>
      </c>
      <c r="C47" s="11">
        <f>C41-C38</f>
        <v>-1260589</v>
      </c>
      <c r="D47" s="11">
        <f t="shared" ref="D47:BM47" si="566">D41-D38</f>
        <v>-215568</v>
      </c>
      <c r="E47" s="11">
        <f t="shared" si="566"/>
        <v>-65115</v>
      </c>
      <c r="F47" s="11">
        <f t="shared" si="566"/>
        <v>-154651</v>
      </c>
      <c r="G47" s="11">
        <f t="shared" si="566"/>
        <v>-82728</v>
      </c>
      <c r="H47" s="11">
        <f t="shared" si="566"/>
        <v>0</v>
      </c>
      <c r="I47" s="11">
        <f t="shared" si="566"/>
        <v>0</v>
      </c>
      <c r="J47" s="11">
        <f t="shared" si="566"/>
        <v>0</v>
      </c>
      <c r="K47" s="11">
        <f t="shared" si="566"/>
        <v>-1415</v>
      </c>
      <c r="L47" s="11">
        <f t="shared" si="566"/>
        <v>-37657</v>
      </c>
      <c r="M47" s="11">
        <f t="shared" si="566"/>
        <v>-54390</v>
      </c>
      <c r="N47" s="11">
        <f t="shared" si="566"/>
        <v>-205</v>
      </c>
      <c r="O47" s="11">
        <f t="shared" si="566"/>
        <v>-3192</v>
      </c>
      <c r="P47" s="11">
        <f t="shared" si="566"/>
        <v>-21642</v>
      </c>
      <c r="Q47" s="11">
        <f t="shared" si="566"/>
        <v>0</v>
      </c>
      <c r="R47" s="11">
        <f t="shared" si="566"/>
        <v>-4587</v>
      </c>
      <c r="S47" s="11">
        <f t="shared" si="566"/>
        <v>0</v>
      </c>
      <c r="T47" s="11">
        <f t="shared" si="566"/>
        <v>0</v>
      </c>
      <c r="U47" s="11">
        <f t="shared" si="566"/>
        <v>0</v>
      </c>
      <c r="V47" s="9">
        <f t="shared" si="566"/>
        <v>-277974</v>
      </c>
      <c r="W47" s="11">
        <f t="shared" si="566"/>
        <v>0</v>
      </c>
      <c r="X47" s="11">
        <f t="shared" si="566"/>
        <v>0</v>
      </c>
      <c r="Y47" s="11">
        <f t="shared" si="566"/>
        <v>1551</v>
      </c>
      <c r="Z47" s="11">
        <f t="shared" si="566"/>
        <v>142</v>
      </c>
      <c r="AA47" s="11">
        <f t="shared" si="566"/>
        <v>35</v>
      </c>
      <c r="AB47" s="11">
        <f t="shared" ref="AB47" si="567">AB41-AB38</f>
        <v>-2754</v>
      </c>
      <c r="AC47" s="10">
        <f t="shared" si="566"/>
        <v>-938949</v>
      </c>
      <c r="AD47" s="11">
        <f t="shared" si="566"/>
        <v>-3119688</v>
      </c>
      <c r="AE47" s="11">
        <f t="shared" si="566"/>
        <v>-1023</v>
      </c>
      <c r="AF47" s="11">
        <f t="shared" si="566"/>
        <v>-208</v>
      </c>
      <c r="AG47" s="11">
        <f t="shared" si="566"/>
        <v>-4618</v>
      </c>
      <c r="AH47" s="11">
        <f t="shared" si="566"/>
        <v>0</v>
      </c>
      <c r="AI47" s="11">
        <f t="shared" si="566"/>
        <v>0</v>
      </c>
      <c r="AJ47" s="11">
        <f t="shared" si="566"/>
        <v>0</v>
      </c>
      <c r="AK47" s="11">
        <f t="shared" si="566"/>
        <v>-120149</v>
      </c>
      <c r="AL47" s="11">
        <f t="shared" si="566"/>
        <v>-29261</v>
      </c>
      <c r="AM47" s="11">
        <f t="shared" si="566"/>
        <v>-507</v>
      </c>
      <c r="AN47" s="11">
        <f t="shared" si="566"/>
        <v>0</v>
      </c>
      <c r="AO47" s="9">
        <f t="shared" si="566"/>
        <v>-105475</v>
      </c>
      <c r="AP47" s="11">
        <f t="shared" si="566"/>
        <v>99106</v>
      </c>
      <c r="AQ47" s="10">
        <f t="shared" si="566"/>
        <v>-93895</v>
      </c>
      <c r="AR47" s="11">
        <f t="shared" si="566"/>
        <v>0</v>
      </c>
      <c r="AS47" s="11">
        <f t="shared" si="566"/>
        <v>0</v>
      </c>
      <c r="AT47" s="11">
        <f t="shared" si="566"/>
        <v>0</v>
      </c>
      <c r="AU47" s="11">
        <f t="shared" si="566"/>
        <v>0</v>
      </c>
      <c r="AV47" s="11">
        <f t="shared" si="566"/>
        <v>0</v>
      </c>
      <c r="AW47" s="11">
        <f t="shared" si="566"/>
        <v>0</v>
      </c>
      <c r="AX47" s="11">
        <f t="shared" si="566"/>
        <v>0</v>
      </c>
      <c r="AY47" s="11">
        <f t="shared" si="566"/>
        <v>-40</v>
      </c>
      <c r="AZ47" s="11">
        <f t="shared" si="566"/>
        <v>0</v>
      </c>
      <c r="BA47" s="11">
        <f t="shared" si="566"/>
        <v>0</v>
      </c>
      <c r="BB47" s="10">
        <f t="shared" si="566"/>
        <v>-472457</v>
      </c>
      <c r="BC47" s="11">
        <f t="shared" si="566"/>
        <v>-4440</v>
      </c>
      <c r="BD47" s="11">
        <f t="shared" si="566"/>
        <v>-4440</v>
      </c>
      <c r="BE47" s="11">
        <f t="shared" si="566"/>
        <v>0</v>
      </c>
      <c r="BF47" s="11">
        <f t="shared" si="566"/>
        <v>-10075</v>
      </c>
      <c r="BG47" s="11">
        <f t="shared" si="566"/>
        <v>-485</v>
      </c>
      <c r="BH47" s="11">
        <f t="shared" si="566"/>
        <v>-747967</v>
      </c>
      <c r="BI47" s="11">
        <f t="shared" si="566"/>
        <v>-3867655</v>
      </c>
      <c r="BJ47" s="11">
        <f t="shared" si="566"/>
        <v>-81243</v>
      </c>
      <c r="BK47" s="11">
        <f t="shared" si="566"/>
        <v>-3786412</v>
      </c>
      <c r="BL47" s="11">
        <f t="shared" si="566"/>
        <v>980448</v>
      </c>
      <c r="BM47" s="11">
        <f t="shared" si="566"/>
        <v>322198</v>
      </c>
    </row>
    <row r="48" spans="1:65" s="183" customFormat="1" ht="15.75" x14ac:dyDescent="0.2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ht="15.75" x14ac:dyDescent="0.25">
      <c r="A49" s="15" t="s">
        <v>139</v>
      </c>
      <c r="B49" s="11" t="s">
        <v>301</v>
      </c>
      <c r="C49" s="122">
        <v>2439676</v>
      </c>
      <c r="D49" s="122">
        <v>414772</v>
      </c>
      <c r="E49" s="122">
        <v>118279</v>
      </c>
      <c r="F49" s="122">
        <v>213447</v>
      </c>
      <c r="G49" s="122">
        <v>149563</v>
      </c>
      <c r="H49" s="122">
        <v>0</v>
      </c>
      <c r="I49" s="122">
        <v>0</v>
      </c>
      <c r="J49" s="122">
        <v>2914</v>
      </c>
      <c r="K49" s="122">
        <v>1403</v>
      </c>
      <c r="L49" s="122">
        <v>36420</v>
      </c>
      <c r="M49" s="122">
        <v>81055</v>
      </c>
      <c r="N49" s="122">
        <v>225</v>
      </c>
      <c r="O49" s="122">
        <v>11691</v>
      </c>
      <c r="P49" s="122">
        <v>180354</v>
      </c>
      <c r="Q49" s="122">
        <v>0</v>
      </c>
      <c r="R49" s="122">
        <v>8728</v>
      </c>
      <c r="S49" s="122">
        <v>0</v>
      </c>
      <c r="T49" s="122">
        <v>0</v>
      </c>
      <c r="U49" s="122"/>
      <c r="V49" s="195">
        <v>5305</v>
      </c>
      <c r="W49" s="122">
        <v>0</v>
      </c>
      <c r="X49" s="122">
        <v>0</v>
      </c>
      <c r="Y49" s="122">
        <v>4708</v>
      </c>
      <c r="Z49" s="122">
        <v>482</v>
      </c>
      <c r="AA49" s="122">
        <v>686</v>
      </c>
      <c r="AB49" s="122">
        <v>4441</v>
      </c>
      <c r="AC49" s="154">
        <v>0</v>
      </c>
      <c r="AD49" s="123">
        <f t="shared" ref="AD49" si="568">SUM(C49:AC49)</f>
        <v>3674149</v>
      </c>
      <c r="AE49" s="122">
        <v>3034</v>
      </c>
      <c r="AF49" s="122">
        <v>24936</v>
      </c>
      <c r="AG49" s="122">
        <v>3185</v>
      </c>
      <c r="AH49" s="122">
        <v>0</v>
      </c>
      <c r="AI49" s="122">
        <v>0</v>
      </c>
      <c r="AJ49" s="122">
        <v>86</v>
      </c>
      <c r="AK49" s="122">
        <v>300181</v>
      </c>
      <c r="AL49" s="122">
        <v>325010</v>
      </c>
      <c r="AM49" s="122">
        <v>0</v>
      </c>
      <c r="AN49" s="122">
        <v>15163</v>
      </c>
      <c r="AO49" s="195">
        <v>624905</v>
      </c>
      <c r="AP49" s="122">
        <v>81947</v>
      </c>
      <c r="AQ49" s="154">
        <v>460</v>
      </c>
      <c r="AR49" s="122">
        <v>0</v>
      </c>
      <c r="AS49" s="122"/>
      <c r="AT49" s="122"/>
      <c r="AU49" s="122">
        <v>0</v>
      </c>
      <c r="AV49" s="122"/>
      <c r="AW49" s="122">
        <v>8</v>
      </c>
      <c r="AX49" s="122">
        <v>86</v>
      </c>
      <c r="AY49" s="122">
        <v>0</v>
      </c>
      <c r="AZ49" s="122">
        <v>0</v>
      </c>
      <c r="BA49" s="122">
        <v>0</v>
      </c>
      <c r="BB49" s="154">
        <v>0</v>
      </c>
      <c r="BC49" s="122">
        <v>26354</v>
      </c>
      <c r="BD49" s="122">
        <v>26352</v>
      </c>
      <c r="BE49" s="122">
        <v>0</v>
      </c>
      <c r="BF49" s="122">
        <v>47587</v>
      </c>
      <c r="BG49" s="122">
        <v>278892</v>
      </c>
      <c r="BH49" s="9">
        <f>SUM(AE49:BG49)</f>
        <v>1758186</v>
      </c>
      <c r="BI49" s="127">
        <f>AD49+BH49</f>
        <v>5432335</v>
      </c>
      <c r="BJ49" s="98">
        <v>85761</v>
      </c>
      <c r="BK49" s="51">
        <f t="shared" ref="BK49" si="569">BI49-BJ49</f>
        <v>5346574</v>
      </c>
      <c r="BL49">
        <v>5</v>
      </c>
      <c r="BM49" s="30"/>
    </row>
    <row r="50" spans="1:65" s="217" customFormat="1" ht="15.75" x14ac:dyDescent="0.25">
      <c r="A50" s="130" t="s">
        <v>139</v>
      </c>
      <c r="B50" s="196" t="s">
        <v>320</v>
      </c>
      <c r="C50" s="9">
        <v>439141.68000000005</v>
      </c>
      <c r="D50" s="9">
        <v>74658.960000000006</v>
      </c>
      <c r="E50" s="9">
        <v>0</v>
      </c>
      <c r="F50" s="9">
        <v>38420.460000000006</v>
      </c>
      <c r="G50" s="9">
        <v>26921.340000000004</v>
      </c>
      <c r="H50" s="9">
        <v>0</v>
      </c>
      <c r="I50" s="9">
        <v>0</v>
      </c>
      <c r="J50" s="9">
        <v>524.52</v>
      </c>
      <c r="K50" s="9">
        <v>252.54000000000002</v>
      </c>
      <c r="L50" s="9">
        <v>6555.6</v>
      </c>
      <c r="M50" s="9">
        <v>14589.900000000001</v>
      </c>
      <c r="N50" s="9">
        <v>40.5</v>
      </c>
      <c r="O50" s="9">
        <v>2104.38</v>
      </c>
      <c r="P50" s="9">
        <v>32463.72</v>
      </c>
      <c r="Q50" s="9">
        <v>0</v>
      </c>
      <c r="R50" s="9">
        <v>1571.04</v>
      </c>
      <c r="S50" s="9">
        <v>0</v>
      </c>
      <c r="T50" s="9">
        <v>0</v>
      </c>
      <c r="U50" s="9"/>
      <c r="V50" s="9">
        <v>954.90000000000009</v>
      </c>
      <c r="W50" s="9">
        <v>0</v>
      </c>
      <c r="X50" s="9">
        <v>0</v>
      </c>
      <c r="Y50" s="9">
        <v>847.44</v>
      </c>
      <c r="Z50" s="9">
        <v>86.76</v>
      </c>
      <c r="AA50" s="9">
        <v>123.48000000000002</v>
      </c>
      <c r="AB50" s="9">
        <v>799.38000000000011</v>
      </c>
      <c r="AC50" s="10">
        <v>0</v>
      </c>
      <c r="AD50" s="123">
        <v>640056.60000000009</v>
      </c>
      <c r="AE50" s="9">
        <v>546.12</v>
      </c>
      <c r="AF50" s="9">
        <v>4488.4800000000005</v>
      </c>
      <c r="AG50" s="9">
        <v>573.29999999999995</v>
      </c>
      <c r="AH50" s="9">
        <v>0</v>
      </c>
      <c r="AI50" s="9">
        <v>0</v>
      </c>
      <c r="AJ50" s="9">
        <v>15.48</v>
      </c>
      <c r="AK50" s="9">
        <v>54032.58</v>
      </c>
      <c r="AL50" s="9">
        <v>58501.8</v>
      </c>
      <c r="AM50" s="9">
        <v>0</v>
      </c>
      <c r="AN50" s="9">
        <v>2729.34</v>
      </c>
      <c r="AO50" s="9">
        <v>112482.9</v>
      </c>
      <c r="AP50" s="9">
        <v>14750.460000000001</v>
      </c>
      <c r="AQ50" s="10">
        <v>82.800000000000011</v>
      </c>
      <c r="AR50" s="9">
        <v>0</v>
      </c>
      <c r="AS50" s="9"/>
      <c r="AT50" s="9"/>
      <c r="AU50" s="9">
        <v>0</v>
      </c>
      <c r="AV50" s="9"/>
      <c r="AW50" s="9">
        <v>1.44</v>
      </c>
      <c r="AX50" s="9">
        <v>15.48</v>
      </c>
      <c r="AY50" s="9">
        <v>0</v>
      </c>
      <c r="AZ50" s="9">
        <v>0</v>
      </c>
      <c r="BA50" s="9">
        <v>0</v>
      </c>
      <c r="BB50" s="10">
        <v>0</v>
      </c>
      <c r="BC50" s="9">
        <v>4743.72</v>
      </c>
      <c r="BD50" s="9">
        <v>4743.3600000000006</v>
      </c>
      <c r="BE50" s="9">
        <v>0</v>
      </c>
      <c r="BF50" s="9">
        <v>8565.66</v>
      </c>
      <c r="BG50" s="9">
        <v>50200.56</v>
      </c>
      <c r="BH50" s="9">
        <v>316473.48</v>
      </c>
      <c r="BI50" s="127">
        <v>956530.08000000007</v>
      </c>
      <c r="BJ50" s="9">
        <v>14293.5</v>
      </c>
      <c r="BK50" s="51">
        <v>942236.58000000007</v>
      </c>
      <c r="BM50" s="30"/>
    </row>
    <row r="51" spans="1:65" ht="15.75" x14ac:dyDescent="0.25">
      <c r="A51" s="130"/>
      <c r="B51" s="12" t="s">
        <v>322</v>
      </c>
      <c r="C51" s="9">
        <f>IF('Upto Month COPPY'!$F$4="",0,'Upto Month COPPY'!$F$4)</f>
        <v>412130</v>
      </c>
      <c r="D51" s="9">
        <f>IF('Upto Month COPPY'!$F$5="",0,'Upto Month COPPY'!$F$5)</f>
        <v>68570</v>
      </c>
      <c r="E51" s="9">
        <f>IF('Upto Month COPPY'!$F$6="",0,'Upto Month COPPY'!$F$6)</f>
        <v>61</v>
      </c>
      <c r="F51" s="9">
        <f>IF('Upto Month COPPY'!$F$7="",0,'Upto Month COPPY'!$F$7)</f>
        <v>32677</v>
      </c>
      <c r="G51" s="9">
        <f>IF('Upto Month COPPY'!$F$8="",0,'Upto Month COPPY'!$F$8)</f>
        <v>22606</v>
      </c>
      <c r="H51" s="9">
        <f>IF('Upto Month COPPY'!$F$9="",0,'Upto Month COPPY'!$F$9)</f>
        <v>0</v>
      </c>
      <c r="I51" s="9">
        <f>IF('Upto Month COPPY'!$F$10="",0,'Upto Month COPPY'!$F$10)</f>
        <v>0</v>
      </c>
      <c r="J51" s="9">
        <f>IF('Upto Month COPPY'!$F$11="",0,'Upto Month COPPY'!$F$11)</f>
        <v>1246</v>
      </c>
      <c r="K51" s="9">
        <f>IF('Upto Month COPPY'!$F$12="",0,'Upto Month COPPY'!$F$12)</f>
        <v>0</v>
      </c>
      <c r="L51" s="9">
        <f>IF('Upto Month COPPY'!$F$13="",0,'Upto Month COPPY'!$F$13)</f>
        <v>5757</v>
      </c>
      <c r="M51" s="9">
        <f>IF('Upto Month COPPY'!$F$14="",0,'Upto Month COPPY'!$F$14)</f>
        <v>5560</v>
      </c>
      <c r="N51" s="9">
        <f>IF('Upto Month COPPY'!$F$15="",0,'Upto Month COPPY'!$F$15)</f>
        <v>13</v>
      </c>
      <c r="O51" s="9">
        <f>IF('Upto Month COPPY'!$F$16="",0,'Upto Month COPPY'!$F$16)</f>
        <v>534</v>
      </c>
      <c r="P51" s="9">
        <f>IF('Upto Month COPPY'!$F$17="",0,'Upto Month COPPY'!$F$17)</f>
        <v>34011</v>
      </c>
      <c r="Q51" s="9">
        <f>IF('Upto Month COPPY'!$F$18="",0,'Upto Month COPPY'!$F$18)</f>
        <v>0</v>
      </c>
      <c r="R51" s="9">
        <f>IF('Upto Month COPPY'!$F$21="",0,'Upto Month COPPY'!$F$21)</f>
        <v>158</v>
      </c>
      <c r="S51" s="9">
        <f>IF('Upto Month COPPY'!$F$26="",0,'Upto Month COPPY'!$F$26)</f>
        <v>0</v>
      </c>
      <c r="T51" s="9">
        <f>IF('Upto Month COPPY'!$F$27="",0,'Upto Month COPPY'!$F$27)</f>
        <v>0</v>
      </c>
      <c r="U51" s="9">
        <f>IF('Upto Month COPPY'!$F$30="",0,'Upto Month COPPY'!$F$30)</f>
        <v>0</v>
      </c>
      <c r="V51" s="9">
        <f>IF('Upto Month COPPY'!$F$35="",0,'Upto Month COPPY'!$F$35)</f>
        <v>37333</v>
      </c>
      <c r="W51" s="9">
        <f>IF('Upto Month COPPY'!$F$39="",0,'Upto Month COPPY'!$F$39)</f>
        <v>0</v>
      </c>
      <c r="X51" s="9">
        <f>IF('Upto Month COPPY'!$F$40="",0,'Upto Month COPPY'!$F$40)</f>
        <v>0</v>
      </c>
      <c r="Y51" s="9">
        <f>IF('Upto Month COPPY'!$F$42="",0,'Upto Month COPPY'!$F$42)</f>
        <v>1384</v>
      </c>
      <c r="Z51" s="9">
        <f>IF('Upto Month COPPY'!$F$43="",0,'Upto Month COPPY'!$F$43)</f>
        <v>21</v>
      </c>
      <c r="AA51" s="9">
        <f>IF('Upto Month COPPY'!$F$44="",0,'Upto Month COPPY'!$F$44)</f>
        <v>28</v>
      </c>
      <c r="AB51" s="9">
        <f>IF('Upto Month COPPY'!$F$48="",0,'Upto Month COPPY'!$F$48)</f>
        <v>0</v>
      </c>
      <c r="AC51" s="10">
        <f>IF('Upto Month COPPY'!$F$51="",0,'Upto Month COPPY'!$F$51)</f>
        <v>0</v>
      </c>
      <c r="AD51" s="123">
        <f t="shared" ref="AD51:AD52" si="570">SUM(C51:AC51)</f>
        <v>622089</v>
      </c>
      <c r="AE51" s="9">
        <f>IF('Upto Month COPPY'!$F$19="",0,'Upto Month COPPY'!$F$19)</f>
        <v>325</v>
      </c>
      <c r="AF51" s="9">
        <f>IF('Upto Month COPPY'!$F$20="",0,'Upto Month COPPY'!$F$20)</f>
        <v>4763</v>
      </c>
      <c r="AG51" s="9">
        <f>IF('Upto Month COPPY'!$F$22="",0,'Upto Month COPPY'!$F$22)</f>
        <v>1506</v>
      </c>
      <c r="AH51" s="9">
        <f>IF('Upto Month COPPY'!$F$23="",0,'Upto Month COPPY'!$F$23)</f>
        <v>18</v>
      </c>
      <c r="AI51" s="9">
        <f>IF('Upto Month COPPY'!$F$24="",0,'Upto Month COPPY'!$F$24)</f>
        <v>0</v>
      </c>
      <c r="AJ51" s="9">
        <f>IF('Upto Month COPPY'!$F$25="",0,'Upto Month COPPY'!$F$25)</f>
        <v>0</v>
      </c>
      <c r="AK51" s="9">
        <f>IF('Upto Month COPPY'!$F$28="",0,'Upto Month COPPY'!$F$28)</f>
        <v>58176</v>
      </c>
      <c r="AL51" s="9">
        <f>IF('Upto Month COPPY'!$F$29="",0,'Upto Month COPPY'!$F$29)</f>
        <v>53841</v>
      </c>
      <c r="AM51" s="9">
        <f>IF('Upto Month COPPY'!$F$31="",0,'Upto Month COPPY'!$F$31)</f>
        <v>0</v>
      </c>
      <c r="AN51" s="9">
        <f>IF('Upto Month COPPY'!$F$32="",0,'Upto Month COPPY'!$F$32)</f>
        <v>240</v>
      </c>
      <c r="AO51" s="9">
        <f>IF('Upto Month COPPY'!$F$33="",0,'Upto Month COPPY'!$F$33)</f>
        <v>128757</v>
      </c>
      <c r="AP51" s="9">
        <f>IF('Upto Month COPPY'!$F$34="",0,'Upto Month COPPY'!$F$34)</f>
        <v>9468</v>
      </c>
      <c r="AQ51" s="10">
        <f>IF('Upto Month COPPY'!$F$36="",0,'Upto Month COPPY'!$F$36)</f>
        <v>8852</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4393</v>
      </c>
      <c r="BD51" s="9">
        <f>IF('Upto Month COPPY'!$F$54="",0,'Upto Month COPPY'!$F$54)</f>
        <v>4393</v>
      </c>
      <c r="BE51" s="9">
        <f>IF('Upto Month COPPY'!$F$55="",0,'Upto Month COPPY'!$F$55)</f>
        <v>0</v>
      </c>
      <c r="BF51" s="9">
        <f>IF('Upto Month COPPY'!$F$56="",0,'Upto Month COPPY'!$F$56)</f>
        <v>12092</v>
      </c>
      <c r="BG51" s="9">
        <f>IF('Upto Month COPPY'!$F$58="",0,'Upto Month COPPY'!$F$58)</f>
        <v>84991</v>
      </c>
      <c r="BH51" s="9">
        <f>SUM(AE51:BG51)</f>
        <v>371815</v>
      </c>
      <c r="BI51" s="127">
        <f>AD51+BH51</f>
        <v>993904</v>
      </c>
      <c r="BJ51" s="9">
        <f>IF('Upto Month COPPY'!$F$60="",0,'Upto Month COPPY'!$F$60)</f>
        <v>-851</v>
      </c>
      <c r="BK51" s="51">
        <f t="shared" ref="BK51:BK52" si="571">BI51-BJ51</f>
        <v>994755</v>
      </c>
      <c r="BL51">
        <f>'Upto Month COPPY'!$F$61</f>
        <v>994757</v>
      </c>
      <c r="BM51" s="30">
        <f t="shared" ref="BM51:BM55" si="572">BK51-AD51</f>
        <v>372666</v>
      </c>
    </row>
    <row r="52" spans="1:65" ht="15.75" x14ac:dyDescent="0.25">
      <c r="A52" s="130"/>
      <c r="B52" s="185" t="s">
        <v>323</v>
      </c>
      <c r="C52" s="9">
        <f>IF('Upto Month Current'!$F$4="",0,'Upto Month Current'!$F$4)</f>
        <v>389534</v>
      </c>
      <c r="D52" s="9">
        <f>IF('Upto Month Current'!$F$5="",0,'Upto Month Current'!$F$5)</f>
        <v>65802</v>
      </c>
      <c r="E52" s="9">
        <f>IF('Upto Month Current'!$F$6="",0,'Upto Month Current'!$F$6)</f>
        <v>159</v>
      </c>
      <c r="F52" s="9">
        <f>IF('Upto Month Current'!$F$7="",0,'Upto Month Current'!$F$7)</f>
        <v>31230</v>
      </c>
      <c r="G52" s="9">
        <f>IF('Upto Month Current'!$F$8="",0,'Upto Month Current'!$F$8)</f>
        <v>21633</v>
      </c>
      <c r="H52" s="9">
        <f>IF('Upto Month Current'!$F$9="",0,'Upto Month Current'!$F$9)</f>
        <v>0</v>
      </c>
      <c r="I52" s="9">
        <f>IF('Upto Month Current'!$F$10="",0,'Upto Month Current'!$F$10)</f>
        <v>0</v>
      </c>
      <c r="J52" s="9">
        <f>IF('Upto Month Current'!$F$11="",0,'Upto Month Current'!$F$11)</f>
        <v>283</v>
      </c>
      <c r="K52" s="9">
        <f>IF('Upto Month Current'!$F$12="",0,'Upto Month Current'!$F$12)</f>
        <v>31</v>
      </c>
      <c r="L52" s="9">
        <f>IF('Upto Month Current'!$F$13="",0,'Upto Month Current'!$F$13)</f>
        <v>3565</v>
      </c>
      <c r="M52" s="9">
        <f>IF('Upto Month Current'!$F$14="",0,'Upto Month Current'!$F$14)</f>
        <v>3300</v>
      </c>
      <c r="N52" s="9">
        <f>IF('Upto Month Current'!$F$15="",0,'Upto Month Current'!$F$15)</f>
        <v>20</v>
      </c>
      <c r="O52" s="9">
        <f>IF('Upto Month Current'!$F$16="",0,'Upto Month Current'!$F$16)</f>
        <v>818</v>
      </c>
      <c r="P52" s="9">
        <f>IF('Upto Month Current'!$F$17="",0,'Upto Month Current'!$F$17)</f>
        <v>39684</v>
      </c>
      <c r="Q52" s="9">
        <f>IF('Upto Month Current'!$F$18="",0,'Upto Month Current'!$F$18)</f>
        <v>0</v>
      </c>
      <c r="R52" s="9">
        <f>IF('Upto Month Current'!$F$21="",0,'Upto Month Current'!$F$21)</f>
        <v>460</v>
      </c>
      <c r="S52" s="9">
        <f>IF('Upto Month Current'!$F$26="",0,'Upto Month Current'!$F$26)</f>
        <v>0</v>
      </c>
      <c r="T52" s="9">
        <f>IF('Upto Month Current'!$F$27="",0,'Upto Month Current'!$F$27)</f>
        <v>0</v>
      </c>
      <c r="U52" s="9">
        <f>IF('Upto Month Current'!$F$30="",0,'Upto Month Current'!$F$30)</f>
        <v>0</v>
      </c>
      <c r="V52" s="9">
        <f>IF('Upto Month Current'!$F$35="",0,'Upto Month Current'!$F$35)</f>
        <v>2365</v>
      </c>
      <c r="W52" s="9">
        <f>IF('Upto Month Current'!$F$39="",0,'Upto Month Current'!$F$39)</f>
        <v>0</v>
      </c>
      <c r="X52" s="9">
        <f>IF('Upto Month Current'!$F$40="",0,'Upto Month Current'!$F$40)</f>
        <v>0</v>
      </c>
      <c r="Y52" s="9">
        <f>IF('Upto Month Current'!$F$42="",0,'Upto Month Current'!$F$42)</f>
        <v>4971</v>
      </c>
      <c r="Z52" s="9">
        <f>IF('Upto Month Current'!$F$43="",0,'Upto Month Current'!$F$43)</f>
        <v>491</v>
      </c>
      <c r="AA52" s="9">
        <f>IF('Upto Month Current'!$F$44="",0,'Upto Month Current'!$F$44)</f>
        <v>258</v>
      </c>
      <c r="AB52" s="9">
        <f>IF('Upto Month Current'!$F$48="",0,'Upto Month Current'!$F$48)</f>
        <v>0</v>
      </c>
      <c r="AC52" s="10">
        <f>IF('Upto Month Current'!$F$51="",0,'Upto Month Current'!$F$51)</f>
        <v>0</v>
      </c>
      <c r="AD52" s="123">
        <f t="shared" si="570"/>
        <v>564604</v>
      </c>
      <c r="AE52" s="9">
        <f>IF('Upto Month Current'!$F$19="",0,'Upto Month Current'!$F$19)</f>
        <v>341</v>
      </c>
      <c r="AF52" s="9">
        <f>IF('Upto Month Current'!$F$20="",0,'Upto Month Current'!$F$20)</f>
        <v>454</v>
      </c>
      <c r="AG52" s="9">
        <f>IF('Upto Month Current'!$F$22="",0,'Upto Month Current'!$F$22)</f>
        <v>1088</v>
      </c>
      <c r="AH52" s="9">
        <f>IF('Upto Month Current'!$F$23="",0,'Upto Month Current'!$F$23)</f>
        <v>0</v>
      </c>
      <c r="AI52" s="9">
        <f>IF('Upto Month Current'!$F$24="",0,'Upto Month Current'!$F$24)</f>
        <v>0</v>
      </c>
      <c r="AJ52" s="9">
        <f>IF('Upto Month Current'!$F$25="",0,'Upto Month Current'!$F$25)</f>
        <v>68</v>
      </c>
      <c r="AK52" s="9">
        <f>IF('Upto Month Current'!$F$28="",0,'Upto Month Current'!$F$28)</f>
        <v>87312</v>
      </c>
      <c r="AL52" s="9">
        <f>IF('Upto Month Current'!$F$29="",0,'Upto Month Current'!$F$29)</f>
        <v>18274</v>
      </c>
      <c r="AM52" s="9">
        <f>IF('Upto Month Current'!$F$31="",0,'Upto Month Current'!$F$31)</f>
        <v>0</v>
      </c>
      <c r="AN52" s="9">
        <f>IF('Upto Month Current'!$F$32="",0,'Upto Month Current'!$F$32)</f>
        <v>310</v>
      </c>
      <c r="AO52" s="9">
        <f>IF('Upto Month Current'!$F$33="",0,'Upto Month Current'!$F$33)</f>
        <v>108262</v>
      </c>
      <c r="AP52" s="9">
        <f>IF('Upto Month Current'!$F$34="",0,'Upto Month Current'!$F$34)</f>
        <v>11663</v>
      </c>
      <c r="AQ52" s="10">
        <f>IF('Upto Month Current'!$F$36="",0,'Upto Month Current'!$F$36)</f>
        <v>7334</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2752</v>
      </c>
      <c r="BD52" s="9">
        <f>IF('Upto Month Current'!$F$54="",0,'Upto Month Current'!$F$54)</f>
        <v>2752</v>
      </c>
      <c r="BE52" s="9">
        <f>IF('Upto Month Current'!$F$55="",0,'Upto Month Current'!$F$55)</f>
        <v>0</v>
      </c>
      <c r="BF52" s="9">
        <f>IF('Upto Month Current'!$F$56="",0,'Upto Month Current'!$F$56)</f>
        <v>10067</v>
      </c>
      <c r="BG52" s="9">
        <f>IF('Upto Month Current'!$F$58="",0,'Upto Month Current'!$F$58)</f>
        <v>38307</v>
      </c>
      <c r="BH52" s="9">
        <f>SUM(AE52:BG52)</f>
        <v>288984</v>
      </c>
      <c r="BI52" s="127">
        <f>AD52+BH52</f>
        <v>853588</v>
      </c>
      <c r="BJ52" s="9">
        <f>IF('Upto Month Current'!$F$60="",0,'Upto Month Current'!$F$60)</f>
        <v>0</v>
      </c>
      <c r="BK52" s="51">
        <f t="shared" si="571"/>
        <v>853588</v>
      </c>
      <c r="BL52">
        <f>'Upto Month Current'!$F$61</f>
        <v>853589</v>
      </c>
      <c r="BM52" s="30">
        <f t="shared" si="572"/>
        <v>288984</v>
      </c>
    </row>
    <row r="53" spans="1:65" ht="15.75" x14ac:dyDescent="0.25">
      <c r="A53" s="130"/>
      <c r="B53" s="5" t="s">
        <v>132</v>
      </c>
      <c r="C53" s="11">
        <f>C52-C50</f>
        <v>-49607.680000000051</v>
      </c>
      <c r="D53" s="11">
        <f t="shared" ref="D53" si="573">D52-D50</f>
        <v>-8856.9600000000064</v>
      </c>
      <c r="E53" s="11">
        <f t="shared" ref="E53" si="574">E52-E50</f>
        <v>159</v>
      </c>
      <c r="F53" s="11">
        <f t="shared" ref="F53" si="575">F52-F50</f>
        <v>-7190.4600000000064</v>
      </c>
      <c r="G53" s="11">
        <f t="shared" ref="G53" si="576">G52-G50</f>
        <v>-5288.3400000000038</v>
      </c>
      <c r="H53" s="11">
        <f t="shared" ref="H53" si="577">H52-H50</f>
        <v>0</v>
      </c>
      <c r="I53" s="11">
        <f t="shared" ref="I53" si="578">I52-I50</f>
        <v>0</v>
      </c>
      <c r="J53" s="11">
        <f t="shared" ref="J53" si="579">J52-J50</f>
        <v>-241.51999999999998</v>
      </c>
      <c r="K53" s="11">
        <f t="shared" ref="K53" si="580">K52-K50</f>
        <v>-221.54000000000002</v>
      </c>
      <c r="L53" s="11">
        <f t="shared" ref="L53" si="581">L52-L50</f>
        <v>-2990.6000000000004</v>
      </c>
      <c r="M53" s="11">
        <f t="shared" ref="M53" si="582">M52-M50</f>
        <v>-11289.900000000001</v>
      </c>
      <c r="N53" s="11">
        <f t="shared" ref="N53" si="583">N52-N50</f>
        <v>-20.5</v>
      </c>
      <c r="O53" s="11">
        <f t="shared" ref="O53" si="584">O52-O50</f>
        <v>-1286.3800000000001</v>
      </c>
      <c r="P53" s="11">
        <f t="shared" ref="P53" si="585">P52-P50</f>
        <v>7220.2799999999988</v>
      </c>
      <c r="Q53" s="11">
        <f t="shared" ref="Q53" si="586">Q52-Q50</f>
        <v>0</v>
      </c>
      <c r="R53" s="11">
        <f t="shared" ref="R53" si="587">R52-R50</f>
        <v>-1111.04</v>
      </c>
      <c r="S53" s="11">
        <f t="shared" ref="S53" si="588">S52-S50</f>
        <v>0</v>
      </c>
      <c r="T53" s="11">
        <f t="shared" ref="T53:U53" si="589">T52-T50</f>
        <v>0</v>
      </c>
      <c r="U53" s="11">
        <f t="shared" si="589"/>
        <v>0</v>
      </c>
      <c r="V53" s="9">
        <f t="shared" ref="V53" si="590">V52-V50</f>
        <v>1410.1</v>
      </c>
      <c r="W53" s="11">
        <f t="shared" ref="W53" si="591">W52-W50</f>
        <v>0</v>
      </c>
      <c r="X53" s="11">
        <f t="shared" ref="X53" si="592">X52-X50</f>
        <v>0</v>
      </c>
      <c r="Y53" s="11">
        <f t="shared" ref="Y53" si="593">Y52-Y50</f>
        <v>4123.5599999999995</v>
      </c>
      <c r="Z53" s="11">
        <f t="shared" ref="Z53" si="594">Z52-Z50</f>
        <v>404.24</v>
      </c>
      <c r="AA53" s="11">
        <f t="shared" ref="AA53:AD53" si="595">AA52-AA50</f>
        <v>134.51999999999998</v>
      </c>
      <c r="AB53" s="11">
        <f t="shared" ref="AB53" si="596">AB52-AB50</f>
        <v>-799.38000000000011</v>
      </c>
      <c r="AC53" s="10">
        <f t="shared" si="595"/>
        <v>0</v>
      </c>
      <c r="AD53" s="11">
        <f t="shared" si="595"/>
        <v>-75452.600000000093</v>
      </c>
      <c r="AE53" s="11">
        <f t="shared" ref="AE53" si="597">AE52-AE50</f>
        <v>-205.12</v>
      </c>
      <c r="AF53" s="11">
        <f t="shared" ref="AF53" si="598">AF52-AF50</f>
        <v>-4034.4800000000005</v>
      </c>
      <c r="AG53" s="11">
        <f t="shared" ref="AG53" si="599">AG52-AG50</f>
        <v>514.70000000000005</v>
      </c>
      <c r="AH53" s="11">
        <f t="shared" ref="AH53" si="600">AH52-AH50</f>
        <v>0</v>
      </c>
      <c r="AI53" s="11">
        <f t="shared" ref="AI53" si="601">AI52-AI50</f>
        <v>0</v>
      </c>
      <c r="AJ53" s="11">
        <f t="shared" ref="AJ53" si="602">AJ52-AJ50</f>
        <v>52.519999999999996</v>
      </c>
      <c r="AK53" s="11">
        <f t="shared" ref="AK53" si="603">AK52-AK50</f>
        <v>33279.42</v>
      </c>
      <c r="AL53" s="11">
        <f t="shared" ref="AL53" si="604">AL52-AL50</f>
        <v>-40227.800000000003</v>
      </c>
      <c r="AM53" s="11">
        <f t="shared" ref="AM53" si="605">AM52-AM50</f>
        <v>0</v>
      </c>
      <c r="AN53" s="11">
        <f t="shared" ref="AN53" si="606">AN52-AN50</f>
        <v>-2419.34</v>
      </c>
      <c r="AO53" s="9">
        <f t="shared" ref="AO53" si="607">AO52-AO50</f>
        <v>-4220.8999999999942</v>
      </c>
      <c r="AP53" s="11">
        <f t="shared" ref="AP53" si="608">AP52-AP50</f>
        <v>-3087.4600000000009</v>
      </c>
      <c r="AQ53" s="10">
        <f t="shared" ref="AQ53" si="609">AQ52-AQ50</f>
        <v>7251.2</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-1.44</v>
      </c>
      <c r="AX53" s="11">
        <f t="shared" ref="AX53" si="616">AX52-AX50</f>
        <v>-15.48</v>
      </c>
      <c r="AY53" s="11">
        <f t="shared" ref="AY53" si="617">AY52-AY50</f>
        <v>0</v>
      </c>
      <c r="AZ53" s="11">
        <f t="shared" ref="AZ53" si="618">AZ52-AZ50</f>
        <v>0</v>
      </c>
      <c r="BA53" s="11">
        <f t="shared" ref="BA53" si="619">BA52-BA50</f>
        <v>0</v>
      </c>
      <c r="BB53" s="10">
        <f t="shared" ref="BB53" si="620">BB52-BB50</f>
        <v>0</v>
      </c>
      <c r="BC53" s="11">
        <f t="shared" ref="BC53" si="621">BC52-BC50</f>
        <v>-1991.7200000000003</v>
      </c>
      <c r="BD53" s="11">
        <f t="shared" ref="BD53" si="622">BD52-BD50</f>
        <v>-1991.3600000000006</v>
      </c>
      <c r="BE53" s="11">
        <f t="shared" ref="BE53" si="623">BE52-BE50</f>
        <v>0</v>
      </c>
      <c r="BF53" s="11">
        <f t="shared" ref="BF53" si="624">BF52-BF50</f>
        <v>1501.3400000000001</v>
      </c>
      <c r="BG53" s="11">
        <f t="shared" ref="BG53:BH53" si="625">BG52-BG50</f>
        <v>-11893.559999999998</v>
      </c>
      <c r="BH53" s="9">
        <f t="shared" si="625"/>
        <v>-27489.479999999981</v>
      </c>
      <c r="BI53" s="45">
        <f t="shared" ref="BI53" si="626">BI52-BI50</f>
        <v>-102942.08000000007</v>
      </c>
      <c r="BJ53" s="11">
        <f t="shared" ref="BJ53:BK53" si="627">BJ52-BJ50</f>
        <v>-14293.5</v>
      </c>
      <c r="BK53" s="51">
        <f t="shared" si="627"/>
        <v>-88648.580000000075</v>
      </c>
      <c r="BM53" s="30">
        <f t="shared" si="572"/>
        <v>-13195.979999999981</v>
      </c>
    </row>
    <row r="54" spans="1:65" ht="15.75" x14ac:dyDescent="0.25">
      <c r="A54" s="130"/>
      <c r="B54" s="5" t="s">
        <v>133</v>
      </c>
      <c r="C54" s="13">
        <f>C53/C50</f>
        <v>-0.1129650913573042</v>
      </c>
      <c r="D54" s="13">
        <f t="shared" ref="D54" si="628">D53/D50</f>
        <v>-0.11863224454238321</v>
      </c>
      <c r="E54" s="13" t="e">
        <f t="shared" ref="E54" si="629">E53/E50</f>
        <v>#DIV/0!</v>
      </c>
      <c r="F54" s="13">
        <f t="shared" ref="F54" si="630">F53/F50</f>
        <v>-0.18715184565723589</v>
      </c>
      <c r="G54" s="13">
        <f t="shared" ref="G54" si="631">G53/G50</f>
        <v>-0.19643673011818888</v>
      </c>
      <c r="H54" s="13" t="e">
        <f t="shared" ref="H54" si="632">H53/H50</f>
        <v>#DIV/0!</v>
      </c>
      <c r="I54" s="13" t="e">
        <f t="shared" ref="I54" si="633">I53/I50</f>
        <v>#DIV/0!</v>
      </c>
      <c r="J54" s="13">
        <f t="shared" ref="J54" si="634">J53/J50</f>
        <v>-0.46045908640280636</v>
      </c>
      <c r="K54" s="13">
        <f t="shared" ref="K54" si="635">K53/K50</f>
        <v>-0.87724716876534414</v>
      </c>
      <c r="L54" s="13">
        <f t="shared" ref="L54" si="636">L53/L50</f>
        <v>-0.45619012752455917</v>
      </c>
      <c r="M54" s="13">
        <f t="shared" ref="M54" si="637">M53/M50</f>
        <v>-0.7738161330783625</v>
      </c>
      <c r="N54" s="13">
        <f t="shared" ref="N54" si="638">N53/N50</f>
        <v>-0.50617283950617287</v>
      </c>
      <c r="O54" s="13">
        <f t="shared" ref="O54" si="639">O53/O50</f>
        <v>-0.61128693486917762</v>
      </c>
      <c r="P54" s="13">
        <f t="shared" ref="P54" si="640">P53/P50</f>
        <v>0.22241074035877584</v>
      </c>
      <c r="Q54" s="13" t="e">
        <f t="shared" ref="Q54" si="641">Q53/Q50</f>
        <v>#DIV/0!</v>
      </c>
      <c r="R54" s="13">
        <f t="shared" ref="R54" si="642">R53/R50</f>
        <v>-0.70720032589876769</v>
      </c>
      <c r="S54" s="13" t="e">
        <f t="shared" ref="S54" si="643">S53/S50</f>
        <v>#DIV/0!</v>
      </c>
      <c r="T54" s="13" t="e">
        <f t="shared" ref="T54:U54" si="644">T53/T50</f>
        <v>#DIV/0!</v>
      </c>
      <c r="U54" s="13" t="e">
        <f t="shared" si="644"/>
        <v>#DIV/0!</v>
      </c>
      <c r="V54" s="165">
        <f t="shared" ref="V54" si="645">V53/V50</f>
        <v>1.4766991307990363</v>
      </c>
      <c r="W54" s="13" t="e">
        <f t="shared" ref="W54" si="646">W53/W50</f>
        <v>#DIV/0!</v>
      </c>
      <c r="X54" s="13" t="e">
        <f t="shared" ref="X54" si="647">X53/X50</f>
        <v>#DIV/0!</v>
      </c>
      <c r="Y54" s="13">
        <f t="shared" ref="Y54" si="648">Y53/Y50</f>
        <v>4.8659020107618227</v>
      </c>
      <c r="Z54" s="13">
        <f t="shared" ref="Z54" si="649">Z53/Z50</f>
        <v>4.6592899953895799</v>
      </c>
      <c r="AA54" s="13">
        <f t="shared" ref="AA54:AD54" si="650">AA53/AA50</f>
        <v>1.0894071914480075</v>
      </c>
      <c r="AB54" s="13">
        <f t="shared" ref="AB54" si="651">AB53/AB50</f>
        <v>-1</v>
      </c>
      <c r="AC54" s="14" t="e">
        <f t="shared" si="650"/>
        <v>#DIV/0!</v>
      </c>
      <c r="AD54" s="13">
        <f t="shared" si="650"/>
        <v>-0.11788426211056972</v>
      </c>
      <c r="AE54" s="13">
        <f t="shared" ref="AE54" si="652">AE53/AE50</f>
        <v>-0.3755951073024244</v>
      </c>
      <c r="AF54" s="13">
        <f t="shared" ref="AF54" si="653">AF53/AF50</f>
        <v>-0.89885217267315443</v>
      </c>
      <c r="AG54" s="13">
        <f t="shared" ref="AG54" si="654">AG53/AG50</f>
        <v>0.89778475492761223</v>
      </c>
      <c r="AH54" s="13" t="e">
        <f t="shared" ref="AH54" si="655">AH53/AH50</f>
        <v>#DIV/0!</v>
      </c>
      <c r="AI54" s="13" t="e">
        <f t="shared" ref="AI54" si="656">AI53/AI50</f>
        <v>#DIV/0!</v>
      </c>
      <c r="AJ54" s="13">
        <f t="shared" ref="AJ54" si="657">AJ53/AJ50</f>
        <v>3.3927648578811365</v>
      </c>
      <c r="AK54" s="13">
        <f t="shared" ref="AK54" si="658">AK53/AK50</f>
        <v>0.6159139541365598</v>
      </c>
      <c r="AL54" s="13">
        <f t="shared" ref="AL54" si="659">AL53/AL50</f>
        <v>-0.68763354289953471</v>
      </c>
      <c r="AM54" s="13" t="e">
        <f t="shared" ref="AM54" si="660">AM53/AM50</f>
        <v>#DIV/0!</v>
      </c>
      <c r="AN54" s="13">
        <f t="shared" ref="AN54" si="661">AN53/AN50</f>
        <v>-0.88641942740735857</v>
      </c>
      <c r="AO54" s="165">
        <f t="shared" ref="AO54" si="662">AO53/AO50</f>
        <v>-3.7524814882973274E-2</v>
      </c>
      <c r="AP54" s="13">
        <f t="shared" ref="AP54" si="663">AP53/AP50</f>
        <v>-0.20931279431285538</v>
      </c>
      <c r="AQ54" s="14">
        <f t="shared" ref="AQ54" si="664">AQ53/AQ50</f>
        <v>87.574879227053131</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-0.41986457885372663</v>
      </c>
      <c r="BD54" s="13">
        <f t="shared" ref="BD54" si="677">BD53/BD50</f>
        <v>-0.41982054914659656</v>
      </c>
      <c r="BE54" s="13" t="e">
        <f t="shared" ref="BE54" si="678">BE53/BE50</f>
        <v>#DIV/0!</v>
      </c>
      <c r="BF54" s="13">
        <f t="shared" ref="BF54" si="679">BF53/BF50</f>
        <v>0.1752742929324769</v>
      </c>
      <c r="BG54" s="13">
        <f t="shared" ref="BG54:BH54" si="680">BG53/BG50</f>
        <v>-0.23692086303419718</v>
      </c>
      <c r="BH54" s="165">
        <f t="shared" si="680"/>
        <v>-8.6861875440558192E-2</v>
      </c>
      <c r="BI54" s="46">
        <f t="shared" ref="BI54" si="681">BI53/BI50</f>
        <v>-0.10762032700529404</v>
      </c>
      <c r="BJ54" s="13">
        <f t="shared" ref="BJ54:BK54" si="682">BJ53/BJ50</f>
        <v>-1</v>
      </c>
      <c r="BK54" s="52">
        <f t="shared" si="682"/>
        <v>-9.4083144171711167E-2</v>
      </c>
      <c r="BM54" s="165" t="e">
        <f t="shared" ref="BM54" si="683">BM53/BM50</f>
        <v>#DIV/0!</v>
      </c>
    </row>
    <row r="55" spans="1:65" ht="15.75" x14ac:dyDescent="0.25">
      <c r="A55" s="130"/>
      <c r="B55" s="5" t="s">
        <v>134</v>
      </c>
      <c r="C55" s="11">
        <f>C52-C51</f>
        <v>-22596</v>
      </c>
      <c r="D55" s="11">
        <f t="shared" ref="D55:BK55" si="684">D52-D51</f>
        <v>-2768</v>
      </c>
      <c r="E55" s="11">
        <f t="shared" si="684"/>
        <v>98</v>
      </c>
      <c r="F55" s="11">
        <f t="shared" si="684"/>
        <v>-1447</v>
      </c>
      <c r="G55" s="11">
        <f t="shared" si="684"/>
        <v>-973</v>
      </c>
      <c r="H55" s="11">
        <f t="shared" si="684"/>
        <v>0</v>
      </c>
      <c r="I55" s="11">
        <f t="shared" si="684"/>
        <v>0</v>
      </c>
      <c r="J55" s="11">
        <f t="shared" si="684"/>
        <v>-963</v>
      </c>
      <c r="K55" s="11">
        <f t="shared" si="684"/>
        <v>31</v>
      </c>
      <c r="L55" s="11">
        <f t="shared" si="684"/>
        <v>-2192</v>
      </c>
      <c r="M55" s="11">
        <f t="shared" si="684"/>
        <v>-2260</v>
      </c>
      <c r="N55" s="11">
        <f t="shared" si="684"/>
        <v>7</v>
      </c>
      <c r="O55" s="11">
        <f t="shared" si="684"/>
        <v>284</v>
      </c>
      <c r="P55" s="11">
        <f t="shared" si="684"/>
        <v>5673</v>
      </c>
      <c r="Q55" s="11">
        <f t="shared" si="684"/>
        <v>0</v>
      </c>
      <c r="R55" s="11">
        <f t="shared" si="684"/>
        <v>302</v>
      </c>
      <c r="S55" s="11">
        <f t="shared" si="684"/>
        <v>0</v>
      </c>
      <c r="T55" s="11">
        <f t="shared" si="684"/>
        <v>0</v>
      </c>
      <c r="U55" s="11">
        <f t="shared" ref="U55" si="685">U52-U51</f>
        <v>0</v>
      </c>
      <c r="V55" s="9">
        <f t="shared" si="684"/>
        <v>-34968</v>
      </c>
      <c r="W55" s="11">
        <f t="shared" si="684"/>
        <v>0</v>
      </c>
      <c r="X55" s="11">
        <f t="shared" si="684"/>
        <v>0</v>
      </c>
      <c r="Y55" s="11">
        <f t="shared" si="684"/>
        <v>3587</v>
      </c>
      <c r="Z55" s="11">
        <f t="shared" si="684"/>
        <v>470</v>
      </c>
      <c r="AA55" s="11">
        <f t="shared" si="684"/>
        <v>230</v>
      </c>
      <c r="AB55" s="11">
        <f t="shared" ref="AB55" si="686">AB52-AB51</f>
        <v>0</v>
      </c>
      <c r="AC55" s="10">
        <f t="shared" ref="AC55:AD55" si="687">AC52-AC51</f>
        <v>0</v>
      </c>
      <c r="AD55" s="11">
        <f t="shared" si="687"/>
        <v>-57485</v>
      </c>
      <c r="AE55" s="11">
        <f t="shared" si="684"/>
        <v>16</v>
      </c>
      <c r="AF55" s="11">
        <f t="shared" si="684"/>
        <v>-4309</v>
      </c>
      <c r="AG55" s="11">
        <f t="shared" si="684"/>
        <v>-418</v>
      </c>
      <c r="AH55" s="11">
        <f t="shared" si="684"/>
        <v>-18</v>
      </c>
      <c r="AI55" s="11">
        <f t="shared" si="684"/>
        <v>0</v>
      </c>
      <c r="AJ55" s="11">
        <f t="shared" si="684"/>
        <v>68</v>
      </c>
      <c r="AK55" s="11">
        <f t="shared" si="684"/>
        <v>29136</v>
      </c>
      <c r="AL55" s="11">
        <f t="shared" si="684"/>
        <v>-35567</v>
      </c>
      <c r="AM55" s="11">
        <f t="shared" si="684"/>
        <v>0</v>
      </c>
      <c r="AN55" s="11">
        <f t="shared" si="684"/>
        <v>70</v>
      </c>
      <c r="AO55" s="9">
        <f t="shared" si="684"/>
        <v>-20495</v>
      </c>
      <c r="AP55" s="11">
        <f t="shared" si="684"/>
        <v>2195</v>
      </c>
      <c r="AQ55" s="10">
        <f t="shared" si="684"/>
        <v>-1518</v>
      </c>
      <c r="AR55" s="11">
        <f t="shared" si="684"/>
        <v>0</v>
      </c>
      <c r="AS55" s="11">
        <f t="shared" si="684"/>
        <v>0</v>
      </c>
      <c r="AT55" s="11">
        <f t="shared" si="684"/>
        <v>0</v>
      </c>
      <c r="AU55" s="11">
        <f t="shared" si="684"/>
        <v>0</v>
      </c>
      <c r="AV55" s="11">
        <f t="shared" si="684"/>
        <v>0</v>
      </c>
      <c r="AW55" s="11">
        <f t="shared" si="684"/>
        <v>0</v>
      </c>
      <c r="AX55" s="11">
        <f t="shared" si="684"/>
        <v>0</v>
      </c>
      <c r="AY55" s="11">
        <f t="shared" si="684"/>
        <v>0</v>
      </c>
      <c r="AZ55" s="11">
        <f t="shared" si="684"/>
        <v>0</v>
      </c>
      <c r="BA55" s="11">
        <f t="shared" si="684"/>
        <v>0</v>
      </c>
      <c r="BB55" s="10">
        <f t="shared" si="684"/>
        <v>0</v>
      </c>
      <c r="BC55" s="11">
        <f t="shared" si="684"/>
        <v>-1641</v>
      </c>
      <c r="BD55" s="11">
        <f t="shared" si="684"/>
        <v>-1641</v>
      </c>
      <c r="BE55" s="11">
        <f t="shared" si="684"/>
        <v>0</v>
      </c>
      <c r="BF55" s="11">
        <f t="shared" si="684"/>
        <v>-2025</v>
      </c>
      <c r="BG55" s="11">
        <f t="shared" si="684"/>
        <v>-46684</v>
      </c>
      <c r="BH55" s="9">
        <f t="shared" si="684"/>
        <v>-82831</v>
      </c>
      <c r="BI55" s="45">
        <f t="shared" si="684"/>
        <v>-140316</v>
      </c>
      <c r="BJ55" s="11">
        <f t="shared" si="684"/>
        <v>851</v>
      </c>
      <c r="BK55" s="51">
        <f t="shared" si="684"/>
        <v>-141167</v>
      </c>
      <c r="BM55" s="30">
        <f t="shared" si="572"/>
        <v>-83682</v>
      </c>
    </row>
    <row r="56" spans="1:65" ht="15.75" x14ac:dyDescent="0.25">
      <c r="A56" s="130"/>
      <c r="B56" s="5" t="s">
        <v>135</v>
      </c>
      <c r="C56" s="13">
        <f>C55/C51</f>
        <v>-5.4827360298934799E-2</v>
      </c>
      <c r="D56" s="13">
        <f t="shared" ref="D56" si="688">D55/D51</f>
        <v>-4.0367507656409507E-2</v>
      </c>
      <c r="E56" s="13">
        <f t="shared" ref="E56" si="689">E55/E51</f>
        <v>1.6065573770491803</v>
      </c>
      <c r="F56" s="13">
        <f t="shared" ref="F56" si="690">F55/F51</f>
        <v>-4.4281910824127059E-2</v>
      </c>
      <c r="G56" s="13">
        <f t="shared" ref="G56" si="691">G55/G51</f>
        <v>-4.304167035300363E-2</v>
      </c>
      <c r="H56" s="13" t="e">
        <f t="shared" ref="H56" si="692">H55/H51</f>
        <v>#DIV/0!</v>
      </c>
      <c r="I56" s="13" t="e">
        <f t="shared" ref="I56" si="693">I55/I51</f>
        <v>#DIV/0!</v>
      </c>
      <c r="J56" s="13">
        <f t="shared" ref="J56" si="694">J55/J51</f>
        <v>-0.7728731942215088</v>
      </c>
      <c r="K56" s="13" t="e">
        <f t="shared" ref="K56" si="695">K55/K51</f>
        <v>#DIV/0!</v>
      </c>
      <c r="L56" s="13">
        <f t="shared" ref="L56" si="696">L55/L51</f>
        <v>-0.38075386486017021</v>
      </c>
      <c r="M56" s="13">
        <f t="shared" ref="M56" si="697">M55/M51</f>
        <v>-0.40647482014388492</v>
      </c>
      <c r="N56" s="13">
        <f t="shared" ref="N56" si="698">N55/N51</f>
        <v>0.53846153846153844</v>
      </c>
      <c r="O56" s="13">
        <f t="shared" ref="O56" si="699">O55/O51</f>
        <v>0.53183520599250933</v>
      </c>
      <c r="P56" s="13">
        <f t="shared" ref="P56" si="700">P55/P51</f>
        <v>0.16679897680162301</v>
      </c>
      <c r="Q56" s="13" t="e">
        <f t="shared" ref="Q56" si="701">Q55/Q51</f>
        <v>#DIV/0!</v>
      </c>
      <c r="R56" s="13">
        <f t="shared" ref="R56" si="702">R55/R51</f>
        <v>1.9113924050632911</v>
      </c>
      <c r="S56" s="13" t="e">
        <f t="shared" ref="S56" si="703">S55/S51</f>
        <v>#DIV/0!</v>
      </c>
      <c r="T56" s="13" t="e">
        <f t="shared" ref="T56:U56" si="704">T55/T51</f>
        <v>#DIV/0!</v>
      </c>
      <c r="U56" s="13" t="e">
        <f t="shared" si="704"/>
        <v>#DIV/0!</v>
      </c>
      <c r="V56" s="165">
        <f t="shared" ref="V56" si="705">V55/V51</f>
        <v>-0.93665122010017943</v>
      </c>
      <c r="W56" s="13" t="e">
        <f t="shared" ref="W56" si="706">W55/W51</f>
        <v>#DIV/0!</v>
      </c>
      <c r="X56" s="13" t="e">
        <f t="shared" ref="X56" si="707">X55/X51</f>
        <v>#DIV/0!</v>
      </c>
      <c r="Y56" s="13">
        <f t="shared" ref="Y56" si="708">Y55/Y51</f>
        <v>2.5917630057803467</v>
      </c>
      <c r="Z56" s="13">
        <f t="shared" ref="Z56" si="709">Z55/Z51</f>
        <v>22.38095238095238</v>
      </c>
      <c r="AA56" s="13">
        <f t="shared" ref="AA56:AD56" si="710">AA55/AA51</f>
        <v>8.2142857142857135</v>
      </c>
      <c r="AB56" s="13" t="e">
        <f t="shared" ref="AB56" si="711">AB55/AB51</f>
        <v>#DIV/0!</v>
      </c>
      <c r="AC56" s="14" t="e">
        <f t="shared" si="710"/>
        <v>#DIV/0!</v>
      </c>
      <c r="AD56" s="13">
        <f t="shared" si="710"/>
        <v>-9.2406392011432442E-2</v>
      </c>
      <c r="AE56" s="13">
        <f t="shared" ref="AE56" si="712">AE55/AE51</f>
        <v>4.9230769230769231E-2</v>
      </c>
      <c r="AF56" s="13">
        <f t="shared" ref="AF56" si="713">AF55/AF51</f>
        <v>-0.90468192315767371</v>
      </c>
      <c r="AG56" s="13">
        <f t="shared" ref="AG56" si="714">AG55/AG51</f>
        <v>-0.27755644090305442</v>
      </c>
      <c r="AH56" s="13">
        <f t="shared" ref="AH56" si="715">AH55/AH51</f>
        <v>-1</v>
      </c>
      <c r="AI56" s="13" t="e">
        <f t="shared" ref="AI56" si="716">AI55/AI51</f>
        <v>#DIV/0!</v>
      </c>
      <c r="AJ56" s="13" t="e">
        <f t="shared" ref="AJ56" si="717">AJ55/AJ51</f>
        <v>#DIV/0!</v>
      </c>
      <c r="AK56" s="13">
        <f t="shared" ref="AK56" si="718">AK55/AK51</f>
        <v>0.50082508250825086</v>
      </c>
      <c r="AL56" s="13">
        <f t="shared" ref="AL56" si="719">AL55/AL51</f>
        <v>-0.66059322820898569</v>
      </c>
      <c r="AM56" s="13" t="e">
        <f t="shared" ref="AM56" si="720">AM55/AM51</f>
        <v>#DIV/0!</v>
      </c>
      <c r="AN56" s="13">
        <f t="shared" ref="AN56" si="721">AN55/AN51</f>
        <v>0.29166666666666669</v>
      </c>
      <c r="AO56" s="165">
        <f t="shared" ref="AO56" si="722">AO55/AO51</f>
        <v>-0.15917581180052345</v>
      </c>
      <c r="AP56" s="13">
        <f t="shared" ref="AP56" si="723">AP55/AP51</f>
        <v>0.23183354457118716</v>
      </c>
      <c r="AQ56" s="14">
        <f t="shared" ref="AQ56" si="724">AQ55/AQ51</f>
        <v>-0.17148666967916856</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t="e">
        <f t="shared" ref="AX56" si="731">AX55/AX51</f>
        <v>#DIV/0!</v>
      </c>
      <c r="AY56" s="13" t="e">
        <f t="shared" ref="AY56" si="732">AY55/AY51</f>
        <v>#DIV/0!</v>
      </c>
      <c r="AZ56" s="13" t="e">
        <f t="shared" ref="AZ56" si="733">AZ55/AZ51</f>
        <v>#DIV/0!</v>
      </c>
      <c r="BA56" s="13" t="e">
        <f t="shared" ref="BA56" si="734">BA55/BA51</f>
        <v>#DIV/0!</v>
      </c>
      <c r="BB56" s="14" t="e">
        <f t="shared" ref="BB56" si="735">BB55/BB51</f>
        <v>#DIV/0!</v>
      </c>
      <c r="BC56" s="13">
        <f t="shared" ref="BC56" si="736">BC55/BC51</f>
        <v>-0.37354882768040065</v>
      </c>
      <c r="BD56" s="13">
        <f t="shared" ref="BD56" si="737">BD55/BD51</f>
        <v>-0.37354882768040065</v>
      </c>
      <c r="BE56" s="13" t="e">
        <f t="shared" ref="BE56" si="738">BE55/BE51</f>
        <v>#DIV/0!</v>
      </c>
      <c r="BF56" s="13">
        <f t="shared" ref="BF56" si="739">BF55/BF51</f>
        <v>-0.1674660932848164</v>
      </c>
      <c r="BG56" s="13">
        <f t="shared" ref="BG56:BH56" si="740">BG55/BG51</f>
        <v>-0.54928168864938642</v>
      </c>
      <c r="BH56" s="165">
        <f t="shared" si="740"/>
        <v>-0.22277476702123367</v>
      </c>
      <c r="BI56" s="46">
        <f t="shared" ref="BI56" si="741">BI55/BI51</f>
        <v>-0.14117661263059611</v>
      </c>
      <c r="BJ56" s="13">
        <f t="shared" ref="BJ56:BK56" si="742">BJ55/BJ51</f>
        <v>-1</v>
      </c>
      <c r="BK56" s="52">
        <f t="shared" si="742"/>
        <v>-0.14191132489909575</v>
      </c>
      <c r="BM56" s="14">
        <f t="shared" ref="BM56" si="743">BM55/BM51</f>
        <v>-0.22454959668979729</v>
      </c>
    </row>
    <row r="57" spans="1:65" ht="15.75" x14ac:dyDescent="0.25">
      <c r="A57" s="130"/>
      <c r="B57" s="5" t="s">
        <v>296</v>
      </c>
      <c r="C57" s="128">
        <f>C52/C49</f>
        <v>0.15966628355568527</v>
      </c>
      <c r="D57" s="128">
        <f t="shared" ref="D57:BK57" si="744">D52/D49</f>
        <v>0.15864619598237104</v>
      </c>
      <c r="E57" s="128">
        <f t="shared" si="744"/>
        <v>1.3442792042543477E-3</v>
      </c>
      <c r="F57" s="128">
        <f t="shared" si="744"/>
        <v>0.14631266778169758</v>
      </c>
      <c r="G57" s="128">
        <f t="shared" si="744"/>
        <v>0.14464138857872602</v>
      </c>
      <c r="H57" s="128" t="e">
        <f t="shared" si="744"/>
        <v>#DIV/0!</v>
      </c>
      <c r="I57" s="128" t="e">
        <f t="shared" si="744"/>
        <v>#DIV/0!</v>
      </c>
      <c r="J57" s="128">
        <f t="shared" si="744"/>
        <v>9.7117364447494858E-2</v>
      </c>
      <c r="K57" s="128">
        <f t="shared" si="744"/>
        <v>2.2095509622238062E-2</v>
      </c>
      <c r="L57" s="128">
        <f t="shared" si="744"/>
        <v>9.7885777045579353E-2</v>
      </c>
      <c r="M57" s="128">
        <f t="shared" si="744"/>
        <v>4.0713096045894764E-2</v>
      </c>
      <c r="N57" s="128">
        <f t="shared" si="744"/>
        <v>8.8888888888888892E-2</v>
      </c>
      <c r="O57" s="128">
        <f t="shared" si="744"/>
        <v>6.9968351723548025E-2</v>
      </c>
      <c r="P57" s="128">
        <f t="shared" si="744"/>
        <v>0.22003393326457965</v>
      </c>
      <c r="Q57" s="128" t="e">
        <f t="shared" si="744"/>
        <v>#DIV/0!</v>
      </c>
      <c r="R57" s="128">
        <f t="shared" si="744"/>
        <v>5.2703941338221816E-2</v>
      </c>
      <c r="S57" s="128" t="e">
        <f t="shared" si="744"/>
        <v>#DIV/0!</v>
      </c>
      <c r="T57" s="128" t="e">
        <f t="shared" si="744"/>
        <v>#DIV/0!</v>
      </c>
      <c r="U57" s="128" t="e">
        <f t="shared" si="744"/>
        <v>#DIV/0!</v>
      </c>
      <c r="V57" s="180">
        <f t="shared" si="744"/>
        <v>0.44580584354382657</v>
      </c>
      <c r="W57" s="128" t="e">
        <f t="shared" si="744"/>
        <v>#DIV/0!</v>
      </c>
      <c r="X57" s="128" t="e">
        <f t="shared" si="744"/>
        <v>#DIV/0!</v>
      </c>
      <c r="Y57" s="128">
        <f t="shared" si="744"/>
        <v>1.0558623619371283</v>
      </c>
      <c r="Z57" s="128">
        <f t="shared" si="744"/>
        <v>1.0186721991701244</v>
      </c>
      <c r="AA57" s="128">
        <f t="shared" si="744"/>
        <v>0.37609329446064138</v>
      </c>
      <c r="AB57" s="128">
        <f t="shared" ref="AB57" si="745">AB52/AB49</f>
        <v>0</v>
      </c>
      <c r="AC57" s="228" t="e">
        <f t="shared" si="744"/>
        <v>#DIV/0!</v>
      </c>
      <c r="AD57" s="128">
        <f t="shared" si="744"/>
        <v>0.15366932587654991</v>
      </c>
      <c r="AE57" s="128">
        <f t="shared" si="744"/>
        <v>0.11239288068556361</v>
      </c>
      <c r="AF57" s="128">
        <f t="shared" si="744"/>
        <v>1.8206608918832211E-2</v>
      </c>
      <c r="AG57" s="128">
        <f t="shared" si="744"/>
        <v>0.34160125588697016</v>
      </c>
      <c r="AH57" s="128" t="e">
        <f t="shared" si="744"/>
        <v>#DIV/0!</v>
      </c>
      <c r="AI57" s="128" t="e">
        <f t="shared" si="744"/>
        <v>#DIV/0!</v>
      </c>
      <c r="AJ57" s="128">
        <f t="shared" si="744"/>
        <v>0.79069767441860461</v>
      </c>
      <c r="AK57" s="128">
        <f t="shared" si="744"/>
        <v>0.29086451174458078</v>
      </c>
      <c r="AL57" s="128">
        <f t="shared" si="744"/>
        <v>5.6225962278083748E-2</v>
      </c>
      <c r="AM57" s="128" t="e">
        <f t="shared" si="744"/>
        <v>#DIV/0!</v>
      </c>
      <c r="AN57" s="128">
        <f t="shared" si="744"/>
        <v>2.044450306667546E-2</v>
      </c>
      <c r="AO57" s="180">
        <f t="shared" si="744"/>
        <v>0.17324553332106479</v>
      </c>
      <c r="AP57" s="128">
        <f t="shared" si="744"/>
        <v>0.14232369702368605</v>
      </c>
      <c r="AQ57" s="228">
        <f t="shared" si="744"/>
        <v>15.943478260869565</v>
      </c>
      <c r="AR57" s="128" t="e">
        <f t="shared" si="744"/>
        <v>#DIV/0!</v>
      </c>
      <c r="AS57" s="128" t="e">
        <f t="shared" si="744"/>
        <v>#DIV/0!</v>
      </c>
      <c r="AT57" s="128" t="e">
        <f t="shared" si="744"/>
        <v>#DIV/0!</v>
      </c>
      <c r="AU57" s="128" t="e">
        <f t="shared" si="744"/>
        <v>#DIV/0!</v>
      </c>
      <c r="AV57" s="128" t="e">
        <f t="shared" si="744"/>
        <v>#DIV/0!</v>
      </c>
      <c r="AW57" s="128">
        <f t="shared" si="744"/>
        <v>0</v>
      </c>
      <c r="AX57" s="128">
        <f t="shared" si="744"/>
        <v>0</v>
      </c>
      <c r="AY57" s="128" t="e">
        <f t="shared" si="744"/>
        <v>#DIV/0!</v>
      </c>
      <c r="AZ57" s="128" t="e">
        <f t="shared" si="744"/>
        <v>#DIV/0!</v>
      </c>
      <c r="BA57" s="128" t="e">
        <f t="shared" si="744"/>
        <v>#DIV/0!</v>
      </c>
      <c r="BB57" s="228" t="e">
        <f t="shared" si="744"/>
        <v>#DIV/0!</v>
      </c>
      <c r="BC57" s="128">
        <f t="shared" si="744"/>
        <v>0.10442437580632921</v>
      </c>
      <c r="BD57" s="128">
        <f t="shared" si="744"/>
        <v>0.10443230115361263</v>
      </c>
      <c r="BE57" s="128" t="e">
        <f t="shared" si="744"/>
        <v>#DIV/0!</v>
      </c>
      <c r="BF57" s="128">
        <f t="shared" si="744"/>
        <v>0.21154937272784585</v>
      </c>
      <c r="BG57" s="128">
        <f t="shared" si="744"/>
        <v>0.13735424465384449</v>
      </c>
      <c r="BH57" s="180">
        <f t="shared" si="744"/>
        <v>0.1643648624206995</v>
      </c>
      <c r="BI57" s="128">
        <f t="shared" si="744"/>
        <v>0.15713095749801881</v>
      </c>
      <c r="BJ57" s="128">
        <f t="shared" si="744"/>
        <v>0</v>
      </c>
      <c r="BK57" s="128">
        <f t="shared" si="744"/>
        <v>0.15965139545436011</v>
      </c>
      <c r="BM57" s="128" t="e">
        <f t="shared" ref="BM57" si="746">BM52/BM49</f>
        <v>#DIV/0!</v>
      </c>
    </row>
    <row r="58" spans="1:65" s="183" customFormat="1" ht="15.75" x14ac:dyDescent="0.25">
      <c r="A58" s="130"/>
      <c r="B58" s="5" t="s">
        <v>297</v>
      </c>
      <c r="C58" s="11">
        <f>C52-C49</f>
        <v>-2050142</v>
      </c>
      <c r="D58" s="11">
        <f t="shared" ref="D58:BM58" si="747">D52-D49</f>
        <v>-348970</v>
      </c>
      <c r="E58" s="11">
        <f t="shared" si="747"/>
        <v>-118120</v>
      </c>
      <c r="F58" s="11">
        <f t="shared" si="747"/>
        <v>-182217</v>
      </c>
      <c r="G58" s="11">
        <f t="shared" si="747"/>
        <v>-127930</v>
      </c>
      <c r="H58" s="11">
        <f t="shared" si="747"/>
        <v>0</v>
      </c>
      <c r="I58" s="11">
        <f t="shared" si="747"/>
        <v>0</v>
      </c>
      <c r="J58" s="11">
        <f t="shared" si="747"/>
        <v>-2631</v>
      </c>
      <c r="K58" s="11">
        <f t="shared" si="747"/>
        <v>-1372</v>
      </c>
      <c r="L58" s="11">
        <f t="shared" si="747"/>
        <v>-32855</v>
      </c>
      <c r="M58" s="11">
        <f t="shared" si="747"/>
        <v>-77755</v>
      </c>
      <c r="N58" s="11">
        <f t="shared" si="747"/>
        <v>-205</v>
      </c>
      <c r="O58" s="11">
        <f t="shared" si="747"/>
        <v>-10873</v>
      </c>
      <c r="P58" s="11">
        <f t="shared" si="747"/>
        <v>-140670</v>
      </c>
      <c r="Q58" s="11">
        <f t="shared" si="747"/>
        <v>0</v>
      </c>
      <c r="R58" s="11">
        <f t="shared" si="747"/>
        <v>-8268</v>
      </c>
      <c r="S58" s="11">
        <f t="shared" si="747"/>
        <v>0</v>
      </c>
      <c r="T58" s="11">
        <f t="shared" si="747"/>
        <v>0</v>
      </c>
      <c r="U58" s="11">
        <f t="shared" si="747"/>
        <v>0</v>
      </c>
      <c r="V58" s="9">
        <f t="shared" si="747"/>
        <v>-2940</v>
      </c>
      <c r="W58" s="11">
        <f t="shared" si="747"/>
        <v>0</v>
      </c>
      <c r="X58" s="11">
        <f t="shared" si="747"/>
        <v>0</v>
      </c>
      <c r="Y58" s="11">
        <f t="shared" si="747"/>
        <v>263</v>
      </c>
      <c r="Z58" s="11">
        <f t="shared" si="747"/>
        <v>9</v>
      </c>
      <c r="AA58" s="11">
        <f t="shared" si="747"/>
        <v>-428</v>
      </c>
      <c r="AB58" s="11">
        <f t="shared" ref="AB58" si="748">AB52-AB49</f>
        <v>-4441</v>
      </c>
      <c r="AC58" s="10">
        <f t="shared" si="747"/>
        <v>0</v>
      </c>
      <c r="AD58" s="11">
        <f t="shared" si="747"/>
        <v>-3109545</v>
      </c>
      <c r="AE58" s="11">
        <f t="shared" si="747"/>
        <v>-2693</v>
      </c>
      <c r="AF58" s="11">
        <f t="shared" si="747"/>
        <v>-24482</v>
      </c>
      <c r="AG58" s="11">
        <f t="shared" si="747"/>
        <v>-2097</v>
      </c>
      <c r="AH58" s="11">
        <f t="shared" si="747"/>
        <v>0</v>
      </c>
      <c r="AI58" s="11">
        <f t="shared" si="747"/>
        <v>0</v>
      </c>
      <c r="AJ58" s="11">
        <f t="shared" si="747"/>
        <v>-18</v>
      </c>
      <c r="AK58" s="11">
        <f t="shared" si="747"/>
        <v>-212869</v>
      </c>
      <c r="AL58" s="11">
        <f t="shared" si="747"/>
        <v>-306736</v>
      </c>
      <c r="AM58" s="11">
        <f t="shared" si="747"/>
        <v>0</v>
      </c>
      <c r="AN58" s="11">
        <f t="shared" si="747"/>
        <v>-14853</v>
      </c>
      <c r="AO58" s="9">
        <f t="shared" si="747"/>
        <v>-516643</v>
      </c>
      <c r="AP58" s="11">
        <f t="shared" si="747"/>
        <v>-70284</v>
      </c>
      <c r="AQ58" s="10">
        <f t="shared" si="747"/>
        <v>6874</v>
      </c>
      <c r="AR58" s="11">
        <f t="shared" si="747"/>
        <v>0</v>
      </c>
      <c r="AS58" s="11">
        <f t="shared" si="747"/>
        <v>0</v>
      </c>
      <c r="AT58" s="11">
        <f t="shared" si="747"/>
        <v>0</v>
      </c>
      <c r="AU58" s="11">
        <f t="shared" si="747"/>
        <v>0</v>
      </c>
      <c r="AV58" s="11">
        <f t="shared" si="747"/>
        <v>0</v>
      </c>
      <c r="AW58" s="11">
        <f t="shared" si="747"/>
        <v>-8</v>
      </c>
      <c r="AX58" s="11">
        <f t="shared" si="747"/>
        <v>-86</v>
      </c>
      <c r="AY58" s="11">
        <f t="shared" si="747"/>
        <v>0</v>
      </c>
      <c r="AZ58" s="11">
        <f t="shared" si="747"/>
        <v>0</v>
      </c>
      <c r="BA58" s="11">
        <f t="shared" si="747"/>
        <v>0</v>
      </c>
      <c r="BB58" s="10">
        <f t="shared" si="747"/>
        <v>0</v>
      </c>
      <c r="BC58" s="11">
        <f t="shared" si="747"/>
        <v>-23602</v>
      </c>
      <c r="BD58" s="11">
        <f t="shared" si="747"/>
        <v>-23600</v>
      </c>
      <c r="BE58" s="11">
        <f t="shared" si="747"/>
        <v>0</v>
      </c>
      <c r="BF58" s="11">
        <f t="shared" si="747"/>
        <v>-37520</v>
      </c>
      <c r="BG58" s="11">
        <f t="shared" si="747"/>
        <v>-240585</v>
      </c>
      <c r="BH58" s="11">
        <f t="shared" si="747"/>
        <v>-1469202</v>
      </c>
      <c r="BI58" s="11">
        <f t="shared" si="747"/>
        <v>-4578747</v>
      </c>
      <c r="BJ58" s="11">
        <f t="shared" si="747"/>
        <v>-85761</v>
      </c>
      <c r="BK58" s="11">
        <f t="shared" si="747"/>
        <v>-4492986</v>
      </c>
      <c r="BL58" s="11">
        <f t="shared" si="747"/>
        <v>853584</v>
      </c>
      <c r="BM58" s="11">
        <f t="shared" si="747"/>
        <v>288984</v>
      </c>
    </row>
    <row r="59" spans="1:65" s="183" customFormat="1" ht="15.75" x14ac:dyDescent="0.2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ht="15.75" x14ac:dyDescent="0.25">
      <c r="A60" s="15" t="s">
        <v>140</v>
      </c>
      <c r="B60" s="11" t="s">
        <v>301</v>
      </c>
      <c r="C60" s="122">
        <v>4471179</v>
      </c>
      <c r="D60" s="122">
        <v>951403</v>
      </c>
      <c r="E60" s="122">
        <v>127709</v>
      </c>
      <c r="F60" s="122">
        <v>762898</v>
      </c>
      <c r="G60" s="122">
        <v>258171</v>
      </c>
      <c r="H60" s="122">
        <v>0</v>
      </c>
      <c r="I60" s="122">
        <v>0</v>
      </c>
      <c r="J60" s="122">
        <v>1423981</v>
      </c>
      <c r="K60" s="122">
        <v>51942</v>
      </c>
      <c r="L60" s="122">
        <v>150905</v>
      </c>
      <c r="M60" s="122">
        <v>308464</v>
      </c>
      <c r="N60" s="122">
        <v>645</v>
      </c>
      <c r="O60" s="122">
        <v>7105</v>
      </c>
      <c r="P60" s="122">
        <v>13288</v>
      </c>
      <c r="Q60" s="122">
        <v>0</v>
      </c>
      <c r="R60" s="122">
        <v>8777</v>
      </c>
      <c r="S60" s="122">
        <v>0</v>
      </c>
      <c r="T60" s="122">
        <v>0</v>
      </c>
      <c r="U60" s="122"/>
      <c r="V60" s="195">
        <v>0</v>
      </c>
      <c r="W60" s="122">
        <v>0</v>
      </c>
      <c r="X60" s="122">
        <v>0</v>
      </c>
      <c r="Y60" s="122">
        <v>764</v>
      </c>
      <c r="Z60" s="122">
        <v>248</v>
      </c>
      <c r="AA60" s="122">
        <v>4112</v>
      </c>
      <c r="AB60" s="122">
        <v>8148</v>
      </c>
      <c r="AC60" s="154">
        <v>0</v>
      </c>
      <c r="AD60" s="123">
        <f t="shared" ref="AD60" si="749">SUM(C60:AC60)</f>
        <v>8549739</v>
      </c>
      <c r="AE60" s="122">
        <v>2890</v>
      </c>
      <c r="AF60" s="122">
        <v>48</v>
      </c>
      <c r="AG60" s="122">
        <v>3914</v>
      </c>
      <c r="AH60" s="122">
        <v>0</v>
      </c>
      <c r="AI60" s="122">
        <v>0</v>
      </c>
      <c r="AJ60" s="122">
        <v>344</v>
      </c>
      <c r="AK60" s="122">
        <v>89585</v>
      </c>
      <c r="AL60" s="122">
        <v>59416</v>
      </c>
      <c r="AM60" s="122">
        <v>678059</v>
      </c>
      <c r="AN60" s="122">
        <v>14635</v>
      </c>
      <c r="AO60" s="195">
        <v>454981</v>
      </c>
      <c r="AP60" s="122">
        <v>1440</v>
      </c>
      <c r="AQ60" s="154">
        <v>0</v>
      </c>
      <c r="AR60" s="122">
        <v>0</v>
      </c>
      <c r="AS60" s="122"/>
      <c r="AT60" s="122"/>
      <c r="AU60" s="122">
        <v>0</v>
      </c>
      <c r="AV60" s="122"/>
      <c r="AW60" s="122">
        <v>1252</v>
      </c>
      <c r="AX60" s="122">
        <v>448</v>
      </c>
      <c r="AY60" s="122">
        <v>0</v>
      </c>
      <c r="AZ60" s="122">
        <v>0</v>
      </c>
      <c r="BA60" s="122">
        <v>0</v>
      </c>
      <c r="BB60" s="154">
        <v>0</v>
      </c>
      <c r="BC60" s="122">
        <v>21909</v>
      </c>
      <c r="BD60" s="122">
        <v>21909</v>
      </c>
      <c r="BE60" s="122">
        <v>0</v>
      </c>
      <c r="BF60" s="122">
        <v>22869</v>
      </c>
      <c r="BG60" s="122">
        <v>2</v>
      </c>
      <c r="BH60" s="9">
        <f>SUM(AE60:BG60)</f>
        <v>1373701</v>
      </c>
      <c r="BI60" s="127">
        <f>AD60+BH60</f>
        <v>9923440</v>
      </c>
      <c r="BJ60" s="98">
        <v>27610</v>
      </c>
      <c r="BK60" s="51">
        <f t="shared" ref="BK60" si="750">BI60-BJ60</f>
        <v>9895830</v>
      </c>
      <c r="BL60">
        <v>6</v>
      </c>
      <c r="BM60" s="30"/>
    </row>
    <row r="61" spans="1:65" s="217" customFormat="1" ht="15.75" x14ac:dyDescent="0.25">
      <c r="A61" s="130" t="s">
        <v>140</v>
      </c>
      <c r="B61" s="196" t="s">
        <v>320</v>
      </c>
      <c r="C61" s="9">
        <v>804812.22</v>
      </c>
      <c r="D61" s="9">
        <v>171252.54</v>
      </c>
      <c r="E61" s="9">
        <v>0</v>
      </c>
      <c r="F61" s="9">
        <v>137321.64000000001</v>
      </c>
      <c r="G61" s="9">
        <v>46470.78</v>
      </c>
      <c r="H61" s="9">
        <v>0</v>
      </c>
      <c r="I61" s="9">
        <v>0</v>
      </c>
      <c r="J61" s="9">
        <v>256316.58000000002</v>
      </c>
      <c r="K61" s="9">
        <v>9349.5600000000013</v>
      </c>
      <c r="L61" s="9">
        <v>27162.9</v>
      </c>
      <c r="M61" s="9">
        <v>55523.520000000004</v>
      </c>
      <c r="N61" s="9">
        <v>116.1</v>
      </c>
      <c r="O61" s="9">
        <v>1278.9000000000001</v>
      </c>
      <c r="P61" s="9">
        <v>2391.84</v>
      </c>
      <c r="Q61" s="9">
        <v>0</v>
      </c>
      <c r="R61" s="9">
        <v>1579.8600000000001</v>
      </c>
      <c r="S61" s="9">
        <v>0</v>
      </c>
      <c r="T61" s="9">
        <v>0</v>
      </c>
      <c r="U61" s="9"/>
      <c r="V61" s="9">
        <v>0</v>
      </c>
      <c r="W61" s="9">
        <v>0</v>
      </c>
      <c r="X61" s="9">
        <v>0</v>
      </c>
      <c r="Y61" s="9">
        <v>137.52000000000001</v>
      </c>
      <c r="Z61" s="9">
        <v>44.64</v>
      </c>
      <c r="AA61" s="9">
        <v>740.16000000000008</v>
      </c>
      <c r="AB61" s="9">
        <v>1466.64</v>
      </c>
      <c r="AC61" s="10">
        <v>0</v>
      </c>
      <c r="AD61" s="123">
        <v>1515965.4</v>
      </c>
      <c r="AE61" s="9">
        <v>520.20000000000005</v>
      </c>
      <c r="AF61" s="9">
        <v>8.64</v>
      </c>
      <c r="AG61" s="9">
        <v>704.52</v>
      </c>
      <c r="AH61" s="9">
        <v>0</v>
      </c>
      <c r="AI61" s="9">
        <v>0</v>
      </c>
      <c r="AJ61" s="9">
        <v>61.92</v>
      </c>
      <c r="AK61" s="9">
        <v>16125.3</v>
      </c>
      <c r="AL61" s="9">
        <v>10694.880000000001</v>
      </c>
      <c r="AM61" s="9">
        <v>122050.62000000001</v>
      </c>
      <c r="AN61" s="9">
        <v>2634.3</v>
      </c>
      <c r="AO61" s="9">
        <v>81896.580000000016</v>
      </c>
      <c r="AP61" s="9">
        <v>259.2</v>
      </c>
      <c r="AQ61" s="10">
        <v>0</v>
      </c>
      <c r="AR61" s="9">
        <v>0</v>
      </c>
      <c r="AS61" s="9"/>
      <c r="AT61" s="9"/>
      <c r="AU61" s="9">
        <v>0</v>
      </c>
      <c r="AV61" s="9"/>
      <c r="AW61" s="9">
        <v>225.36</v>
      </c>
      <c r="AX61" s="9">
        <v>80.640000000000015</v>
      </c>
      <c r="AY61" s="9">
        <v>0</v>
      </c>
      <c r="AZ61" s="9">
        <v>0</v>
      </c>
      <c r="BA61" s="9">
        <v>0</v>
      </c>
      <c r="BB61" s="10">
        <v>0</v>
      </c>
      <c r="BC61" s="9">
        <v>3943.62</v>
      </c>
      <c r="BD61" s="9">
        <v>3943.62</v>
      </c>
      <c r="BE61" s="9">
        <v>0</v>
      </c>
      <c r="BF61" s="9">
        <v>4116.42</v>
      </c>
      <c r="BG61" s="9">
        <v>0.36</v>
      </c>
      <c r="BH61" s="9">
        <v>247266.18000000002</v>
      </c>
      <c r="BI61" s="127">
        <v>1763231.5799999998</v>
      </c>
      <c r="BJ61" s="9">
        <v>4601.666666666667</v>
      </c>
      <c r="BK61" s="51">
        <v>1758629.9133333331</v>
      </c>
      <c r="BM61" s="30"/>
    </row>
    <row r="62" spans="1:65" ht="15.75" x14ac:dyDescent="0.25">
      <c r="A62" s="130"/>
      <c r="B62" s="12" t="s">
        <v>322</v>
      </c>
      <c r="C62" s="9">
        <f>IF('Upto Month COPPY'!$G$4="",0,'Upto Month COPPY'!$G$4)</f>
        <v>735544</v>
      </c>
      <c r="D62" s="9">
        <f>IF('Upto Month COPPY'!$G$5="",0,'Upto Month COPPY'!$G$5)</f>
        <v>151980</v>
      </c>
      <c r="E62" s="9">
        <f>IF('Upto Month COPPY'!$G$6="",0,'Upto Month COPPY'!$G$6)</f>
        <v>89</v>
      </c>
      <c r="F62" s="9">
        <f>IF('Upto Month COPPY'!$G$7="",0,'Upto Month COPPY'!$G$7)</f>
        <v>110921</v>
      </c>
      <c r="G62" s="9">
        <f>IF('Upto Month COPPY'!$G$8="",0,'Upto Month COPPY'!$G$8)</f>
        <v>38717</v>
      </c>
      <c r="H62" s="9">
        <f>IF('Upto Month COPPY'!$G$9="",0,'Upto Month COPPY'!$G$9)</f>
        <v>0</v>
      </c>
      <c r="I62" s="9">
        <f>IF('Upto Month COPPY'!$G$10="",0,'Upto Month COPPY'!$G$10)</f>
        <v>0</v>
      </c>
      <c r="J62" s="9">
        <f>IF('Upto Month COPPY'!$G$11="",0,'Upto Month COPPY'!$G$11)</f>
        <v>229642</v>
      </c>
      <c r="K62" s="9">
        <f>IF('Upto Month COPPY'!$G$12="",0,'Upto Month COPPY'!$G$12)</f>
        <v>2444</v>
      </c>
      <c r="L62" s="9">
        <f>IF('Upto Month COPPY'!$G$13="",0,'Upto Month COPPY'!$G$13)</f>
        <v>31431</v>
      </c>
      <c r="M62" s="9">
        <f>IF('Upto Month COPPY'!$G$14="",0,'Upto Month COPPY'!$G$14)</f>
        <v>39849</v>
      </c>
      <c r="N62" s="9">
        <f>IF('Upto Month COPPY'!$G$15="",0,'Upto Month COPPY'!$G$15)</f>
        <v>26</v>
      </c>
      <c r="O62" s="9">
        <f>IF('Upto Month COPPY'!$G$16="",0,'Upto Month COPPY'!$G$16)</f>
        <v>899</v>
      </c>
      <c r="P62" s="9">
        <f>IF('Upto Month COPPY'!$G$17="",0,'Upto Month COPPY'!$G$17)</f>
        <v>1832</v>
      </c>
      <c r="Q62" s="9">
        <f>IF('Upto Month COPPY'!$G$18="",0,'Upto Month COPPY'!$G$18)</f>
        <v>0</v>
      </c>
      <c r="R62" s="9">
        <f>IF('Upto Month COPPY'!$G$21="",0,'Upto Month COPPY'!$G$21)</f>
        <v>264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105</v>
      </c>
      <c r="Z62" s="9">
        <f>IF('Upto Month COPPY'!$G$43="",0,'Upto Month COPPY'!$G$43)</f>
        <v>25</v>
      </c>
      <c r="AA62" s="9">
        <f>IF('Upto Month COPPY'!$G$44="",0,'Upto Month COPPY'!$G$44)</f>
        <v>29</v>
      </c>
      <c r="AB62" s="9">
        <f>IF('Upto Month COPPY'!$G$48="",0,'Upto Month COPPY'!$G$48)</f>
        <v>0</v>
      </c>
      <c r="AC62" s="10">
        <f>IF('Upto Month COPPY'!$G$51="",0,'Upto Month COPPY'!$G$51)</f>
        <v>0</v>
      </c>
      <c r="AD62" s="123">
        <f t="shared" ref="AD62:AD63" si="751">SUM(C62:AC62)</f>
        <v>1343797</v>
      </c>
      <c r="AE62" s="9">
        <f>IF('Upto Month COPPY'!$G$19="",0,'Upto Month COPPY'!$G$19)</f>
        <v>467</v>
      </c>
      <c r="AF62" s="9">
        <f>IF('Upto Month COPPY'!$G$20="",0,'Upto Month COPPY'!$G$20)</f>
        <v>701</v>
      </c>
      <c r="AG62" s="9">
        <f>IF('Upto Month COPPY'!$G$22="",0,'Upto Month COPPY'!$G$22)</f>
        <v>1268</v>
      </c>
      <c r="AH62" s="9">
        <f>IF('Upto Month COPPY'!$G$23="",0,'Upto Month COPPY'!$G$23)</f>
        <v>0</v>
      </c>
      <c r="AI62" s="9">
        <f>IF('Upto Month COPPY'!$G$24="",0,'Upto Month COPPY'!$G$24)</f>
        <v>0</v>
      </c>
      <c r="AJ62" s="9">
        <f>IF('Upto Month COPPY'!$G$25="",0,'Upto Month COPPY'!$G$25)</f>
        <v>0</v>
      </c>
      <c r="AK62" s="9">
        <f>IF('Upto Month COPPY'!$G$28="",0,'Upto Month COPPY'!$G$28)</f>
        <v>23703</v>
      </c>
      <c r="AL62" s="9">
        <f>IF('Upto Month COPPY'!$G$29="",0,'Upto Month COPPY'!$G$29)</f>
        <v>5946</v>
      </c>
      <c r="AM62" s="9">
        <f>IF('Upto Month COPPY'!$G$31="",0,'Upto Month COPPY'!$G$31)</f>
        <v>45711</v>
      </c>
      <c r="AN62" s="9">
        <f>IF('Upto Month COPPY'!$G$32="",0,'Upto Month COPPY'!$G$32)</f>
        <v>37539</v>
      </c>
      <c r="AO62" s="9">
        <f>IF('Upto Month COPPY'!$G$33="",0,'Upto Month COPPY'!$G$33)</f>
        <v>126512</v>
      </c>
      <c r="AP62" s="9">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4783</v>
      </c>
      <c r="BD62" s="9">
        <f>IF('Upto Month COPPY'!$G$54="",0,'Upto Month COPPY'!$G$54)</f>
        <v>4783</v>
      </c>
      <c r="BE62" s="9">
        <f>IF('Upto Month COPPY'!$G$55="",0,'Upto Month COPPY'!$G$55)</f>
        <v>0</v>
      </c>
      <c r="BF62" s="9">
        <f>IF('Upto Month COPPY'!$G$56="",0,'Upto Month COPPY'!$G$56)</f>
        <v>9056</v>
      </c>
      <c r="BG62" s="9">
        <f>IF('Upto Month COPPY'!$G$58="",0,'Upto Month COPPY'!$G$58)</f>
        <v>156</v>
      </c>
      <c r="BH62" s="9">
        <f>SUM(AE62:BG62)</f>
        <v>260625</v>
      </c>
      <c r="BI62" s="127">
        <f>AD62+BH62</f>
        <v>1604422</v>
      </c>
      <c r="BJ62" s="9">
        <f>IF('Upto Month COPPY'!$G$60="",0,'Upto Month COPPY'!$G$60)</f>
        <v>3567</v>
      </c>
      <c r="BK62" s="51">
        <f t="shared" ref="BK62:BK63" si="752">BI62-BJ62</f>
        <v>1600855</v>
      </c>
      <c r="BL62">
        <f>'Upto Month COPPY'!$G$61</f>
        <v>1600856</v>
      </c>
      <c r="BM62" s="30">
        <f t="shared" ref="BM62:BM66" si="753">BK62-AD62</f>
        <v>257058</v>
      </c>
    </row>
    <row r="63" spans="1:65" ht="15.75" x14ac:dyDescent="0.25">
      <c r="A63" s="130"/>
      <c r="B63" s="185" t="s">
        <v>323</v>
      </c>
      <c r="C63" s="9">
        <f>IF('Upto Month Current'!$G$4="",0,'Upto Month Current'!$G$4)</f>
        <v>818936</v>
      </c>
      <c r="D63" s="9">
        <f>IF('Upto Month Current'!$G$5="",0,'Upto Month Current'!$G$5)</f>
        <v>169414</v>
      </c>
      <c r="E63" s="9">
        <f>IF('Upto Month Current'!$G$6="",0,'Upto Month Current'!$G$6)</f>
        <v>308</v>
      </c>
      <c r="F63" s="9">
        <f>IF('Upto Month Current'!$G$7="",0,'Upto Month Current'!$G$7)</f>
        <v>124435</v>
      </c>
      <c r="G63" s="9">
        <f>IF('Upto Month Current'!$G$8="",0,'Upto Month Current'!$G$8)</f>
        <v>42698</v>
      </c>
      <c r="H63" s="9">
        <f>IF('Upto Month Current'!$G$9="",0,'Upto Month Current'!$G$9)</f>
        <v>0</v>
      </c>
      <c r="I63" s="9">
        <f>IF('Upto Month Current'!$G$10="",0,'Upto Month Current'!$G$10)</f>
        <v>0</v>
      </c>
      <c r="J63" s="9">
        <f>IF('Upto Month Current'!$G$11="",0,'Upto Month Current'!$G$11)</f>
        <v>248805</v>
      </c>
      <c r="K63" s="9">
        <f>IF('Upto Month Current'!$G$12="",0,'Upto Month Current'!$G$12)</f>
        <v>450</v>
      </c>
      <c r="L63" s="9">
        <f>IF('Upto Month Current'!$G$13="",0,'Upto Month Current'!$G$13)</f>
        <v>13992</v>
      </c>
      <c r="M63" s="9">
        <f>IF('Upto Month Current'!$G$14="",0,'Upto Month Current'!$G$14)</f>
        <v>45963</v>
      </c>
      <c r="N63" s="9">
        <f>IF('Upto Month Current'!$G$15="",0,'Upto Month Current'!$G$15)</f>
        <v>7</v>
      </c>
      <c r="O63" s="9">
        <f>IF('Upto Month Current'!$G$16="",0,'Upto Month Current'!$G$16)</f>
        <v>666</v>
      </c>
      <c r="P63" s="9">
        <f>IF('Upto Month Current'!$G$17="",0,'Upto Month Current'!$G$17)</f>
        <v>3070</v>
      </c>
      <c r="Q63" s="9">
        <f>IF('Upto Month Current'!$G$18="",0,'Upto Month Current'!$G$18)</f>
        <v>0</v>
      </c>
      <c r="R63" s="9">
        <f>IF('Upto Month Current'!$G$21="",0,'Upto Month Current'!$G$21)</f>
        <v>964</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1108</v>
      </c>
      <c r="Z63" s="9">
        <f>IF('Upto Month Current'!$G$43="",0,'Upto Month Current'!$G$43)</f>
        <v>148</v>
      </c>
      <c r="AA63" s="9">
        <f>IF('Upto Month Current'!$G$44="",0,'Upto Month Current'!$G$44)</f>
        <v>376</v>
      </c>
      <c r="AB63" s="9">
        <f>IF('Upto Month Current'!$G$48="",0,'Upto Month Current'!$G$48)</f>
        <v>0</v>
      </c>
      <c r="AC63" s="10">
        <f>IF('Upto Month Current'!$G$51="",0,'Upto Month Current'!$G$51)</f>
        <v>0</v>
      </c>
      <c r="AD63" s="123">
        <f t="shared" si="751"/>
        <v>1471340</v>
      </c>
      <c r="AE63" s="9">
        <f>IF('Upto Month Current'!$G$19="",0,'Upto Month Current'!$G$19)</f>
        <v>519</v>
      </c>
      <c r="AF63" s="9">
        <f>IF('Upto Month Current'!$G$20="",0,'Upto Month Current'!$G$20)</f>
        <v>357</v>
      </c>
      <c r="AG63" s="9">
        <f>IF('Upto Month Current'!$G$22="",0,'Upto Month Current'!$G$22)</f>
        <v>1168</v>
      </c>
      <c r="AH63" s="9">
        <f>IF('Upto Month Current'!$G$23="",0,'Upto Month Current'!$G$23)</f>
        <v>0</v>
      </c>
      <c r="AI63" s="9">
        <f>IF('Upto Month Current'!$G$24="",0,'Upto Month Current'!$G$24)</f>
        <v>0</v>
      </c>
      <c r="AJ63" s="9">
        <f>IF('Upto Month Current'!$G$25="",0,'Upto Month Current'!$G$25)</f>
        <v>0</v>
      </c>
      <c r="AK63" s="9">
        <f>IF('Upto Month Current'!$G$28="",0,'Upto Month Current'!$G$28)</f>
        <v>7352</v>
      </c>
      <c r="AL63" s="9">
        <f>IF('Upto Month Current'!$G$29="",0,'Upto Month Current'!$G$29)</f>
        <v>2505</v>
      </c>
      <c r="AM63" s="9">
        <f>IF('Upto Month Current'!$G$31="",0,'Upto Month Current'!$G$31)</f>
        <v>140292</v>
      </c>
      <c r="AN63" s="9">
        <f>IF('Upto Month Current'!$G$32="",0,'Upto Month Current'!$G$32)</f>
        <v>11892</v>
      </c>
      <c r="AO63" s="9">
        <f>IF('Upto Month Current'!$G$33="",0,'Upto Month Current'!$G$33)</f>
        <v>62088</v>
      </c>
      <c r="AP63" s="9">
        <f>IF('Upto Month Current'!$G$34="",0,'Upto Month Current'!$G$34)</f>
        <v>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3857</v>
      </c>
      <c r="BD63" s="9">
        <f>IF('Upto Month Current'!$G$54="",0,'Upto Month Current'!$G$54)</f>
        <v>3857</v>
      </c>
      <c r="BE63" s="9">
        <f>IF('Upto Month Current'!$G$55="",0,'Upto Month Current'!$G$55)</f>
        <v>0</v>
      </c>
      <c r="BF63" s="9">
        <f>IF('Upto Month Current'!$G$56="",0,'Upto Month Current'!$G$56)</f>
        <v>2482</v>
      </c>
      <c r="BG63" s="9">
        <f>IF('Upto Month Current'!$G$58="",0,'Upto Month Current'!$G$58)</f>
        <v>0</v>
      </c>
      <c r="BH63" s="9">
        <f>SUM(AE63:BG63)</f>
        <v>236369</v>
      </c>
      <c r="BI63" s="127">
        <f>AD63+BH63</f>
        <v>1707709</v>
      </c>
      <c r="BJ63" s="9">
        <f>IF('Upto Month Current'!$G$60="",0,'Upto Month Current'!$G$60)</f>
        <v>923</v>
      </c>
      <c r="BK63" s="51">
        <f t="shared" si="752"/>
        <v>1706786</v>
      </c>
      <c r="BL63">
        <f>'Upto Month Current'!$G$61</f>
        <v>1706786</v>
      </c>
      <c r="BM63" s="30">
        <f t="shared" si="753"/>
        <v>235446</v>
      </c>
    </row>
    <row r="64" spans="1:65" ht="15.75" x14ac:dyDescent="0.25">
      <c r="A64" s="130"/>
      <c r="B64" s="5" t="s">
        <v>132</v>
      </c>
      <c r="C64" s="11">
        <f>C63-C61</f>
        <v>14123.780000000028</v>
      </c>
      <c r="D64" s="11">
        <f t="shared" ref="D64" si="754">D63-D61</f>
        <v>-1838.5400000000081</v>
      </c>
      <c r="E64" s="11">
        <f t="shared" ref="E64" si="755">E63-E61</f>
        <v>308</v>
      </c>
      <c r="F64" s="11">
        <f t="shared" ref="F64" si="756">F63-F61</f>
        <v>-12886.640000000014</v>
      </c>
      <c r="G64" s="11">
        <f t="shared" ref="G64" si="757">G63-G61</f>
        <v>-3772.7799999999988</v>
      </c>
      <c r="H64" s="11">
        <f t="shared" ref="H64" si="758">H63-H61</f>
        <v>0</v>
      </c>
      <c r="I64" s="11">
        <f t="shared" ref="I64" si="759">I63-I61</f>
        <v>0</v>
      </c>
      <c r="J64" s="11">
        <f t="shared" ref="J64" si="760">J63-J61</f>
        <v>-7511.5800000000163</v>
      </c>
      <c r="K64" s="11">
        <f t="shared" ref="K64" si="761">K63-K61</f>
        <v>-8899.5600000000013</v>
      </c>
      <c r="L64" s="11">
        <f t="shared" ref="L64" si="762">L63-L61</f>
        <v>-13170.900000000001</v>
      </c>
      <c r="M64" s="11">
        <f t="shared" ref="M64" si="763">M63-M61</f>
        <v>-9560.5200000000041</v>
      </c>
      <c r="N64" s="11">
        <f t="shared" ref="N64" si="764">N63-N61</f>
        <v>-109.1</v>
      </c>
      <c r="O64" s="11">
        <f t="shared" ref="O64" si="765">O63-O61</f>
        <v>-612.90000000000009</v>
      </c>
      <c r="P64" s="11">
        <f t="shared" ref="P64" si="766">P63-P61</f>
        <v>678.15999999999985</v>
      </c>
      <c r="Q64" s="11">
        <f t="shared" ref="Q64" si="767">Q63-Q61</f>
        <v>0</v>
      </c>
      <c r="R64" s="11">
        <f t="shared" ref="R64" si="768">R63-R61</f>
        <v>-615.86000000000013</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970.48</v>
      </c>
      <c r="Z64" s="11">
        <f t="shared" ref="Z64" si="775">Z63-Z61</f>
        <v>103.36</v>
      </c>
      <c r="AA64" s="11">
        <f t="shared" ref="AA64:AD64" si="776">AA63-AA61</f>
        <v>-364.16000000000008</v>
      </c>
      <c r="AB64" s="11">
        <f t="shared" ref="AB64" si="777">AB63-AB61</f>
        <v>-1466.64</v>
      </c>
      <c r="AC64" s="10">
        <f t="shared" si="776"/>
        <v>0</v>
      </c>
      <c r="AD64" s="11">
        <f t="shared" si="776"/>
        <v>-44625.399999999907</v>
      </c>
      <c r="AE64" s="11">
        <f t="shared" ref="AE64" si="778">AE63-AE61</f>
        <v>-1.2000000000000455</v>
      </c>
      <c r="AF64" s="11">
        <f t="shared" ref="AF64" si="779">AF63-AF61</f>
        <v>348.36</v>
      </c>
      <c r="AG64" s="11">
        <f t="shared" ref="AG64" si="780">AG63-AG61</f>
        <v>463.48</v>
      </c>
      <c r="AH64" s="11">
        <f t="shared" ref="AH64" si="781">AH63-AH61</f>
        <v>0</v>
      </c>
      <c r="AI64" s="11">
        <f t="shared" ref="AI64" si="782">AI63-AI61</f>
        <v>0</v>
      </c>
      <c r="AJ64" s="11">
        <f t="shared" ref="AJ64" si="783">AJ63-AJ61</f>
        <v>-61.92</v>
      </c>
      <c r="AK64" s="11">
        <f t="shared" ref="AK64" si="784">AK63-AK61</f>
        <v>-8773.2999999999993</v>
      </c>
      <c r="AL64" s="11">
        <f t="shared" ref="AL64" si="785">AL63-AL61</f>
        <v>-8189.880000000001</v>
      </c>
      <c r="AM64" s="11">
        <f t="shared" ref="AM64" si="786">AM63-AM61</f>
        <v>18241.37999999999</v>
      </c>
      <c r="AN64" s="11">
        <f t="shared" ref="AN64" si="787">AN63-AN61</f>
        <v>9257.7000000000007</v>
      </c>
      <c r="AO64" s="9">
        <f t="shared" ref="AO64" si="788">AO63-AO61</f>
        <v>-19808.580000000016</v>
      </c>
      <c r="AP64" s="11">
        <f t="shared" ref="AP64" si="789">AP63-AP61</f>
        <v>-259.2</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-225.36</v>
      </c>
      <c r="AX64" s="11">
        <f t="shared" ref="AX64" si="797">AX63-AX61</f>
        <v>-80.640000000000015</v>
      </c>
      <c r="AY64" s="11">
        <f t="shared" ref="AY64" si="798">AY63-AY61</f>
        <v>0</v>
      </c>
      <c r="AZ64" s="11">
        <f t="shared" ref="AZ64" si="799">AZ63-AZ61</f>
        <v>0</v>
      </c>
      <c r="BA64" s="11">
        <f t="shared" ref="BA64" si="800">BA63-BA61</f>
        <v>0</v>
      </c>
      <c r="BB64" s="10">
        <f t="shared" ref="BB64" si="801">BB63-BB61</f>
        <v>0</v>
      </c>
      <c r="BC64" s="11">
        <f t="shared" ref="BC64" si="802">BC63-BC61</f>
        <v>-86.619999999999891</v>
      </c>
      <c r="BD64" s="11">
        <f t="shared" ref="BD64" si="803">BD63-BD61</f>
        <v>-86.619999999999891</v>
      </c>
      <c r="BE64" s="11">
        <f t="shared" ref="BE64" si="804">BE63-BE61</f>
        <v>0</v>
      </c>
      <c r="BF64" s="11">
        <f t="shared" ref="BF64" si="805">BF63-BF61</f>
        <v>-1634.42</v>
      </c>
      <c r="BG64" s="11">
        <f t="shared" ref="BG64:BH64" si="806">BG63-BG61</f>
        <v>-0.36</v>
      </c>
      <c r="BH64" s="9">
        <f t="shared" si="806"/>
        <v>-10897.180000000022</v>
      </c>
      <c r="BI64" s="45">
        <f t="shared" ref="BI64" si="807">BI63-BI61</f>
        <v>-55522.579999999842</v>
      </c>
      <c r="BJ64" s="11">
        <f t="shared" ref="BJ64:BK64" si="808">BJ63-BJ61</f>
        <v>-3678.666666666667</v>
      </c>
      <c r="BK64" s="51">
        <f t="shared" si="808"/>
        <v>-51843.913333333097</v>
      </c>
      <c r="BM64" s="30">
        <f t="shared" si="753"/>
        <v>-7218.5133333331905</v>
      </c>
    </row>
    <row r="65" spans="1:65" ht="15.75" x14ac:dyDescent="0.25">
      <c r="A65" s="131"/>
      <c r="B65" s="16" t="s">
        <v>133</v>
      </c>
      <c r="C65" s="13">
        <f>C64/C61</f>
        <v>1.7549161964762448E-2</v>
      </c>
      <c r="D65" s="13">
        <f t="shared" ref="D65" si="809">D64/D61</f>
        <v>-1.0735840764756003E-2</v>
      </c>
      <c r="E65" s="13" t="e">
        <f t="shared" ref="E65" si="810">E64/E61</f>
        <v>#DIV/0!</v>
      </c>
      <c r="F65" s="13">
        <f t="shared" ref="F65" si="811">F64/F61</f>
        <v>-9.3842747581517463E-2</v>
      </c>
      <c r="G65" s="13">
        <f t="shared" ref="G65" si="812">G64/G61</f>
        <v>-8.1186070042293224E-2</v>
      </c>
      <c r="H65" s="13" t="e">
        <f t="shared" ref="H65" si="813">H64/H61</f>
        <v>#DIV/0!</v>
      </c>
      <c r="I65" s="13" t="e">
        <f t="shared" ref="I65" si="814">I64/I61</f>
        <v>#DIV/0!</v>
      </c>
      <c r="J65" s="13">
        <f t="shared" ref="J65" si="815">J64/J61</f>
        <v>-2.9305868547403434E-2</v>
      </c>
      <c r="K65" s="13">
        <f t="shared" ref="K65" si="816">K64/K61</f>
        <v>-0.95186939278425942</v>
      </c>
      <c r="L65" s="13">
        <f t="shared" ref="L65" si="817">L64/L61</f>
        <v>-0.48488563444992988</v>
      </c>
      <c r="M65" s="13">
        <f t="shared" ref="M65" si="818">M64/M61</f>
        <v>-0.17218865086363408</v>
      </c>
      <c r="N65" s="13">
        <f t="shared" ref="N65" si="819">N64/N61</f>
        <v>-0.93970714900947461</v>
      </c>
      <c r="O65" s="13">
        <f t="shared" ref="O65" si="820">O64/O61</f>
        <v>-0.4792399718508093</v>
      </c>
      <c r="P65" s="13">
        <f t="shared" ref="P65" si="821">P64/P61</f>
        <v>0.28353067094788942</v>
      </c>
      <c r="Q65" s="13" t="e">
        <f t="shared" ref="Q65" si="822">Q64/Q61</f>
        <v>#DIV/0!</v>
      </c>
      <c r="R65" s="13">
        <f t="shared" ref="R65" si="823">R64/R61</f>
        <v>-0.38981935108174148</v>
      </c>
      <c r="S65" s="13" t="e">
        <f t="shared" ref="S65" si="824">S64/S61</f>
        <v>#DIV/0!</v>
      </c>
      <c r="T65" s="13" t="e">
        <f t="shared" ref="T65:U65" si="825">T64/T61</f>
        <v>#DIV/0!</v>
      </c>
      <c r="U65" s="13" t="e">
        <f t="shared" si="825"/>
        <v>#DIV/0!</v>
      </c>
      <c r="V65" s="165" t="e">
        <f t="shared" ref="V65" si="826">V64/V61</f>
        <v>#DIV/0!</v>
      </c>
      <c r="W65" s="13" t="e">
        <f t="shared" ref="W65" si="827">W64/W61</f>
        <v>#DIV/0!</v>
      </c>
      <c r="X65" s="13" t="e">
        <f t="shared" ref="X65" si="828">X64/X61</f>
        <v>#DIV/0!</v>
      </c>
      <c r="Y65" s="13">
        <f t="shared" ref="Y65" si="829">Y64/Y61</f>
        <v>7.0570098894706224</v>
      </c>
      <c r="Z65" s="13">
        <f t="shared" ref="Z65" si="830">Z64/Z61</f>
        <v>2.3154121863799282</v>
      </c>
      <c r="AA65" s="13">
        <f t="shared" ref="AA65:AD65" si="831">AA64/AA61</f>
        <v>-0.49200172935581499</v>
      </c>
      <c r="AB65" s="13">
        <f t="shared" ref="AB65" si="832">AB64/AB61</f>
        <v>-1</v>
      </c>
      <c r="AC65" s="14" t="e">
        <f t="shared" si="831"/>
        <v>#DIV/0!</v>
      </c>
      <c r="AD65" s="13">
        <f t="shared" si="831"/>
        <v>-2.9436951529368618E-2</v>
      </c>
      <c r="AE65" s="13">
        <f t="shared" ref="AE65" si="833">AE64/AE61</f>
        <v>-2.3068050749712522E-3</v>
      </c>
      <c r="AF65" s="13">
        <f t="shared" ref="AF65" si="834">AF64/AF61</f>
        <v>40.319444444444443</v>
      </c>
      <c r="AG65" s="13">
        <f t="shared" ref="AG65" si="835">AG64/AG61</f>
        <v>0.65786634871969574</v>
      </c>
      <c r="AH65" s="13" t="e">
        <f t="shared" ref="AH65" si="836">AH64/AH61</f>
        <v>#DIV/0!</v>
      </c>
      <c r="AI65" s="13" t="e">
        <f t="shared" ref="AI65" si="837">AI64/AI61</f>
        <v>#DIV/0!</v>
      </c>
      <c r="AJ65" s="13">
        <f t="shared" ref="AJ65" si="838">AJ64/AJ61</f>
        <v>-1</v>
      </c>
      <c r="AK65" s="13">
        <f t="shared" ref="AK65" si="839">AK64/AK61</f>
        <v>-0.54407049791321704</v>
      </c>
      <c r="AL65" s="13">
        <f t="shared" ref="AL65" si="840">AL64/AL61</f>
        <v>-0.76577577308020284</v>
      </c>
      <c r="AM65" s="13">
        <f t="shared" ref="AM65" si="841">AM64/AM61</f>
        <v>0.14945749558666716</v>
      </c>
      <c r="AN65" s="13">
        <f t="shared" ref="AN65" si="842">AN64/AN61</f>
        <v>3.5142922218426147</v>
      </c>
      <c r="AO65" s="165">
        <f t="shared" ref="AO65" si="843">AO64/AO61</f>
        <v>-0.24187310385854954</v>
      </c>
      <c r="AP65" s="13">
        <f t="shared" ref="AP65" si="844">AP64/AP61</f>
        <v>-1</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-1</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-2.1964590908860361E-2</v>
      </c>
      <c r="BD65" s="13">
        <f t="shared" ref="BD65" si="858">BD64/BD61</f>
        <v>-2.1964590908860361E-2</v>
      </c>
      <c r="BE65" s="13" t="e">
        <f t="shared" ref="BE65" si="859">BE64/BE61</f>
        <v>#DIV/0!</v>
      </c>
      <c r="BF65" s="13">
        <f t="shared" ref="BF65" si="860">BF64/BF61</f>
        <v>-0.39704889199838694</v>
      </c>
      <c r="BG65" s="13">
        <f t="shared" ref="BG65:BH65" si="861">BG64/BG61</f>
        <v>-1</v>
      </c>
      <c r="BH65" s="165">
        <f t="shared" si="861"/>
        <v>-4.4070644841118271E-2</v>
      </c>
      <c r="BI65" s="46">
        <f t="shared" ref="BI65" si="862">BI64/BI61</f>
        <v>-3.1489102526169502E-2</v>
      </c>
      <c r="BJ65" s="13">
        <f t="shared" ref="BJ65:BK65" si="863">BJ64/BJ61</f>
        <v>-0.79942049981890617</v>
      </c>
      <c r="BK65" s="52">
        <f t="shared" si="863"/>
        <v>-2.947971767127933E-2</v>
      </c>
      <c r="BM65" s="165" t="e">
        <f t="shared" ref="BM65" si="864">BM64/BM61</f>
        <v>#DIV/0!</v>
      </c>
    </row>
    <row r="66" spans="1:65" ht="15.75" x14ac:dyDescent="0.25">
      <c r="A66" s="130"/>
      <c r="B66" s="5" t="s">
        <v>134</v>
      </c>
      <c r="C66" s="11">
        <f>C63-C62</f>
        <v>83392</v>
      </c>
      <c r="D66" s="11">
        <f t="shared" ref="D66:BK66" si="865">D63-D62</f>
        <v>17434</v>
      </c>
      <c r="E66" s="11">
        <f t="shared" si="865"/>
        <v>219</v>
      </c>
      <c r="F66" s="11">
        <f t="shared" si="865"/>
        <v>13514</v>
      </c>
      <c r="G66" s="11">
        <f t="shared" si="865"/>
        <v>3981</v>
      </c>
      <c r="H66" s="11">
        <f t="shared" si="865"/>
        <v>0</v>
      </c>
      <c r="I66" s="11">
        <f t="shared" si="865"/>
        <v>0</v>
      </c>
      <c r="J66" s="11">
        <f t="shared" si="865"/>
        <v>19163</v>
      </c>
      <c r="K66" s="11">
        <f t="shared" si="865"/>
        <v>-1994</v>
      </c>
      <c r="L66" s="11">
        <f t="shared" si="865"/>
        <v>-17439</v>
      </c>
      <c r="M66" s="11">
        <f t="shared" si="865"/>
        <v>6114</v>
      </c>
      <c r="N66" s="11">
        <f t="shared" si="865"/>
        <v>-19</v>
      </c>
      <c r="O66" s="11">
        <f t="shared" si="865"/>
        <v>-233</v>
      </c>
      <c r="P66" s="11">
        <f t="shared" si="865"/>
        <v>1238</v>
      </c>
      <c r="Q66" s="11">
        <f t="shared" si="865"/>
        <v>0</v>
      </c>
      <c r="R66" s="11">
        <f t="shared" si="865"/>
        <v>700</v>
      </c>
      <c r="S66" s="11">
        <f t="shared" si="865"/>
        <v>0</v>
      </c>
      <c r="T66" s="11">
        <f t="shared" si="865"/>
        <v>0</v>
      </c>
      <c r="U66" s="11">
        <f t="shared" ref="U66" si="866">U63-U62</f>
        <v>0</v>
      </c>
      <c r="V66" s="9">
        <f t="shared" si="865"/>
        <v>0</v>
      </c>
      <c r="W66" s="11">
        <f t="shared" si="865"/>
        <v>0</v>
      </c>
      <c r="X66" s="11">
        <f t="shared" si="865"/>
        <v>0</v>
      </c>
      <c r="Y66" s="11">
        <f t="shared" si="865"/>
        <v>1003</v>
      </c>
      <c r="Z66" s="11">
        <f t="shared" si="865"/>
        <v>123</v>
      </c>
      <c r="AA66" s="11">
        <f t="shared" si="865"/>
        <v>347</v>
      </c>
      <c r="AB66" s="11">
        <f t="shared" ref="AB66" si="867">AB63-AB62</f>
        <v>0</v>
      </c>
      <c r="AC66" s="10">
        <f t="shared" ref="AC66:AD66" si="868">AC63-AC62</f>
        <v>0</v>
      </c>
      <c r="AD66" s="11">
        <f t="shared" si="868"/>
        <v>127543</v>
      </c>
      <c r="AE66" s="11">
        <f t="shared" si="865"/>
        <v>52</v>
      </c>
      <c r="AF66" s="11">
        <f t="shared" si="865"/>
        <v>-344</v>
      </c>
      <c r="AG66" s="11">
        <f t="shared" si="865"/>
        <v>-100</v>
      </c>
      <c r="AH66" s="11">
        <f t="shared" si="865"/>
        <v>0</v>
      </c>
      <c r="AI66" s="11">
        <f t="shared" si="865"/>
        <v>0</v>
      </c>
      <c r="AJ66" s="11">
        <f t="shared" si="865"/>
        <v>0</v>
      </c>
      <c r="AK66" s="11">
        <f t="shared" si="865"/>
        <v>-16351</v>
      </c>
      <c r="AL66" s="11">
        <f t="shared" si="865"/>
        <v>-3441</v>
      </c>
      <c r="AM66" s="11">
        <f t="shared" si="865"/>
        <v>94581</v>
      </c>
      <c r="AN66" s="11">
        <f t="shared" si="865"/>
        <v>-25647</v>
      </c>
      <c r="AO66" s="9">
        <f t="shared" si="865"/>
        <v>-64424</v>
      </c>
      <c r="AP66" s="11">
        <f t="shared" si="865"/>
        <v>0</v>
      </c>
      <c r="AQ66" s="10">
        <f t="shared" si="865"/>
        <v>0</v>
      </c>
      <c r="AR66" s="11">
        <f t="shared" si="865"/>
        <v>0</v>
      </c>
      <c r="AS66" s="11">
        <f t="shared" si="865"/>
        <v>0</v>
      </c>
      <c r="AT66" s="11">
        <f t="shared" si="865"/>
        <v>0</v>
      </c>
      <c r="AU66" s="11">
        <f t="shared" si="865"/>
        <v>0</v>
      </c>
      <c r="AV66" s="11">
        <f t="shared" si="865"/>
        <v>0</v>
      </c>
      <c r="AW66" s="11">
        <f t="shared" si="865"/>
        <v>0</v>
      </c>
      <c r="AX66" s="11">
        <f t="shared" si="865"/>
        <v>0</v>
      </c>
      <c r="AY66" s="11">
        <f t="shared" si="865"/>
        <v>0</v>
      </c>
      <c r="AZ66" s="11">
        <f t="shared" si="865"/>
        <v>0</v>
      </c>
      <c r="BA66" s="11">
        <f t="shared" si="865"/>
        <v>0</v>
      </c>
      <c r="BB66" s="10">
        <f t="shared" si="865"/>
        <v>0</v>
      </c>
      <c r="BC66" s="11">
        <f t="shared" si="865"/>
        <v>-926</v>
      </c>
      <c r="BD66" s="11">
        <f t="shared" si="865"/>
        <v>-926</v>
      </c>
      <c r="BE66" s="11">
        <f t="shared" si="865"/>
        <v>0</v>
      </c>
      <c r="BF66" s="11">
        <f t="shared" si="865"/>
        <v>-6574</v>
      </c>
      <c r="BG66" s="11">
        <f t="shared" si="865"/>
        <v>-156</v>
      </c>
      <c r="BH66" s="9">
        <f t="shared" si="865"/>
        <v>-24256</v>
      </c>
      <c r="BI66" s="45">
        <f t="shared" si="865"/>
        <v>103287</v>
      </c>
      <c r="BJ66" s="11">
        <f t="shared" si="865"/>
        <v>-2644</v>
      </c>
      <c r="BK66" s="51">
        <f t="shared" si="865"/>
        <v>105931</v>
      </c>
      <c r="BM66" s="30">
        <f t="shared" si="753"/>
        <v>-21612</v>
      </c>
    </row>
    <row r="67" spans="1:65" ht="15.75" x14ac:dyDescent="0.25">
      <c r="A67" s="130"/>
      <c r="B67" s="5" t="s">
        <v>135</v>
      </c>
      <c r="C67" s="13">
        <f>C66/C62</f>
        <v>0.11337459077906964</v>
      </c>
      <c r="D67" s="13">
        <f t="shared" ref="D67" si="869">D66/D62</f>
        <v>0.11471246216607449</v>
      </c>
      <c r="E67" s="13">
        <f t="shared" ref="E67" si="870">E66/E62</f>
        <v>2.4606741573033708</v>
      </c>
      <c r="F67" s="13">
        <f t="shared" ref="F67" si="871">F66/F62</f>
        <v>0.12183445875893655</v>
      </c>
      <c r="G67" s="13">
        <f t="shared" ref="G67" si="872">G66/G62</f>
        <v>0.10282304930650618</v>
      </c>
      <c r="H67" s="13" t="e">
        <f t="shared" ref="H67" si="873">H66/H62</f>
        <v>#DIV/0!</v>
      </c>
      <c r="I67" s="13" t="e">
        <f t="shared" ref="I67" si="874">I66/I62</f>
        <v>#DIV/0!</v>
      </c>
      <c r="J67" s="13">
        <f t="shared" ref="J67" si="875">J66/J62</f>
        <v>8.3447278807883579E-2</v>
      </c>
      <c r="K67" s="13">
        <f t="shared" ref="K67" si="876">K66/K62</f>
        <v>-0.81587561374795414</v>
      </c>
      <c r="L67" s="13">
        <f t="shared" ref="L67" si="877">L66/L62</f>
        <v>-0.55483439916006494</v>
      </c>
      <c r="M67" s="13">
        <f t="shared" ref="M67" si="878">M66/M62</f>
        <v>0.15342919521192502</v>
      </c>
      <c r="N67" s="13">
        <f t="shared" ref="N67" si="879">N66/N62</f>
        <v>-0.73076923076923073</v>
      </c>
      <c r="O67" s="13">
        <f t="shared" ref="O67" si="880">O66/O62</f>
        <v>-0.25917686318131256</v>
      </c>
      <c r="P67" s="13">
        <f t="shared" ref="P67" si="881">P66/P62</f>
        <v>0.67576419213973804</v>
      </c>
      <c r="Q67" s="13" t="e">
        <f t="shared" ref="Q67" si="882">Q66/Q62</f>
        <v>#DIV/0!</v>
      </c>
      <c r="R67" s="13">
        <f t="shared" ref="R67" si="883">R66/R62</f>
        <v>2.6515151515151514</v>
      </c>
      <c r="S67" s="13" t="e">
        <f t="shared" ref="S67" si="884">S66/S62</f>
        <v>#DIV/0!</v>
      </c>
      <c r="T67" s="13" t="e">
        <f t="shared" ref="T67:U67" si="885">T66/T62</f>
        <v>#DIV/0!</v>
      </c>
      <c r="U67" s="13" t="e">
        <f t="shared" si="885"/>
        <v>#DIV/0!</v>
      </c>
      <c r="V67" s="165" t="e">
        <f t="shared" ref="V67" si="886">V66/V62</f>
        <v>#DIV/0!</v>
      </c>
      <c r="W67" s="13" t="e">
        <f t="shared" ref="W67" si="887">W66/W62</f>
        <v>#DIV/0!</v>
      </c>
      <c r="X67" s="13" t="e">
        <f t="shared" ref="X67" si="888">X66/X62</f>
        <v>#DIV/0!</v>
      </c>
      <c r="Y67" s="13">
        <f t="shared" ref="Y67" si="889">Y66/Y62</f>
        <v>9.5523809523809522</v>
      </c>
      <c r="Z67" s="13">
        <f t="shared" ref="Z67" si="890">Z66/Z62</f>
        <v>4.92</v>
      </c>
      <c r="AA67" s="13">
        <f t="shared" ref="AA67:AD67" si="891">AA66/AA62</f>
        <v>11.96551724137931</v>
      </c>
      <c r="AB67" s="13" t="e">
        <f t="shared" ref="AB67" si="892">AB66/AB62</f>
        <v>#DIV/0!</v>
      </c>
      <c r="AC67" s="14" t="e">
        <f t="shared" si="891"/>
        <v>#DIV/0!</v>
      </c>
      <c r="AD67" s="13">
        <f t="shared" si="891"/>
        <v>9.4912401203455579E-2</v>
      </c>
      <c r="AE67" s="13">
        <f t="shared" ref="AE67" si="893">AE66/AE62</f>
        <v>0.11134903640256959</v>
      </c>
      <c r="AF67" s="13">
        <f t="shared" ref="AF67" si="894">AF66/AF62</f>
        <v>-0.49072753209700426</v>
      </c>
      <c r="AG67" s="13">
        <f t="shared" ref="AG67" si="895">AG66/AG62</f>
        <v>-7.8864353312302835E-2</v>
      </c>
      <c r="AH67" s="13" t="e">
        <f t="shared" ref="AH67" si="896">AH66/AH62</f>
        <v>#DIV/0!</v>
      </c>
      <c r="AI67" s="13" t="e">
        <f t="shared" ref="AI67" si="897">AI66/AI62</f>
        <v>#DIV/0!</v>
      </c>
      <c r="AJ67" s="13" t="e">
        <f t="shared" ref="AJ67" si="898">AJ66/AJ62</f>
        <v>#DIV/0!</v>
      </c>
      <c r="AK67" s="13">
        <f t="shared" ref="AK67" si="899">AK66/AK62</f>
        <v>-0.68982829177741212</v>
      </c>
      <c r="AL67" s="13">
        <f t="shared" ref="AL67" si="900">AL66/AL62</f>
        <v>-0.57870837537840569</v>
      </c>
      <c r="AM67" s="13">
        <f t="shared" ref="AM67" si="901">AM66/AM62</f>
        <v>2.0691080921441229</v>
      </c>
      <c r="AN67" s="13">
        <f t="shared" ref="AN67" si="902">AN66/AN62</f>
        <v>-0.6832094621593543</v>
      </c>
      <c r="AO67" s="165">
        <f t="shared" ref="AO67" si="903">AO66/AO62</f>
        <v>-0.50923232578727706</v>
      </c>
      <c r="AP67" s="13" t="e">
        <f t="shared" ref="AP67" si="904">AP66/AP62</f>
        <v>#DIV/0!</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-0.19360234162659418</v>
      </c>
      <c r="BD67" s="13">
        <f t="shared" ref="BD67" si="918">BD66/BD62</f>
        <v>-0.19360234162659418</v>
      </c>
      <c r="BE67" s="13" t="e">
        <f t="shared" ref="BE67" si="919">BE66/BE62</f>
        <v>#DIV/0!</v>
      </c>
      <c r="BF67" s="13">
        <f t="shared" ref="BF67" si="920">BF66/BF62</f>
        <v>-0.72592756183745588</v>
      </c>
      <c r="BG67" s="13">
        <f t="shared" ref="BG67:BH67" si="921">BG66/BG62</f>
        <v>-1</v>
      </c>
      <c r="BH67" s="165">
        <f t="shared" si="921"/>
        <v>-9.3068585131894491E-2</v>
      </c>
      <c r="BI67" s="46">
        <f t="shared" ref="BI67" si="922">BI66/BI62</f>
        <v>6.4376454573672012E-2</v>
      </c>
      <c r="BJ67" s="13">
        <f t="shared" ref="BJ67:BK67" si="923">BJ66/BJ62</f>
        <v>-0.74123913652929629</v>
      </c>
      <c r="BK67" s="52">
        <f t="shared" si="923"/>
        <v>6.617151459688729E-2</v>
      </c>
      <c r="BM67" s="14">
        <f t="shared" ref="BM67" si="924">BM66/BM62</f>
        <v>-8.4074411222370055E-2</v>
      </c>
    </row>
    <row r="68" spans="1:65" ht="15.75" x14ac:dyDescent="0.25">
      <c r="A68" s="130"/>
      <c r="B68" s="5" t="s">
        <v>296</v>
      </c>
      <c r="C68" s="128">
        <f>C63/C60</f>
        <v>0.18315884915365724</v>
      </c>
      <c r="D68" s="128">
        <f t="shared" ref="D68:BK68" si="925">D63/D60</f>
        <v>0.17806754866234392</v>
      </c>
      <c r="E68" s="128">
        <f t="shared" si="925"/>
        <v>2.4117329240695646E-3</v>
      </c>
      <c r="F68" s="128">
        <f t="shared" si="925"/>
        <v>0.16310830543532687</v>
      </c>
      <c r="G68" s="128">
        <f t="shared" si="925"/>
        <v>0.16538650739238722</v>
      </c>
      <c r="H68" s="128" t="e">
        <f t="shared" si="925"/>
        <v>#DIV/0!</v>
      </c>
      <c r="I68" s="128" t="e">
        <f t="shared" si="925"/>
        <v>#DIV/0!</v>
      </c>
      <c r="J68" s="128">
        <f t="shared" si="925"/>
        <v>0.1747249436614674</v>
      </c>
      <c r="K68" s="128">
        <f t="shared" si="925"/>
        <v>8.6635092988333138E-3</v>
      </c>
      <c r="L68" s="128">
        <f t="shared" si="925"/>
        <v>9.2720585799012628E-2</v>
      </c>
      <c r="M68" s="128">
        <f t="shared" si="925"/>
        <v>0.14900604284454588</v>
      </c>
      <c r="N68" s="128">
        <f t="shared" si="925"/>
        <v>1.0852713178294573E-2</v>
      </c>
      <c r="O68" s="128">
        <f t="shared" si="925"/>
        <v>9.3736805066854334E-2</v>
      </c>
      <c r="P68" s="128">
        <f t="shared" si="925"/>
        <v>0.23103552077062012</v>
      </c>
      <c r="Q68" s="128" t="e">
        <f t="shared" si="925"/>
        <v>#DIV/0!</v>
      </c>
      <c r="R68" s="128">
        <f t="shared" si="925"/>
        <v>0.10983251680528655</v>
      </c>
      <c r="S68" s="128" t="e">
        <f t="shared" si="925"/>
        <v>#DIV/0!</v>
      </c>
      <c r="T68" s="128" t="e">
        <f t="shared" si="925"/>
        <v>#DIV/0!</v>
      </c>
      <c r="U68" s="128" t="e">
        <f t="shared" si="925"/>
        <v>#DIV/0!</v>
      </c>
      <c r="V68" s="180" t="e">
        <f t="shared" si="925"/>
        <v>#DIV/0!</v>
      </c>
      <c r="W68" s="128" t="e">
        <f t="shared" si="925"/>
        <v>#DIV/0!</v>
      </c>
      <c r="X68" s="128" t="e">
        <f t="shared" si="925"/>
        <v>#DIV/0!</v>
      </c>
      <c r="Y68" s="128">
        <f t="shared" si="925"/>
        <v>1.450261780104712</v>
      </c>
      <c r="Z68" s="128">
        <f t="shared" si="925"/>
        <v>0.59677419354838712</v>
      </c>
      <c r="AA68" s="128">
        <f t="shared" si="925"/>
        <v>9.1439688715953302E-2</v>
      </c>
      <c r="AB68" s="128">
        <f t="shared" ref="AB68" si="926">AB63/AB60</f>
        <v>0</v>
      </c>
      <c r="AC68" s="228" t="e">
        <f t="shared" si="925"/>
        <v>#DIV/0!</v>
      </c>
      <c r="AD68" s="128">
        <f t="shared" si="925"/>
        <v>0.1720918030363266</v>
      </c>
      <c r="AE68" s="128">
        <f t="shared" si="925"/>
        <v>0.17958477508650519</v>
      </c>
      <c r="AF68" s="128">
        <f t="shared" si="925"/>
        <v>7.4375</v>
      </c>
      <c r="AG68" s="128">
        <f t="shared" si="925"/>
        <v>0.29841594276954519</v>
      </c>
      <c r="AH68" s="128" t="e">
        <f t="shared" si="925"/>
        <v>#DIV/0!</v>
      </c>
      <c r="AI68" s="128" t="e">
        <f t="shared" si="925"/>
        <v>#DIV/0!</v>
      </c>
      <c r="AJ68" s="128">
        <f t="shared" si="925"/>
        <v>0</v>
      </c>
      <c r="AK68" s="128">
        <f t="shared" si="925"/>
        <v>8.2067310375620914E-2</v>
      </c>
      <c r="AL68" s="128">
        <f t="shared" si="925"/>
        <v>4.2160360845563481E-2</v>
      </c>
      <c r="AM68" s="128">
        <f t="shared" si="925"/>
        <v>0.20690234920560011</v>
      </c>
      <c r="AN68" s="128">
        <f t="shared" si="925"/>
        <v>0.81257259993167064</v>
      </c>
      <c r="AO68" s="180">
        <f t="shared" si="925"/>
        <v>0.1364628413054611</v>
      </c>
      <c r="AP68" s="128">
        <f t="shared" si="925"/>
        <v>0</v>
      </c>
      <c r="AQ68" s="228" t="e">
        <f t="shared" si="925"/>
        <v>#DIV/0!</v>
      </c>
      <c r="AR68" s="128" t="e">
        <f t="shared" si="925"/>
        <v>#DIV/0!</v>
      </c>
      <c r="AS68" s="128" t="e">
        <f t="shared" si="925"/>
        <v>#DIV/0!</v>
      </c>
      <c r="AT68" s="128" t="e">
        <f t="shared" si="925"/>
        <v>#DIV/0!</v>
      </c>
      <c r="AU68" s="128" t="e">
        <f t="shared" si="925"/>
        <v>#DIV/0!</v>
      </c>
      <c r="AV68" s="128" t="e">
        <f t="shared" si="925"/>
        <v>#DIV/0!</v>
      </c>
      <c r="AW68" s="128">
        <f t="shared" si="925"/>
        <v>0</v>
      </c>
      <c r="AX68" s="128">
        <f t="shared" si="925"/>
        <v>0</v>
      </c>
      <c r="AY68" s="128" t="e">
        <f t="shared" si="925"/>
        <v>#DIV/0!</v>
      </c>
      <c r="AZ68" s="128" t="e">
        <f t="shared" si="925"/>
        <v>#DIV/0!</v>
      </c>
      <c r="BA68" s="128" t="e">
        <f t="shared" si="925"/>
        <v>#DIV/0!</v>
      </c>
      <c r="BB68" s="228" t="e">
        <f t="shared" si="925"/>
        <v>#DIV/0!</v>
      </c>
      <c r="BC68" s="128">
        <f t="shared" si="925"/>
        <v>0.17604637363640513</v>
      </c>
      <c r="BD68" s="128">
        <f t="shared" si="925"/>
        <v>0.17604637363640513</v>
      </c>
      <c r="BE68" s="128" t="e">
        <f t="shared" si="925"/>
        <v>#DIV/0!</v>
      </c>
      <c r="BF68" s="128">
        <f t="shared" si="925"/>
        <v>0.10853119944029035</v>
      </c>
      <c r="BG68" s="128">
        <f t="shared" si="925"/>
        <v>0</v>
      </c>
      <c r="BH68" s="180">
        <f t="shared" si="925"/>
        <v>0.17206728392859871</v>
      </c>
      <c r="BI68" s="128">
        <f t="shared" si="925"/>
        <v>0.17208840885821852</v>
      </c>
      <c r="BJ68" s="128">
        <f t="shared" si="925"/>
        <v>3.3429916696848964E-2</v>
      </c>
      <c r="BK68" s="128">
        <f t="shared" si="925"/>
        <v>0.17247527493903997</v>
      </c>
      <c r="BM68" s="128" t="e">
        <f t="shared" ref="BM68" si="927">BM63/BM60</f>
        <v>#DIV/0!</v>
      </c>
    </row>
    <row r="69" spans="1:65" s="183" customFormat="1" ht="15.75" x14ac:dyDescent="0.25">
      <c r="A69" s="130"/>
      <c r="B69" s="5" t="s">
        <v>297</v>
      </c>
      <c r="C69" s="11">
        <f>C63-C60</f>
        <v>-3652243</v>
      </c>
      <c r="D69" s="11">
        <f t="shared" ref="D69:BM69" si="928">D63-D60</f>
        <v>-781989</v>
      </c>
      <c r="E69" s="11">
        <f t="shared" si="928"/>
        <v>-127401</v>
      </c>
      <c r="F69" s="11">
        <f t="shared" si="928"/>
        <v>-638463</v>
      </c>
      <c r="G69" s="11">
        <f t="shared" si="928"/>
        <v>-215473</v>
      </c>
      <c r="H69" s="11">
        <f t="shared" si="928"/>
        <v>0</v>
      </c>
      <c r="I69" s="11">
        <f t="shared" si="928"/>
        <v>0</v>
      </c>
      <c r="J69" s="11">
        <f t="shared" si="928"/>
        <v>-1175176</v>
      </c>
      <c r="K69" s="11">
        <f t="shared" si="928"/>
        <v>-51492</v>
      </c>
      <c r="L69" s="11">
        <f t="shared" si="928"/>
        <v>-136913</v>
      </c>
      <c r="M69" s="11">
        <f t="shared" si="928"/>
        <v>-262501</v>
      </c>
      <c r="N69" s="11">
        <f t="shared" si="928"/>
        <v>-638</v>
      </c>
      <c r="O69" s="11">
        <f t="shared" si="928"/>
        <v>-6439</v>
      </c>
      <c r="P69" s="11">
        <f t="shared" si="928"/>
        <v>-10218</v>
      </c>
      <c r="Q69" s="11">
        <f t="shared" si="928"/>
        <v>0</v>
      </c>
      <c r="R69" s="11">
        <f t="shared" si="928"/>
        <v>-7813</v>
      </c>
      <c r="S69" s="11">
        <f t="shared" si="928"/>
        <v>0</v>
      </c>
      <c r="T69" s="11">
        <f t="shared" si="928"/>
        <v>0</v>
      </c>
      <c r="U69" s="11">
        <f t="shared" si="928"/>
        <v>0</v>
      </c>
      <c r="V69" s="9">
        <f t="shared" si="928"/>
        <v>0</v>
      </c>
      <c r="W69" s="11">
        <f t="shared" si="928"/>
        <v>0</v>
      </c>
      <c r="X69" s="11">
        <f t="shared" si="928"/>
        <v>0</v>
      </c>
      <c r="Y69" s="11">
        <f t="shared" si="928"/>
        <v>344</v>
      </c>
      <c r="Z69" s="11">
        <f t="shared" si="928"/>
        <v>-100</v>
      </c>
      <c r="AA69" s="11">
        <f t="shared" si="928"/>
        <v>-3736</v>
      </c>
      <c r="AB69" s="11">
        <f t="shared" ref="AB69" si="929">AB63-AB60</f>
        <v>-8148</v>
      </c>
      <c r="AC69" s="10">
        <f t="shared" si="928"/>
        <v>0</v>
      </c>
      <c r="AD69" s="11">
        <f t="shared" si="928"/>
        <v>-7078399</v>
      </c>
      <c r="AE69" s="11">
        <f t="shared" si="928"/>
        <v>-2371</v>
      </c>
      <c r="AF69" s="11">
        <f t="shared" si="928"/>
        <v>309</v>
      </c>
      <c r="AG69" s="11">
        <f t="shared" si="928"/>
        <v>-2746</v>
      </c>
      <c r="AH69" s="11">
        <f t="shared" si="928"/>
        <v>0</v>
      </c>
      <c r="AI69" s="11">
        <f t="shared" si="928"/>
        <v>0</v>
      </c>
      <c r="AJ69" s="11">
        <f t="shared" si="928"/>
        <v>-344</v>
      </c>
      <c r="AK69" s="11">
        <f t="shared" si="928"/>
        <v>-82233</v>
      </c>
      <c r="AL69" s="11">
        <f t="shared" si="928"/>
        <v>-56911</v>
      </c>
      <c r="AM69" s="11">
        <f t="shared" si="928"/>
        <v>-537767</v>
      </c>
      <c r="AN69" s="11">
        <f t="shared" si="928"/>
        <v>-2743</v>
      </c>
      <c r="AO69" s="9">
        <f t="shared" si="928"/>
        <v>-392893</v>
      </c>
      <c r="AP69" s="11">
        <f t="shared" si="928"/>
        <v>-1440</v>
      </c>
      <c r="AQ69" s="10">
        <f t="shared" si="928"/>
        <v>0</v>
      </c>
      <c r="AR69" s="11">
        <f t="shared" si="928"/>
        <v>0</v>
      </c>
      <c r="AS69" s="11">
        <f t="shared" si="928"/>
        <v>0</v>
      </c>
      <c r="AT69" s="11">
        <f t="shared" si="928"/>
        <v>0</v>
      </c>
      <c r="AU69" s="11">
        <f t="shared" si="928"/>
        <v>0</v>
      </c>
      <c r="AV69" s="11">
        <f t="shared" si="928"/>
        <v>0</v>
      </c>
      <c r="AW69" s="11">
        <f t="shared" si="928"/>
        <v>-1252</v>
      </c>
      <c r="AX69" s="11">
        <f t="shared" si="928"/>
        <v>-448</v>
      </c>
      <c r="AY69" s="11">
        <f t="shared" si="928"/>
        <v>0</v>
      </c>
      <c r="AZ69" s="11">
        <f t="shared" si="928"/>
        <v>0</v>
      </c>
      <c r="BA69" s="11">
        <f t="shared" si="928"/>
        <v>0</v>
      </c>
      <c r="BB69" s="10">
        <f t="shared" si="928"/>
        <v>0</v>
      </c>
      <c r="BC69" s="11">
        <f t="shared" si="928"/>
        <v>-18052</v>
      </c>
      <c r="BD69" s="11">
        <f t="shared" si="928"/>
        <v>-18052</v>
      </c>
      <c r="BE69" s="11">
        <f t="shared" si="928"/>
        <v>0</v>
      </c>
      <c r="BF69" s="11">
        <f t="shared" si="928"/>
        <v>-20387</v>
      </c>
      <c r="BG69" s="11">
        <f t="shared" si="928"/>
        <v>-2</v>
      </c>
      <c r="BH69" s="11">
        <f t="shared" si="928"/>
        <v>-1137332</v>
      </c>
      <c r="BI69" s="11">
        <f t="shared" si="928"/>
        <v>-8215731</v>
      </c>
      <c r="BJ69" s="11">
        <f t="shared" si="928"/>
        <v>-26687</v>
      </c>
      <c r="BK69" s="11">
        <f t="shared" si="928"/>
        <v>-8189044</v>
      </c>
      <c r="BL69" s="11">
        <f t="shared" si="928"/>
        <v>1706780</v>
      </c>
      <c r="BM69" s="11">
        <f t="shared" si="928"/>
        <v>235446</v>
      </c>
    </row>
    <row r="70" spans="1:65" s="183" customFormat="1" ht="15.75" x14ac:dyDescent="0.2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ht="15.75" x14ac:dyDescent="0.25">
      <c r="A71" s="15" t="s">
        <v>141</v>
      </c>
      <c r="B71" s="11" t="s">
        <v>301</v>
      </c>
      <c r="C71" s="122">
        <v>5895304</v>
      </c>
      <c r="D71" s="122">
        <v>1062136</v>
      </c>
      <c r="E71" s="122">
        <v>224044</v>
      </c>
      <c r="F71" s="122">
        <v>679305</v>
      </c>
      <c r="G71" s="122">
        <v>342500</v>
      </c>
      <c r="H71" s="122">
        <v>0</v>
      </c>
      <c r="I71" s="122">
        <v>0</v>
      </c>
      <c r="J71" s="122">
        <v>550715</v>
      </c>
      <c r="K71" s="122">
        <v>61527</v>
      </c>
      <c r="L71" s="122">
        <v>202170</v>
      </c>
      <c r="M71" s="122">
        <v>233105</v>
      </c>
      <c r="N71" s="122">
        <v>1125</v>
      </c>
      <c r="O71" s="122">
        <v>14818</v>
      </c>
      <c r="P71" s="122">
        <v>172511</v>
      </c>
      <c r="Q71" s="122">
        <v>0</v>
      </c>
      <c r="R71" s="122">
        <v>11089</v>
      </c>
      <c r="S71" s="122">
        <v>0</v>
      </c>
      <c r="T71" s="122">
        <v>0</v>
      </c>
      <c r="U71" s="122"/>
      <c r="V71" s="195">
        <v>0</v>
      </c>
      <c r="W71" s="122">
        <v>0</v>
      </c>
      <c r="X71" s="122">
        <v>0</v>
      </c>
      <c r="Y71" s="122">
        <v>2312</v>
      </c>
      <c r="Z71" s="122">
        <v>634</v>
      </c>
      <c r="AA71" s="122">
        <v>509</v>
      </c>
      <c r="AB71" s="122">
        <v>10476</v>
      </c>
      <c r="AC71" s="154">
        <v>0</v>
      </c>
      <c r="AD71" s="123">
        <f t="shared" ref="AD71" si="930">SUM(C71:AC71)</f>
        <v>9464280</v>
      </c>
      <c r="AE71" s="122">
        <v>10263</v>
      </c>
      <c r="AF71" s="122">
        <v>635</v>
      </c>
      <c r="AG71" s="122">
        <v>6060</v>
      </c>
      <c r="AH71" s="122">
        <v>0</v>
      </c>
      <c r="AI71" s="122">
        <v>0</v>
      </c>
      <c r="AJ71" s="122">
        <v>14414</v>
      </c>
      <c r="AK71" s="122">
        <v>26297</v>
      </c>
      <c r="AL71" s="122">
        <v>56981</v>
      </c>
      <c r="AM71" s="122">
        <v>0</v>
      </c>
      <c r="AN71" s="122">
        <v>342</v>
      </c>
      <c r="AO71" s="195">
        <v>393803</v>
      </c>
      <c r="AP71" s="122">
        <v>15433058</v>
      </c>
      <c r="AQ71" s="154">
        <v>0</v>
      </c>
      <c r="AR71" s="122">
        <v>0</v>
      </c>
      <c r="AS71" s="122"/>
      <c r="AT71" s="122"/>
      <c r="AU71" s="122">
        <v>0</v>
      </c>
      <c r="AV71" s="122"/>
      <c r="AW71" s="122">
        <v>602</v>
      </c>
      <c r="AX71" s="122">
        <v>2643</v>
      </c>
      <c r="AY71" s="122">
        <v>50</v>
      </c>
      <c r="AZ71" s="122">
        <v>0</v>
      </c>
      <c r="BA71" s="122">
        <v>0</v>
      </c>
      <c r="BB71" s="154">
        <v>0</v>
      </c>
      <c r="BC71" s="122">
        <v>17832</v>
      </c>
      <c r="BD71" s="122">
        <v>17832</v>
      </c>
      <c r="BE71" s="122">
        <v>0</v>
      </c>
      <c r="BF71" s="122">
        <v>23472</v>
      </c>
      <c r="BG71" s="195">
        <v>2890</v>
      </c>
      <c r="BH71" s="9">
        <f>SUM(AE71:BG71)</f>
        <v>16007174</v>
      </c>
      <c r="BI71" s="127">
        <f>AD71+BH71</f>
        <v>25471454</v>
      </c>
      <c r="BJ71" s="98">
        <v>0</v>
      </c>
      <c r="BK71" s="9">
        <f t="shared" ref="BK71" si="931">BI71-BJ71</f>
        <v>25471454</v>
      </c>
      <c r="BL71">
        <v>7</v>
      </c>
      <c r="BM71" s="30"/>
    </row>
    <row r="72" spans="1:65" s="217" customFormat="1" ht="15.75" x14ac:dyDescent="0.25">
      <c r="A72" s="130" t="s">
        <v>141</v>
      </c>
      <c r="B72" s="196" t="s">
        <v>320</v>
      </c>
      <c r="C72" s="9">
        <v>1061154.72</v>
      </c>
      <c r="D72" s="9">
        <v>191184.48</v>
      </c>
      <c r="E72" s="9">
        <v>0</v>
      </c>
      <c r="F72" s="9">
        <v>122274.9</v>
      </c>
      <c r="G72" s="9">
        <v>61650</v>
      </c>
      <c r="H72" s="9">
        <v>0</v>
      </c>
      <c r="I72" s="9">
        <v>0</v>
      </c>
      <c r="J72" s="9">
        <v>99128.700000000012</v>
      </c>
      <c r="K72" s="9">
        <v>11074.86</v>
      </c>
      <c r="L72" s="9">
        <v>36390.6</v>
      </c>
      <c r="M72" s="9">
        <v>41958.9</v>
      </c>
      <c r="N72" s="9">
        <v>202.5</v>
      </c>
      <c r="O72" s="9">
        <v>2667.2400000000002</v>
      </c>
      <c r="P72" s="9">
        <v>31051.980000000003</v>
      </c>
      <c r="Q72" s="9">
        <v>0</v>
      </c>
      <c r="R72" s="9">
        <v>1996.02</v>
      </c>
      <c r="S72" s="9">
        <v>0</v>
      </c>
      <c r="T72" s="9">
        <v>0</v>
      </c>
      <c r="U72" s="9"/>
      <c r="V72" s="9">
        <v>0</v>
      </c>
      <c r="W72" s="9">
        <v>0</v>
      </c>
      <c r="X72" s="9">
        <v>0</v>
      </c>
      <c r="Y72" s="9">
        <v>416.16</v>
      </c>
      <c r="Z72" s="9">
        <v>114.12</v>
      </c>
      <c r="AA72" s="9">
        <v>91.62</v>
      </c>
      <c r="AB72" s="9">
        <v>1934.2800000000002</v>
      </c>
      <c r="AC72" s="10">
        <v>0</v>
      </c>
      <c r="AD72" s="123">
        <v>1663291.08</v>
      </c>
      <c r="AE72" s="9">
        <v>1847.34</v>
      </c>
      <c r="AF72" s="9">
        <v>114.30000000000001</v>
      </c>
      <c r="AG72" s="9">
        <v>1090.8</v>
      </c>
      <c r="AH72" s="9">
        <v>0</v>
      </c>
      <c r="AI72" s="9">
        <v>0</v>
      </c>
      <c r="AJ72" s="9">
        <v>2594.5200000000004</v>
      </c>
      <c r="AK72" s="9">
        <v>4733.4600000000009</v>
      </c>
      <c r="AL72" s="9">
        <v>10256.580000000002</v>
      </c>
      <c r="AM72" s="9">
        <v>0</v>
      </c>
      <c r="AN72" s="9">
        <v>61.56</v>
      </c>
      <c r="AO72" s="9">
        <v>70884.540000000008</v>
      </c>
      <c r="AP72" s="9">
        <v>4942750.4399999995</v>
      </c>
      <c r="AQ72" s="10">
        <v>0</v>
      </c>
      <c r="AR72" s="9">
        <v>0</v>
      </c>
      <c r="AS72" s="9"/>
      <c r="AT72" s="9"/>
      <c r="AU72" s="9">
        <v>0</v>
      </c>
      <c r="AV72" s="9"/>
      <c r="AW72" s="9">
        <v>108.36000000000001</v>
      </c>
      <c r="AX72" s="9">
        <v>475.74</v>
      </c>
      <c r="AY72" s="9">
        <v>9</v>
      </c>
      <c r="AZ72" s="9">
        <v>0</v>
      </c>
      <c r="BA72" s="9">
        <v>0</v>
      </c>
      <c r="BB72" s="10">
        <v>0</v>
      </c>
      <c r="BC72" s="9">
        <v>3209.76</v>
      </c>
      <c r="BD72" s="9">
        <v>3209.76</v>
      </c>
      <c r="BE72" s="9">
        <v>0</v>
      </c>
      <c r="BF72" s="9">
        <v>4224.96</v>
      </c>
      <c r="BG72" s="9">
        <v>471.6</v>
      </c>
      <c r="BH72" s="9">
        <v>5046042.7199999988</v>
      </c>
      <c r="BI72" s="127">
        <v>6709333.7999999989</v>
      </c>
      <c r="BJ72" s="9">
        <v>0</v>
      </c>
      <c r="BK72" s="51">
        <v>6709333.7999999989</v>
      </c>
      <c r="BM72" s="30"/>
    </row>
    <row r="73" spans="1:65" ht="15.75" x14ac:dyDescent="0.25">
      <c r="A73" s="130"/>
      <c r="B73" s="12" t="s">
        <v>322</v>
      </c>
      <c r="C73" s="9">
        <f>IF('Upto Month COPPY'!$H$4="",0,'Upto Month COPPY'!$H$4)</f>
        <v>966813</v>
      </c>
      <c r="D73" s="9">
        <f>IF('Upto Month COPPY'!$H$5="",0,'Upto Month COPPY'!$H$5)</f>
        <v>173067</v>
      </c>
      <c r="E73" s="9">
        <f>IF('Upto Month COPPY'!$H$6="",0,'Upto Month COPPY'!$H$6)</f>
        <v>1161</v>
      </c>
      <c r="F73" s="9">
        <f>IF('Upto Month COPPY'!$H$7="",0,'Upto Month COPPY'!$H$7)</f>
        <v>104727</v>
      </c>
      <c r="G73" s="9">
        <f>IF('Upto Month COPPY'!$H$8="",0,'Upto Month COPPY'!$H$8)</f>
        <v>52767</v>
      </c>
      <c r="H73" s="9">
        <f>IF('Upto Month COPPY'!$H$9="",0,'Upto Month COPPY'!$H$9)</f>
        <v>0</v>
      </c>
      <c r="I73" s="9">
        <f>IF('Upto Month COPPY'!$H$10="",0,'Upto Month COPPY'!$H$10)</f>
        <v>0</v>
      </c>
      <c r="J73" s="9">
        <f>IF('Upto Month COPPY'!$H$11="",0,'Upto Month COPPY'!$H$11)</f>
        <v>77124</v>
      </c>
      <c r="K73" s="9">
        <f>IF('Upto Month COPPY'!$H$12="",0,'Upto Month COPPY'!$H$12)</f>
        <v>1714</v>
      </c>
      <c r="L73" s="9">
        <f>IF('Upto Month COPPY'!$H$13="",0,'Upto Month COPPY'!$H$13)</f>
        <v>36939</v>
      </c>
      <c r="M73" s="9">
        <f>IF('Upto Month COPPY'!$H$14="",0,'Upto Month COPPY'!$H$14)</f>
        <v>20811</v>
      </c>
      <c r="N73" s="9">
        <f>IF('Upto Month COPPY'!$H$15="",0,'Upto Month COPPY'!$H$15)</f>
        <v>10</v>
      </c>
      <c r="O73" s="9">
        <f>IF('Upto Month COPPY'!$H$16="",0,'Upto Month COPPY'!$H$16)</f>
        <v>1550</v>
      </c>
      <c r="P73" s="9">
        <f>IF('Upto Month COPPY'!$H$17="",0,'Upto Month COPPY'!$H$17)</f>
        <v>36128</v>
      </c>
      <c r="Q73" s="9">
        <f>IF('Upto Month COPPY'!$H$18="",0,'Upto Month COPPY'!$H$18)</f>
        <v>0</v>
      </c>
      <c r="R73" s="9">
        <f>IF('Upto Month COPPY'!$H$21="",0,'Upto Month COPPY'!$H$21)</f>
        <v>187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547</v>
      </c>
      <c r="Z73" s="9">
        <f>IF('Upto Month COPPY'!$H$43="",0,'Upto Month COPPY'!$H$43)</f>
        <v>120</v>
      </c>
      <c r="AA73" s="9">
        <f>IF('Upto Month COPPY'!$H$44="",0,'Upto Month COPPY'!$H$44)</f>
        <v>65</v>
      </c>
      <c r="AB73" s="9">
        <f>IF('Upto Month COPPY'!$H$48="",0,'Upto Month COPPY'!$H$48)</f>
        <v>0</v>
      </c>
      <c r="AC73" s="10">
        <f>IF('Upto Month COPPY'!$H$51="",0,'Upto Month COPPY'!$H$51)</f>
        <v>0</v>
      </c>
      <c r="AD73" s="123">
        <f t="shared" ref="AD73:AD74" si="932">SUM(C73:AC73)</f>
        <v>1473730</v>
      </c>
      <c r="AE73" s="9">
        <f>IF('Upto Month COPPY'!$H$19="",0,'Upto Month COPPY'!$H$19)</f>
        <v>1818</v>
      </c>
      <c r="AF73" s="9">
        <f>IF('Upto Month COPPY'!$H$20="",0,'Upto Month COPPY'!$H$20)</f>
        <v>304</v>
      </c>
      <c r="AG73" s="9">
        <f>IF('Upto Month COPPY'!$H$22="",0,'Upto Month COPPY'!$H$22)</f>
        <v>3415</v>
      </c>
      <c r="AH73" s="9">
        <f>IF('Upto Month COPPY'!$H$23="",0,'Upto Month COPPY'!$H$23)</f>
        <v>0</v>
      </c>
      <c r="AI73" s="9">
        <f>IF('Upto Month COPPY'!$H$24="",0,'Upto Month COPPY'!$H$24)</f>
        <v>0</v>
      </c>
      <c r="AJ73" s="9">
        <f>IF('Upto Month COPPY'!$H$25="",0,'Upto Month COPPY'!$H$25)</f>
        <v>2941</v>
      </c>
      <c r="AK73" s="9">
        <f>IF('Upto Month COPPY'!$H$28="",0,'Upto Month COPPY'!$H$28)</f>
        <v>755</v>
      </c>
      <c r="AL73" s="9">
        <f>IF('Upto Month COPPY'!$H$29="",0,'Upto Month COPPY'!$H$29)</f>
        <v>5208</v>
      </c>
      <c r="AM73" s="9">
        <f>IF('Upto Month COPPY'!$H$31="",0,'Upto Month COPPY'!$H$31)</f>
        <v>0</v>
      </c>
      <c r="AN73" s="9">
        <f>IF('Upto Month COPPY'!$H$32="",0,'Upto Month COPPY'!$H$32)</f>
        <v>16</v>
      </c>
      <c r="AO73" s="9">
        <f>IF('Upto Month COPPY'!$H$33="",0,'Upto Month COPPY'!$H$33)</f>
        <v>71661</v>
      </c>
      <c r="AP73" s="9">
        <f>IF('Upto Month COPPY'!$H$34="",0,'Upto Month COPPY'!$H$34)</f>
        <v>3960347</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193</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4786</v>
      </c>
      <c r="BD73" s="9">
        <f>IF('Upto Month COPPY'!$H$54="",0,'Upto Month COPPY'!$H$54)</f>
        <v>3299</v>
      </c>
      <c r="BE73" s="9">
        <f>IF('Upto Month COPPY'!$H$55="",0,'Upto Month COPPY'!$H$55)</f>
        <v>0</v>
      </c>
      <c r="BF73" s="9">
        <f>IF('Upto Month COPPY'!$H$56="",0,'Upto Month COPPY'!$H$56)</f>
        <v>3107</v>
      </c>
      <c r="BG73" s="9">
        <f>IF('Upto Month COPPY'!$H$58="",0,'Upto Month COPPY'!$H$58)</f>
        <v>2584</v>
      </c>
      <c r="BH73" s="9">
        <f>SUM(AE73:BG73)</f>
        <v>4060434</v>
      </c>
      <c r="BI73" s="127">
        <f>AD73+BH73</f>
        <v>5534164</v>
      </c>
      <c r="BJ73" s="9">
        <f>IF('Upto Month COPPY'!$H$60="",0,'Upto Month COPPY'!$H$60)</f>
        <v>42</v>
      </c>
      <c r="BK73" s="51">
        <f t="shared" ref="BK73:BK74" si="933">BI73-BJ73</f>
        <v>5534122</v>
      </c>
      <c r="BL73">
        <f>'Upto Month COPPY'!$H$61</f>
        <v>5534121</v>
      </c>
      <c r="BM73" s="30">
        <f t="shared" ref="BM73:BM77" si="934">BK73-AD73</f>
        <v>4060392</v>
      </c>
    </row>
    <row r="74" spans="1:65" ht="15.75" x14ac:dyDescent="0.25">
      <c r="A74" s="130"/>
      <c r="B74" s="185" t="s">
        <v>323</v>
      </c>
      <c r="C74" s="9">
        <f>IF('Upto Month Current'!$H$4="",0,'Upto Month Current'!$H$4)</f>
        <v>929953</v>
      </c>
      <c r="D74" s="9">
        <f>IF('Upto Month Current'!$H$5="",0,'Upto Month Current'!$H$5)</f>
        <v>168226</v>
      </c>
      <c r="E74" s="9">
        <f>IF('Upto Month Current'!$H$6="",0,'Upto Month Current'!$H$6)</f>
        <v>115</v>
      </c>
      <c r="F74" s="9">
        <f>IF('Upto Month Current'!$H$7="",0,'Upto Month Current'!$H$7)</f>
        <v>104558</v>
      </c>
      <c r="G74" s="9">
        <f>IF('Upto Month Current'!$H$8="",0,'Upto Month Current'!$H$8)</f>
        <v>50818</v>
      </c>
      <c r="H74" s="9">
        <f>IF('Upto Month Current'!$H$9="",0,'Upto Month Current'!$H$9)</f>
        <v>0</v>
      </c>
      <c r="I74" s="9">
        <f>IF('Upto Month Current'!$H$10="",0,'Upto Month Current'!$H$10)</f>
        <v>0</v>
      </c>
      <c r="J74" s="9">
        <f>IF('Upto Month Current'!$H$11="",0,'Upto Month Current'!$H$11)</f>
        <v>104654</v>
      </c>
      <c r="K74" s="9">
        <f>IF('Upto Month Current'!$H$12="",0,'Upto Month Current'!$H$12)</f>
        <v>442</v>
      </c>
      <c r="L74" s="9">
        <f>IF('Upto Month Current'!$H$13="",0,'Upto Month Current'!$H$13)</f>
        <v>20978</v>
      </c>
      <c r="M74" s="9">
        <f>IF('Upto Month Current'!$H$14="",0,'Upto Month Current'!$H$14)</f>
        <v>26342</v>
      </c>
      <c r="N74" s="9">
        <f>IF('Upto Month Current'!$H$15="",0,'Upto Month Current'!$H$15)</f>
        <v>10</v>
      </c>
      <c r="O74" s="9">
        <f>IF('Upto Month Current'!$H$16="",0,'Upto Month Current'!$H$16)</f>
        <v>2252</v>
      </c>
      <c r="P74" s="9">
        <f>IF('Upto Month Current'!$H$17="",0,'Upto Month Current'!$H$17)</f>
        <v>45927</v>
      </c>
      <c r="Q74" s="9">
        <f>IF('Upto Month Current'!$H$18="",0,'Upto Month Current'!$H$18)</f>
        <v>0</v>
      </c>
      <c r="R74" s="9">
        <f>IF('Upto Month Current'!$H$21="",0,'Upto Month Current'!$H$21)</f>
        <v>1011</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1722</v>
      </c>
      <c r="Z74" s="9">
        <f>IF('Upto Month Current'!$H$43="",0,'Upto Month Current'!$H$43)</f>
        <v>251</v>
      </c>
      <c r="AA74" s="9">
        <f>IF('Upto Month Current'!$H$44="",0,'Upto Month Current'!$H$44)</f>
        <v>642</v>
      </c>
      <c r="AB74" s="9">
        <f>IF('Upto Month Current'!$H$48="",0,'Upto Month Current'!$H$48)</f>
        <v>0</v>
      </c>
      <c r="AC74" s="10">
        <f>IF('Upto Month Current'!$H$51="",0,'Upto Month Current'!$H$51)</f>
        <v>0</v>
      </c>
      <c r="AD74" s="123">
        <f t="shared" si="932"/>
        <v>1457901</v>
      </c>
      <c r="AE74" s="9">
        <f>IF('Upto Month Current'!$H$19="",0,'Upto Month Current'!$H$19)</f>
        <v>1448</v>
      </c>
      <c r="AF74" s="9">
        <f>IF('Upto Month Current'!$H$20="",0,'Upto Month Current'!$H$20)</f>
        <v>231</v>
      </c>
      <c r="AG74" s="9">
        <f>IF('Upto Month Current'!$H$22="",0,'Upto Month Current'!$H$22)</f>
        <v>3669</v>
      </c>
      <c r="AH74" s="9">
        <f>IF('Upto Month Current'!$H$23="",0,'Upto Month Current'!$H$23)</f>
        <v>0</v>
      </c>
      <c r="AI74" s="9">
        <f>IF('Upto Month Current'!$H$24="",0,'Upto Month Current'!$H$24)</f>
        <v>0</v>
      </c>
      <c r="AJ74" s="9">
        <f>IF('Upto Month Current'!$H$25="",0,'Upto Month Current'!$H$25)</f>
        <v>1128</v>
      </c>
      <c r="AK74" s="9">
        <f>IF('Upto Month Current'!$H$28="",0,'Upto Month Current'!$H$28)</f>
        <v>6019</v>
      </c>
      <c r="AL74" s="9">
        <f>IF('Upto Month Current'!$H$29="",0,'Upto Month Current'!$H$29)</f>
        <v>2631</v>
      </c>
      <c r="AM74" s="9">
        <f>IF('Upto Month Current'!$H$31="",0,'Upto Month Current'!$H$31)</f>
        <v>0</v>
      </c>
      <c r="AN74" s="9">
        <f>IF('Upto Month Current'!$H$32="",0,'Upto Month Current'!$H$32)</f>
        <v>0</v>
      </c>
      <c r="AO74" s="9">
        <f>IF('Upto Month Current'!$H$33="",0,'Upto Month Current'!$H$33)</f>
        <v>31551</v>
      </c>
      <c r="AP74" s="9">
        <f>IF('Upto Month Current'!$H$34="",0,'Upto Month Current'!$H$34)</f>
        <v>4450567</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917</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2520</v>
      </c>
      <c r="BD74" s="9">
        <f>IF('Upto Month Current'!$H$54="",0,'Upto Month Current'!$H$54)</f>
        <v>2520</v>
      </c>
      <c r="BE74" s="9">
        <f>IF('Upto Month Current'!$H$55="",0,'Upto Month Current'!$H$55)</f>
        <v>0</v>
      </c>
      <c r="BF74" s="9">
        <f>IF('Upto Month Current'!$H$56="",0,'Upto Month Current'!$H$56)</f>
        <v>832</v>
      </c>
      <c r="BG74" s="9">
        <f>IF('Upto Month Current'!$H$58="",0,'Upto Month Current'!$H$58)</f>
        <v>1104</v>
      </c>
      <c r="BH74" s="9">
        <f>SUM(AE74:BG74)</f>
        <v>4505137</v>
      </c>
      <c r="BI74" s="127">
        <f>AD74+BH74</f>
        <v>5963038</v>
      </c>
      <c r="BJ74" s="9">
        <f>IF('Upto Month Current'!$H$60="",0,'Upto Month Current'!$H$60)</f>
        <v>0</v>
      </c>
      <c r="BK74" s="51">
        <f t="shared" si="933"/>
        <v>5963038</v>
      </c>
      <c r="BL74">
        <f>'Upto Month Current'!$H$61</f>
        <v>5963036</v>
      </c>
      <c r="BM74" s="30">
        <f t="shared" si="934"/>
        <v>4505137</v>
      </c>
    </row>
    <row r="75" spans="1:65" ht="15.75" x14ac:dyDescent="0.25">
      <c r="A75" s="130"/>
      <c r="B75" s="5" t="s">
        <v>132</v>
      </c>
      <c r="C75" s="11">
        <f>C74-C72</f>
        <v>-131201.71999999997</v>
      </c>
      <c r="D75" s="11">
        <f t="shared" ref="D75" si="935">D74-D72</f>
        <v>-22958.48000000001</v>
      </c>
      <c r="E75" s="11">
        <f t="shared" ref="E75" si="936">E74-E72</f>
        <v>115</v>
      </c>
      <c r="F75" s="11">
        <f t="shared" ref="F75" si="937">F74-F72</f>
        <v>-17716.899999999994</v>
      </c>
      <c r="G75" s="11">
        <f t="shared" ref="G75" si="938">G74-G72</f>
        <v>-10832</v>
      </c>
      <c r="H75" s="11">
        <f t="shared" ref="H75" si="939">H74-H72</f>
        <v>0</v>
      </c>
      <c r="I75" s="11">
        <f t="shared" ref="I75" si="940">I74-I72</f>
        <v>0</v>
      </c>
      <c r="J75" s="11">
        <f t="shared" ref="J75" si="941">J74-J72</f>
        <v>5525.2999999999884</v>
      </c>
      <c r="K75" s="11">
        <f t="shared" ref="K75" si="942">K74-K72</f>
        <v>-10632.86</v>
      </c>
      <c r="L75" s="11">
        <f t="shared" ref="L75" si="943">L74-L72</f>
        <v>-15412.599999999999</v>
      </c>
      <c r="M75" s="11">
        <f t="shared" ref="M75" si="944">M74-M72</f>
        <v>-15616.900000000001</v>
      </c>
      <c r="N75" s="11">
        <f t="shared" ref="N75" si="945">N74-N72</f>
        <v>-192.5</v>
      </c>
      <c r="O75" s="11">
        <f t="shared" ref="O75" si="946">O74-O72</f>
        <v>-415.24000000000024</v>
      </c>
      <c r="P75" s="11">
        <f t="shared" ref="P75" si="947">P74-P72</f>
        <v>14875.019999999997</v>
      </c>
      <c r="Q75" s="11">
        <f t="shared" ref="Q75" si="948">Q74-Q72</f>
        <v>0</v>
      </c>
      <c r="R75" s="11">
        <f t="shared" ref="R75" si="949">R74-R72</f>
        <v>-985.02</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1305.8399999999999</v>
      </c>
      <c r="Z75" s="11">
        <f t="shared" ref="Z75" si="956">Z74-Z72</f>
        <v>136.88</v>
      </c>
      <c r="AA75" s="11">
        <f t="shared" ref="AA75:AD75" si="957">AA74-AA72</f>
        <v>550.38</v>
      </c>
      <c r="AB75" s="11">
        <f t="shared" ref="AB75" si="958">AB74-AB72</f>
        <v>-1934.2800000000002</v>
      </c>
      <c r="AC75" s="10">
        <f t="shared" si="957"/>
        <v>0</v>
      </c>
      <c r="AD75" s="11">
        <f t="shared" si="957"/>
        <v>-205390.08000000007</v>
      </c>
      <c r="AE75" s="11">
        <f t="shared" ref="AE75" si="959">AE74-AE72</f>
        <v>-399.33999999999992</v>
      </c>
      <c r="AF75" s="11">
        <f t="shared" ref="AF75" si="960">AF74-AF72</f>
        <v>116.69999999999999</v>
      </c>
      <c r="AG75" s="11">
        <f t="shared" ref="AG75" si="961">AG74-AG72</f>
        <v>2578.1999999999998</v>
      </c>
      <c r="AH75" s="11">
        <f t="shared" ref="AH75" si="962">AH74-AH72</f>
        <v>0</v>
      </c>
      <c r="AI75" s="11">
        <f t="shared" ref="AI75" si="963">AI74-AI72</f>
        <v>0</v>
      </c>
      <c r="AJ75" s="11">
        <f t="shared" ref="AJ75" si="964">AJ74-AJ72</f>
        <v>-1466.5200000000004</v>
      </c>
      <c r="AK75" s="11">
        <f t="shared" ref="AK75" si="965">AK74-AK72</f>
        <v>1285.5399999999991</v>
      </c>
      <c r="AL75" s="11">
        <f t="shared" ref="AL75" si="966">AL74-AL72</f>
        <v>-7625.5800000000017</v>
      </c>
      <c r="AM75" s="11">
        <f t="shared" ref="AM75" si="967">AM74-AM72</f>
        <v>0</v>
      </c>
      <c r="AN75" s="11">
        <f t="shared" ref="AN75" si="968">AN74-AN72</f>
        <v>-61.56</v>
      </c>
      <c r="AO75" s="9">
        <f t="shared" ref="AO75" si="969">AO74-AO72</f>
        <v>-39333.540000000008</v>
      </c>
      <c r="AP75" s="11">
        <f t="shared" ref="AP75" si="970">AP74-AP72</f>
        <v>-492183.43999999948</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-108.36000000000001</v>
      </c>
      <c r="AX75" s="11">
        <f t="shared" ref="AX75" si="978">AX74-AX72</f>
        <v>441.26</v>
      </c>
      <c r="AY75" s="11">
        <f t="shared" ref="AY75" si="979">AY74-AY72</f>
        <v>-9</v>
      </c>
      <c r="AZ75" s="11">
        <f t="shared" ref="AZ75" si="980">AZ74-AZ72</f>
        <v>0</v>
      </c>
      <c r="BA75" s="11">
        <f t="shared" ref="BA75" si="981">BA74-BA72</f>
        <v>0</v>
      </c>
      <c r="BB75" s="10">
        <f t="shared" ref="BB75" si="982">BB74-BB72</f>
        <v>0</v>
      </c>
      <c r="BC75" s="11">
        <f t="shared" ref="BC75" si="983">BC74-BC72</f>
        <v>-689.76000000000022</v>
      </c>
      <c r="BD75" s="11">
        <f t="shared" ref="BD75" si="984">BD74-BD72</f>
        <v>-689.76000000000022</v>
      </c>
      <c r="BE75" s="11">
        <f t="shared" ref="BE75" si="985">BE74-BE72</f>
        <v>0</v>
      </c>
      <c r="BF75" s="11">
        <f t="shared" ref="BF75" si="986">BF74-BF72</f>
        <v>-3392.96</v>
      </c>
      <c r="BG75" s="11">
        <f t="shared" ref="BG75:BH75" si="987">BG74-BG72</f>
        <v>632.4</v>
      </c>
      <c r="BH75" s="9">
        <f t="shared" si="987"/>
        <v>-540905.71999999881</v>
      </c>
      <c r="BI75" s="45">
        <f t="shared" ref="BI75" si="988">BI74-BI72</f>
        <v>-746295.79999999888</v>
      </c>
      <c r="BJ75" s="11">
        <f t="shared" ref="BJ75:BK75" si="989">BJ74-BJ72</f>
        <v>0</v>
      </c>
      <c r="BK75" s="51">
        <f t="shared" si="989"/>
        <v>-746295.79999999888</v>
      </c>
      <c r="BM75" s="30">
        <f t="shared" si="934"/>
        <v>-540905.71999999881</v>
      </c>
    </row>
    <row r="76" spans="1:65" ht="15.75" x14ac:dyDescent="0.25">
      <c r="A76" s="130"/>
      <c r="B76" s="5" t="s">
        <v>133</v>
      </c>
      <c r="C76" s="13">
        <f>C75/C72</f>
        <v>-0.12364051869834776</v>
      </c>
      <c r="D76" s="13">
        <f t="shared" ref="D76" si="990">D75/D72</f>
        <v>-0.12008547974187031</v>
      </c>
      <c r="E76" s="13" t="e">
        <f t="shared" ref="E76" si="991">E75/E72</f>
        <v>#DIV/0!</v>
      </c>
      <c r="F76" s="13">
        <f t="shared" ref="F76" si="992">F75/F72</f>
        <v>-0.14489400522920071</v>
      </c>
      <c r="G76" s="13">
        <f t="shared" ref="G76" si="993">G75/G72</f>
        <v>-0.1757015409570154</v>
      </c>
      <c r="H76" s="13" t="e">
        <f t="shared" ref="H76" si="994">H75/H72</f>
        <v>#DIV/0!</v>
      </c>
      <c r="I76" s="13" t="e">
        <f t="shared" ref="I76" si="995">I75/I72</f>
        <v>#DIV/0!</v>
      </c>
      <c r="J76" s="13">
        <f t="shared" ref="J76" si="996">J75/J72</f>
        <v>5.5738650864986507E-2</v>
      </c>
      <c r="K76" s="13">
        <f t="shared" ref="K76" si="997">K75/K72</f>
        <v>-0.9600897889454133</v>
      </c>
      <c r="L76" s="13">
        <f t="shared" ref="L76" si="998">L75/L72</f>
        <v>-0.42353245068781498</v>
      </c>
      <c r="M76" s="13">
        <f t="shared" ref="M76" si="999">M75/M72</f>
        <v>-0.37219517194206714</v>
      </c>
      <c r="N76" s="13">
        <f t="shared" ref="N76" si="1000">N75/N72</f>
        <v>-0.95061728395061729</v>
      </c>
      <c r="O76" s="13">
        <f t="shared" ref="O76" si="1001">O75/O72</f>
        <v>-0.15568152847137873</v>
      </c>
      <c r="P76" s="13">
        <f t="shared" ref="P76" si="1002">P75/P72</f>
        <v>0.47903611943586188</v>
      </c>
      <c r="Q76" s="13" t="e">
        <f t="shared" ref="Q76" si="1003">Q75/Q72</f>
        <v>#DIV/0!</v>
      </c>
      <c r="R76" s="13">
        <f t="shared" ref="R76" si="1004">R75/R72</f>
        <v>-0.49349204917786393</v>
      </c>
      <c r="S76" s="13" t="e">
        <f t="shared" ref="S76" si="1005">S75/S72</f>
        <v>#DIV/0!</v>
      </c>
      <c r="T76" s="13" t="e">
        <f t="shared" ref="T76:U76" si="1006">T75/T72</f>
        <v>#DIV/0!</v>
      </c>
      <c r="U76" s="13" t="e">
        <f t="shared" si="1006"/>
        <v>#DIV/0!</v>
      </c>
      <c r="V76" s="165" t="e">
        <f t="shared" ref="V76" si="1007">V75/V72</f>
        <v>#DIV/0!</v>
      </c>
      <c r="W76" s="13" t="e">
        <f t="shared" ref="W76" si="1008">W75/W72</f>
        <v>#DIV/0!</v>
      </c>
      <c r="X76" s="13" t="e">
        <f t="shared" ref="X76" si="1009">X75/X72</f>
        <v>#DIV/0!</v>
      </c>
      <c r="Y76" s="13">
        <f t="shared" ref="Y76" si="1010">Y75/Y72</f>
        <v>3.1378316032295266</v>
      </c>
      <c r="Z76" s="13">
        <f t="shared" ref="Z76" si="1011">Z75/Z72</f>
        <v>1.1994391868208902</v>
      </c>
      <c r="AA76" s="13">
        <f t="shared" ref="AA76:AD76" si="1012">AA75/AA72</f>
        <v>6.0072036673215452</v>
      </c>
      <c r="AB76" s="13">
        <f t="shared" ref="AB76" si="1013">AB75/AB72</f>
        <v>-1</v>
      </c>
      <c r="AC76" s="14" t="e">
        <f t="shared" si="1012"/>
        <v>#DIV/0!</v>
      </c>
      <c r="AD76" s="13">
        <f t="shared" si="1012"/>
        <v>-0.12348414686381896</v>
      </c>
      <c r="AE76" s="13">
        <f t="shared" ref="AE76" si="1014">AE75/AE72</f>
        <v>-0.21617027726352481</v>
      </c>
      <c r="AF76" s="13">
        <f t="shared" ref="AF76" si="1015">AF75/AF72</f>
        <v>1.0209973753280839</v>
      </c>
      <c r="AG76" s="13">
        <f t="shared" ref="AG76" si="1016">AG75/AG72</f>
        <v>2.3635863586358634</v>
      </c>
      <c r="AH76" s="13" t="e">
        <f t="shared" ref="AH76" si="1017">AH75/AH72</f>
        <v>#DIV/0!</v>
      </c>
      <c r="AI76" s="13" t="e">
        <f t="shared" ref="AI76" si="1018">AI75/AI72</f>
        <v>#DIV/0!</v>
      </c>
      <c r="AJ76" s="13">
        <f t="shared" ref="AJ76" si="1019">AJ75/AJ72</f>
        <v>-0.5652375005781417</v>
      </c>
      <c r="AK76" s="13">
        <f t="shared" ref="AK76" si="1020">AK75/AK72</f>
        <v>0.27158568996040927</v>
      </c>
      <c r="AL76" s="13">
        <f t="shared" ref="AL76" si="1021">AL75/AL72</f>
        <v>-0.74348174537711409</v>
      </c>
      <c r="AM76" s="13" t="e">
        <f t="shared" ref="AM76" si="1022">AM75/AM72</f>
        <v>#DIV/0!</v>
      </c>
      <c r="AN76" s="13">
        <f t="shared" ref="AN76" si="1023">AN75/AN72</f>
        <v>-1</v>
      </c>
      <c r="AO76" s="165">
        <f t="shared" ref="AO76" si="1024">AO75/AO72</f>
        <v>-0.55489589126204397</v>
      </c>
      <c r="AP76" s="13">
        <f t="shared" ref="AP76" si="1025">AP75/AP72</f>
        <v>-9.957683398638259E-2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-1</v>
      </c>
      <c r="AX76" s="13">
        <f t="shared" ref="AX76" si="1033">AX75/AX72</f>
        <v>0.92752343717156427</v>
      </c>
      <c r="AY76" s="13">
        <f t="shared" ref="AY76" si="1034">AY75/AY72</f>
        <v>-1</v>
      </c>
      <c r="AZ76" s="13" t="e">
        <f t="shared" ref="AZ76" si="1035">AZ75/AZ72</f>
        <v>#DIV/0!</v>
      </c>
      <c r="BA76" s="13" t="e">
        <f t="shared" ref="BA76" si="1036">BA75/BA72</f>
        <v>#DIV/0!</v>
      </c>
      <c r="BB76" s="14" t="e">
        <f t="shared" ref="BB76" si="1037">BB75/BB72</f>
        <v>#DIV/0!</v>
      </c>
      <c r="BC76" s="13">
        <f t="shared" ref="BC76" si="1038">BC75/BC72</f>
        <v>-0.21489457155675196</v>
      </c>
      <c r="BD76" s="13">
        <f t="shared" ref="BD76" si="1039">BD75/BD72</f>
        <v>-0.21489457155675196</v>
      </c>
      <c r="BE76" s="13" t="e">
        <f t="shared" ref="BE76" si="1040">BE75/BE72</f>
        <v>#DIV/0!</v>
      </c>
      <c r="BF76" s="13">
        <f t="shared" ref="BF76" si="1041">BF75/BF72</f>
        <v>-0.8030750586987806</v>
      </c>
      <c r="BG76" s="13">
        <f t="shared" ref="BG76:BH76" si="1042">BG75/BG72</f>
        <v>1.3409669211195927</v>
      </c>
      <c r="BH76" s="165">
        <f t="shared" si="1042"/>
        <v>-0.10719404293905758</v>
      </c>
      <c r="BI76" s="46">
        <f t="shared" ref="BI76" si="1043">BI75/BI72</f>
        <v>-0.11123247437770931</v>
      </c>
      <c r="BJ76" s="13" t="e">
        <f t="shared" ref="BJ76:BK76" si="1044">BJ75/BJ72</f>
        <v>#DIV/0!</v>
      </c>
      <c r="BK76" s="52">
        <f t="shared" si="1044"/>
        <v>-0.11123247437770931</v>
      </c>
      <c r="BM76" s="165" t="e">
        <f t="shared" ref="BM76" si="1045">BM75/BM72</f>
        <v>#DIV/0!</v>
      </c>
    </row>
    <row r="77" spans="1:65" ht="15.75" x14ac:dyDescent="0.25">
      <c r="A77" s="130"/>
      <c r="B77" s="5" t="s">
        <v>134</v>
      </c>
      <c r="C77" s="11">
        <f>C74-C73</f>
        <v>-36860</v>
      </c>
      <c r="D77" s="11">
        <f t="shared" ref="D77:BK77" si="1046">D74-D73</f>
        <v>-4841</v>
      </c>
      <c r="E77" s="11">
        <f t="shared" si="1046"/>
        <v>-1046</v>
      </c>
      <c r="F77" s="11">
        <f t="shared" si="1046"/>
        <v>-169</v>
      </c>
      <c r="G77" s="11">
        <f t="shared" si="1046"/>
        <v>-1949</v>
      </c>
      <c r="H77" s="11">
        <f t="shared" si="1046"/>
        <v>0</v>
      </c>
      <c r="I77" s="11">
        <f t="shared" si="1046"/>
        <v>0</v>
      </c>
      <c r="J77" s="11">
        <f t="shared" si="1046"/>
        <v>27530</v>
      </c>
      <c r="K77" s="11">
        <f t="shared" si="1046"/>
        <v>-1272</v>
      </c>
      <c r="L77" s="11">
        <f t="shared" si="1046"/>
        <v>-15961</v>
      </c>
      <c r="M77" s="11">
        <f t="shared" si="1046"/>
        <v>5531</v>
      </c>
      <c r="N77" s="11">
        <f t="shared" si="1046"/>
        <v>0</v>
      </c>
      <c r="O77" s="11">
        <f t="shared" si="1046"/>
        <v>702</v>
      </c>
      <c r="P77" s="11">
        <f t="shared" si="1046"/>
        <v>9799</v>
      </c>
      <c r="Q77" s="11">
        <f t="shared" si="1046"/>
        <v>0</v>
      </c>
      <c r="R77" s="11">
        <f t="shared" si="1046"/>
        <v>824</v>
      </c>
      <c r="S77" s="11">
        <f t="shared" si="1046"/>
        <v>0</v>
      </c>
      <c r="T77" s="11">
        <f t="shared" si="1046"/>
        <v>0</v>
      </c>
      <c r="U77" s="11">
        <f t="shared" ref="U77" si="1047">U74-U73</f>
        <v>0</v>
      </c>
      <c r="V77" s="9">
        <f t="shared" si="1046"/>
        <v>0</v>
      </c>
      <c r="W77" s="11">
        <f t="shared" si="1046"/>
        <v>0</v>
      </c>
      <c r="X77" s="11">
        <f t="shared" si="1046"/>
        <v>0</v>
      </c>
      <c r="Y77" s="11">
        <f t="shared" si="1046"/>
        <v>1175</v>
      </c>
      <c r="Z77" s="11">
        <f t="shared" si="1046"/>
        <v>131</v>
      </c>
      <c r="AA77" s="11">
        <f t="shared" si="1046"/>
        <v>577</v>
      </c>
      <c r="AB77" s="11">
        <f t="shared" ref="AB77" si="1048">AB74-AB73</f>
        <v>0</v>
      </c>
      <c r="AC77" s="10">
        <f t="shared" ref="AC77:AD77" si="1049">AC74-AC73</f>
        <v>0</v>
      </c>
      <c r="AD77" s="11">
        <f t="shared" si="1049"/>
        <v>-15829</v>
      </c>
      <c r="AE77" s="11">
        <f t="shared" si="1046"/>
        <v>-370</v>
      </c>
      <c r="AF77" s="11">
        <f t="shared" si="1046"/>
        <v>-73</v>
      </c>
      <c r="AG77" s="11">
        <f t="shared" si="1046"/>
        <v>254</v>
      </c>
      <c r="AH77" s="11">
        <f t="shared" si="1046"/>
        <v>0</v>
      </c>
      <c r="AI77" s="11">
        <f t="shared" si="1046"/>
        <v>0</v>
      </c>
      <c r="AJ77" s="11">
        <f t="shared" si="1046"/>
        <v>-1813</v>
      </c>
      <c r="AK77" s="11">
        <f t="shared" si="1046"/>
        <v>5264</v>
      </c>
      <c r="AL77" s="11">
        <f t="shared" si="1046"/>
        <v>-2577</v>
      </c>
      <c r="AM77" s="11">
        <f t="shared" si="1046"/>
        <v>0</v>
      </c>
      <c r="AN77" s="11">
        <f t="shared" si="1046"/>
        <v>-16</v>
      </c>
      <c r="AO77" s="9">
        <f t="shared" si="1046"/>
        <v>-40110</v>
      </c>
      <c r="AP77" s="11">
        <f t="shared" si="1046"/>
        <v>490220</v>
      </c>
      <c r="AQ77" s="10">
        <f t="shared" si="1046"/>
        <v>0</v>
      </c>
      <c r="AR77" s="11">
        <f t="shared" si="1046"/>
        <v>0</v>
      </c>
      <c r="AS77" s="11">
        <f t="shared" si="1046"/>
        <v>0</v>
      </c>
      <c r="AT77" s="11">
        <f t="shared" si="1046"/>
        <v>0</v>
      </c>
      <c r="AU77" s="11">
        <f t="shared" si="1046"/>
        <v>0</v>
      </c>
      <c r="AV77" s="11">
        <f t="shared" si="1046"/>
        <v>0</v>
      </c>
      <c r="AW77" s="11">
        <f t="shared" si="1046"/>
        <v>0</v>
      </c>
      <c r="AX77" s="11">
        <f t="shared" si="1046"/>
        <v>724</v>
      </c>
      <c r="AY77" s="11">
        <f t="shared" si="1046"/>
        <v>0</v>
      </c>
      <c r="AZ77" s="11">
        <f t="shared" si="1046"/>
        <v>0</v>
      </c>
      <c r="BA77" s="11">
        <f t="shared" si="1046"/>
        <v>0</v>
      </c>
      <c r="BB77" s="10">
        <f t="shared" si="1046"/>
        <v>0</v>
      </c>
      <c r="BC77" s="11">
        <f t="shared" si="1046"/>
        <v>-2266</v>
      </c>
      <c r="BD77" s="11">
        <f t="shared" si="1046"/>
        <v>-779</v>
      </c>
      <c r="BE77" s="11">
        <f t="shared" si="1046"/>
        <v>0</v>
      </c>
      <c r="BF77" s="11">
        <f t="shared" si="1046"/>
        <v>-2275</v>
      </c>
      <c r="BG77" s="11">
        <f t="shared" si="1046"/>
        <v>-1480</v>
      </c>
      <c r="BH77" s="9">
        <f t="shared" si="1046"/>
        <v>444703</v>
      </c>
      <c r="BI77" s="45">
        <f t="shared" si="1046"/>
        <v>428874</v>
      </c>
      <c r="BJ77" s="11">
        <f t="shared" si="1046"/>
        <v>-42</v>
      </c>
      <c r="BK77" s="51">
        <f t="shared" si="1046"/>
        <v>428916</v>
      </c>
      <c r="BM77" s="30">
        <f t="shared" si="934"/>
        <v>444745</v>
      </c>
    </row>
    <row r="78" spans="1:65" ht="15.75" x14ac:dyDescent="0.25">
      <c r="A78" s="130"/>
      <c r="B78" s="5" t="s">
        <v>135</v>
      </c>
      <c r="C78" s="13">
        <f>C77/C73</f>
        <v>-3.8125263106722811E-2</v>
      </c>
      <c r="D78" s="13">
        <f t="shared" ref="D78" si="1050">D77/D73</f>
        <v>-2.7971825940242796E-2</v>
      </c>
      <c r="E78" s="13">
        <f t="shared" ref="E78" si="1051">E77/E73</f>
        <v>-0.90094745908699392</v>
      </c>
      <c r="F78" s="13">
        <f t="shared" ref="F78" si="1052">F77/F73</f>
        <v>-1.6137194801722574E-3</v>
      </c>
      <c r="G78" s="13">
        <f t="shared" ref="G78" si="1053">G77/G73</f>
        <v>-3.693596376523206E-2</v>
      </c>
      <c r="H78" s="13" t="e">
        <f t="shared" ref="H78" si="1054">H77/H73</f>
        <v>#DIV/0!</v>
      </c>
      <c r="I78" s="13" t="e">
        <f t="shared" ref="I78" si="1055">I77/I73</f>
        <v>#DIV/0!</v>
      </c>
      <c r="J78" s="13">
        <f t="shared" ref="J78" si="1056">J77/J73</f>
        <v>0.35695762667911413</v>
      </c>
      <c r="K78" s="13">
        <f t="shared" ref="K78" si="1057">K77/K73</f>
        <v>-0.74212368728121358</v>
      </c>
      <c r="L78" s="13">
        <f t="shared" ref="L78" si="1058">L77/L73</f>
        <v>-0.43209074419989713</v>
      </c>
      <c r="M78" s="13">
        <f t="shared" ref="M78" si="1059">M77/M73</f>
        <v>0.26577290855797414</v>
      </c>
      <c r="N78" s="13">
        <f t="shared" ref="N78" si="1060">N77/N73</f>
        <v>0</v>
      </c>
      <c r="O78" s="13">
        <f t="shared" ref="O78" si="1061">O77/O73</f>
        <v>0.45290322580645159</v>
      </c>
      <c r="P78" s="13">
        <f t="shared" ref="P78" si="1062">P77/P73</f>
        <v>0.27123007085916739</v>
      </c>
      <c r="Q78" s="13" t="e">
        <f t="shared" ref="Q78" si="1063">Q77/Q73</f>
        <v>#DIV/0!</v>
      </c>
      <c r="R78" s="13">
        <f t="shared" ref="R78" si="1064">R77/R73</f>
        <v>4.4064171122994651</v>
      </c>
      <c r="S78" s="13" t="e">
        <f t="shared" ref="S78" si="1065">S77/S73</f>
        <v>#DIV/0!</v>
      </c>
      <c r="T78" s="13" t="e">
        <f t="shared" ref="T78:U78" si="1066">T77/T73</f>
        <v>#DIV/0!</v>
      </c>
      <c r="U78" s="13" t="e">
        <f t="shared" si="1066"/>
        <v>#DIV/0!</v>
      </c>
      <c r="V78" s="165" t="e">
        <f t="shared" ref="V78" si="1067">V77/V73</f>
        <v>#DIV/0!</v>
      </c>
      <c r="W78" s="13" t="e">
        <f t="shared" ref="W78" si="1068">W77/W73</f>
        <v>#DIV/0!</v>
      </c>
      <c r="X78" s="13" t="e">
        <f t="shared" ref="X78" si="1069">X77/X73</f>
        <v>#DIV/0!</v>
      </c>
      <c r="Y78" s="13">
        <f t="shared" ref="Y78" si="1070">Y77/Y73</f>
        <v>2.1480804387568555</v>
      </c>
      <c r="Z78" s="13">
        <f t="shared" ref="Z78" si="1071">Z77/Z73</f>
        <v>1.0916666666666666</v>
      </c>
      <c r="AA78" s="13">
        <f t="shared" ref="AA78:AD78" si="1072">AA77/AA73</f>
        <v>8.8769230769230774</v>
      </c>
      <c r="AB78" s="13" t="e">
        <f t="shared" ref="AB78" si="1073">AB77/AB73</f>
        <v>#DIV/0!</v>
      </c>
      <c r="AC78" s="14" t="e">
        <f t="shared" si="1072"/>
        <v>#DIV/0!</v>
      </c>
      <c r="AD78" s="13">
        <f t="shared" si="1072"/>
        <v>-1.074077341168328E-2</v>
      </c>
      <c r="AE78" s="13">
        <f t="shared" ref="AE78" si="1074">AE77/AE73</f>
        <v>-0.20352035203520352</v>
      </c>
      <c r="AF78" s="13">
        <f t="shared" ref="AF78" si="1075">AF77/AF73</f>
        <v>-0.24013157894736842</v>
      </c>
      <c r="AG78" s="13">
        <f t="shared" ref="AG78" si="1076">AG77/AG73</f>
        <v>7.4377745241581264E-2</v>
      </c>
      <c r="AH78" s="13" t="e">
        <f t="shared" ref="AH78" si="1077">AH77/AH73</f>
        <v>#DIV/0!</v>
      </c>
      <c r="AI78" s="13" t="e">
        <f t="shared" ref="AI78" si="1078">AI77/AI73</f>
        <v>#DIV/0!</v>
      </c>
      <c r="AJ78" s="13">
        <f t="shared" ref="AJ78" si="1079">AJ77/AJ73</f>
        <v>-0.61645698741924515</v>
      </c>
      <c r="AK78" s="13">
        <f t="shared" ref="AK78" si="1080">AK77/AK73</f>
        <v>6.9721854304635764</v>
      </c>
      <c r="AL78" s="13">
        <f t="shared" ref="AL78" si="1081">AL77/AL73</f>
        <v>-0.49481566820276496</v>
      </c>
      <c r="AM78" s="13" t="e">
        <f t="shared" ref="AM78" si="1082">AM77/AM73</f>
        <v>#DIV/0!</v>
      </c>
      <c r="AN78" s="13">
        <f t="shared" ref="AN78" si="1083">AN77/AN73</f>
        <v>-1</v>
      </c>
      <c r="AO78" s="165">
        <f t="shared" ref="AO78" si="1084">AO77/AO73</f>
        <v>-0.5597186754301503</v>
      </c>
      <c r="AP78" s="13">
        <f t="shared" ref="AP78" si="1085">AP77/AP73</f>
        <v>0.12378208273163943</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t="e">
        <f t="shared" ref="AW78" si="1092">AW77/AW73</f>
        <v>#DIV/0!</v>
      </c>
      <c r="AX78" s="13">
        <f t="shared" ref="AX78" si="1093">AX77/AX73</f>
        <v>3.7512953367875648</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-0.47346427078980358</v>
      </c>
      <c r="BD78" s="13">
        <f t="shared" ref="BD78" si="1099">BD77/BD73</f>
        <v>-0.23613216126098818</v>
      </c>
      <c r="BE78" s="13" t="e">
        <f t="shared" ref="BE78" si="1100">BE77/BE73</f>
        <v>#DIV/0!</v>
      </c>
      <c r="BF78" s="13">
        <f t="shared" ref="BF78" si="1101">BF77/BF73</f>
        <v>-0.73221757322175729</v>
      </c>
      <c r="BG78" s="13">
        <f t="shared" ref="BG78:BH78" si="1102">BG77/BG73</f>
        <v>-0.5727554179566563</v>
      </c>
      <c r="BH78" s="165">
        <f t="shared" si="1102"/>
        <v>0.10952105119797539</v>
      </c>
      <c r="BI78" s="46">
        <f t="shared" ref="BI78" si="1103">BI77/BI73</f>
        <v>7.7495715703401635E-2</v>
      </c>
      <c r="BJ78" s="13">
        <f t="shared" ref="BJ78:BK78" si="1104">BJ77/BJ73</f>
        <v>-1</v>
      </c>
      <c r="BK78" s="52">
        <f t="shared" si="1104"/>
        <v>7.7503893119811956E-2</v>
      </c>
      <c r="BM78" s="14">
        <f t="shared" ref="BM78" si="1105">BM77/BM73</f>
        <v>0.10953252789385852</v>
      </c>
    </row>
    <row r="79" spans="1:65" ht="15.75" x14ac:dyDescent="0.25">
      <c r="A79" s="130"/>
      <c r="B79" s="5" t="s">
        <v>296</v>
      </c>
      <c r="C79" s="128">
        <f>C74/C71</f>
        <v>0.1577447066342974</v>
      </c>
      <c r="D79" s="128">
        <f t="shared" ref="D79:BK79" si="1106">D74/D71</f>
        <v>0.15838461364646336</v>
      </c>
      <c r="E79" s="128">
        <f t="shared" si="1106"/>
        <v>5.13292031922301E-4</v>
      </c>
      <c r="F79" s="128">
        <f t="shared" si="1106"/>
        <v>0.15391907905874386</v>
      </c>
      <c r="G79" s="128">
        <f t="shared" si="1106"/>
        <v>0.14837372262773724</v>
      </c>
      <c r="H79" s="128" t="e">
        <f t="shared" si="1106"/>
        <v>#DIV/0!</v>
      </c>
      <c r="I79" s="128" t="e">
        <f t="shared" si="1106"/>
        <v>#DIV/0!</v>
      </c>
      <c r="J79" s="128">
        <f t="shared" si="1106"/>
        <v>0.1900329571556976</v>
      </c>
      <c r="K79" s="128">
        <f t="shared" si="1106"/>
        <v>7.1838379898256054E-3</v>
      </c>
      <c r="L79" s="128">
        <f t="shared" si="1106"/>
        <v>0.10376415887619331</v>
      </c>
      <c r="M79" s="128">
        <f t="shared" si="1106"/>
        <v>0.11300486905042792</v>
      </c>
      <c r="N79" s="128">
        <f t="shared" si="1106"/>
        <v>8.8888888888888889E-3</v>
      </c>
      <c r="O79" s="128">
        <f t="shared" si="1106"/>
        <v>0.15197732487515184</v>
      </c>
      <c r="P79" s="128">
        <f t="shared" si="1106"/>
        <v>0.26622650149845517</v>
      </c>
      <c r="Q79" s="128" t="e">
        <f t="shared" si="1106"/>
        <v>#DIV/0!</v>
      </c>
      <c r="R79" s="128">
        <f t="shared" si="1106"/>
        <v>9.1171431147984483E-2</v>
      </c>
      <c r="S79" s="128" t="e">
        <f t="shared" si="1106"/>
        <v>#DIV/0!</v>
      </c>
      <c r="T79" s="128" t="e">
        <f t="shared" si="1106"/>
        <v>#DIV/0!</v>
      </c>
      <c r="U79" s="128" t="e">
        <f t="shared" si="1106"/>
        <v>#DIV/0!</v>
      </c>
      <c r="V79" s="180" t="e">
        <f t="shared" si="1106"/>
        <v>#DIV/0!</v>
      </c>
      <c r="W79" s="128" t="e">
        <f t="shared" si="1106"/>
        <v>#DIV/0!</v>
      </c>
      <c r="X79" s="128" t="e">
        <f t="shared" si="1106"/>
        <v>#DIV/0!</v>
      </c>
      <c r="Y79" s="128">
        <f t="shared" si="1106"/>
        <v>0.74480968858131491</v>
      </c>
      <c r="Z79" s="128">
        <f t="shared" si="1106"/>
        <v>0.39589905362776023</v>
      </c>
      <c r="AA79" s="128">
        <f t="shared" si="1106"/>
        <v>1.2612966601178781</v>
      </c>
      <c r="AB79" s="128">
        <f t="shared" ref="AB79" si="1107">AB74/AB71</f>
        <v>0</v>
      </c>
      <c r="AC79" s="228" t="e">
        <f t="shared" si="1106"/>
        <v>#DIV/0!</v>
      </c>
      <c r="AD79" s="128">
        <f t="shared" si="1106"/>
        <v>0.15404246281809075</v>
      </c>
      <c r="AE79" s="128">
        <f t="shared" si="1106"/>
        <v>0.14108935009256551</v>
      </c>
      <c r="AF79" s="128">
        <f t="shared" si="1106"/>
        <v>0.36377952755905513</v>
      </c>
      <c r="AG79" s="128">
        <f t="shared" si="1106"/>
        <v>0.60544554455445543</v>
      </c>
      <c r="AH79" s="128" t="e">
        <f t="shared" si="1106"/>
        <v>#DIV/0!</v>
      </c>
      <c r="AI79" s="128" t="e">
        <f t="shared" si="1106"/>
        <v>#DIV/0!</v>
      </c>
      <c r="AJ79" s="128">
        <f t="shared" si="1106"/>
        <v>7.8257249895934508E-2</v>
      </c>
      <c r="AK79" s="128">
        <f t="shared" si="1106"/>
        <v>0.22888542419287372</v>
      </c>
      <c r="AL79" s="128">
        <f t="shared" si="1106"/>
        <v>4.6173285832119479E-2</v>
      </c>
      <c r="AM79" s="128" t="e">
        <f t="shared" si="1106"/>
        <v>#DIV/0!</v>
      </c>
      <c r="AN79" s="128">
        <f t="shared" si="1106"/>
        <v>0</v>
      </c>
      <c r="AO79" s="180">
        <f t="shared" si="1106"/>
        <v>8.0118739572832096E-2</v>
      </c>
      <c r="AP79" s="128">
        <f t="shared" si="1106"/>
        <v>0.28837881643417657</v>
      </c>
      <c r="AQ79" s="228" t="e">
        <f t="shared" si="1106"/>
        <v>#DIV/0!</v>
      </c>
      <c r="AR79" s="128" t="e">
        <f t="shared" si="1106"/>
        <v>#DIV/0!</v>
      </c>
      <c r="AS79" s="128" t="e">
        <f t="shared" si="1106"/>
        <v>#DIV/0!</v>
      </c>
      <c r="AT79" s="128" t="e">
        <f t="shared" si="1106"/>
        <v>#DIV/0!</v>
      </c>
      <c r="AU79" s="128" t="e">
        <f t="shared" si="1106"/>
        <v>#DIV/0!</v>
      </c>
      <c r="AV79" s="128" t="e">
        <f t="shared" si="1106"/>
        <v>#DIV/0!</v>
      </c>
      <c r="AW79" s="128">
        <f t="shared" si="1106"/>
        <v>0</v>
      </c>
      <c r="AX79" s="128">
        <f t="shared" si="1106"/>
        <v>0.34695421869088156</v>
      </c>
      <c r="AY79" s="128">
        <f t="shared" si="1106"/>
        <v>0</v>
      </c>
      <c r="AZ79" s="128" t="e">
        <f t="shared" si="1106"/>
        <v>#DIV/0!</v>
      </c>
      <c r="BA79" s="128" t="e">
        <f t="shared" si="1106"/>
        <v>#DIV/0!</v>
      </c>
      <c r="BB79" s="228" t="e">
        <f t="shared" si="1106"/>
        <v>#DIV/0!</v>
      </c>
      <c r="BC79" s="128">
        <f t="shared" si="1106"/>
        <v>0.14131897711978467</v>
      </c>
      <c r="BD79" s="128">
        <f t="shared" si="1106"/>
        <v>0.14131897711978467</v>
      </c>
      <c r="BE79" s="128" t="e">
        <f t="shared" si="1106"/>
        <v>#DIV/0!</v>
      </c>
      <c r="BF79" s="128">
        <f t="shared" si="1106"/>
        <v>3.5446489434219498E-2</v>
      </c>
      <c r="BG79" s="128">
        <f t="shared" si="1106"/>
        <v>0.38200692041522494</v>
      </c>
      <c r="BH79" s="180">
        <f t="shared" si="1106"/>
        <v>0.28144486965656773</v>
      </c>
      <c r="BI79" s="128">
        <f t="shared" si="1106"/>
        <v>0.23410669842404758</v>
      </c>
      <c r="BJ79" s="128" t="e">
        <f t="shared" si="1106"/>
        <v>#DIV/0!</v>
      </c>
      <c r="BK79" s="128">
        <f t="shared" si="1106"/>
        <v>0.23410669842404758</v>
      </c>
      <c r="BM79" s="128" t="e">
        <f t="shared" ref="BM79" si="1108">BM74/BM71</f>
        <v>#DIV/0!</v>
      </c>
    </row>
    <row r="80" spans="1:65" s="183" customFormat="1" ht="15.75" x14ac:dyDescent="0.25">
      <c r="A80" s="130"/>
      <c r="B80" s="5" t="s">
        <v>297</v>
      </c>
      <c r="C80" s="11">
        <f>C74-C71</f>
        <v>-4965351</v>
      </c>
      <c r="D80" s="11">
        <f t="shared" ref="D80:BM80" si="1109">D74-D71</f>
        <v>-893910</v>
      </c>
      <c r="E80" s="11">
        <f t="shared" si="1109"/>
        <v>-223929</v>
      </c>
      <c r="F80" s="11">
        <f t="shared" si="1109"/>
        <v>-574747</v>
      </c>
      <c r="G80" s="11">
        <f t="shared" si="1109"/>
        <v>-291682</v>
      </c>
      <c r="H80" s="11">
        <f t="shared" si="1109"/>
        <v>0</v>
      </c>
      <c r="I80" s="11">
        <f t="shared" si="1109"/>
        <v>0</v>
      </c>
      <c r="J80" s="11">
        <f t="shared" si="1109"/>
        <v>-446061</v>
      </c>
      <c r="K80" s="11">
        <f t="shared" si="1109"/>
        <v>-61085</v>
      </c>
      <c r="L80" s="11">
        <f t="shared" si="1109"/>
        <v>-181192</v>
      </c>
      <c r="M80" s="11">
        <f t="shared" si="1109"/>
        <v>-206763</v>
      </c>
      <c r="N80" s="11">
        <f t="shared" si="1109"/>
        <v>-1115</v>
      </c>
      <c r="O80" s="11">
        <f t="shared" si="1109"/>
        <v>-12566</v>
      </c>
      <c r="P80" s="11">
        <f t="shared" si="1109"/>
        <v>-126584</v>
      </c>
      <c r="Q80" s="11">
        <f t="shared" si="1109"/>
        <v>0</v>
      </c>
      <c r="R80" s="11">
        <f t="shared" si="1109"/>
        <v>-10078</v>
      </c>
      <c r="S80" s="11">
        <f t="shared" si="1109"/>
        <v>0</v>
      </c>
      <c r="T80" s="11">
        <f t="shared" si="1109"/>
        <v>0</v>
      </c>
      <c r="U80" s="11">
        <f t="shared" si="1109"/>
        <v>0</v>
      </c>
      <c r="V80" s="9">
        <f t="shared" si="1109"/>
        <v>0</v>
      </c>
      <c r="W80" s="11">
        <f t="shared" si="1109"/>
        <v>0</v>
      </c>
      <c r="X80" s="11">
        <f t="shared" si="1109"/>
        <v>0</v>
      </c>
      <c r="Y80" s="11">
        <f t="shared" si="1109"/>
        <v>-590</v>
      </c>
      <c r="Z80" s="11">
        <f t="shared" si="1109"/>
        <v>-383</v>
      </c>
      <c r="AA80" s="11">
        <f t="shared" si="1109"/>
        <v>133</v>
      </c>
      <c r="AB80" s="11">
        <f t="shared" ref="AB80" si="1110">AB74-AB71</f>
        <v>-10476</v>
      </c>
      <c r="AC80" s="10">
        <f t="shared" si="1109"/>
        <v>0</v>
      </c>
      <c r="AD80" s="11">
        <f t="shared" si="1109"/>
        <v>-8006379</v>
      </c>
      <c r="AE80" s="11">
        <f t="shared" si="1109"/>
        <v>-8815</v>
      </c>
      <c r="AF80" s="11">
        <f t="shared" si="1109"/>
        <v>-404</v>
      </c>
      <c r="AG80" s="11">
        <f t="shared" si="1109"/>
        <v>-2391</v>
      </c>
      <c r="AH80" s="11">
        <f t="shared" si="1109"/>
        <v>0</v>
      </c>
      <c r="AI80" s="11">
        <f t="shared" si="1109"/>
        <v>0</v>
      </c>
      <c r="AJ80" s="11">
        <f t="shared" si="1109"/>
        <v>-13286</v>
      </c>
      <c r="AK80" s="11">
        <f t="shared" si="1109"/>
        <v>-20278</v>
      </c>
      <c r="AL80" s="11">
        <f t="shared" si="1109"/>
        <v>-54350</v>
      </c>
      <c r="AM80" s="11">
        <f t="shared" si="1109"/>
        <v>0</v>
      </c>
      <c r="AN80" s="11">
        <f t="shared" si="1109"/>
        <v>-342</v>
      </c>
      <c r="AO80" s="9">
        <f t="shared" si="1109"/>
        <v>-362252</v>
      </c>
      <c r="AP80" s="11">
        <f t="shared" si="1109"/>
        <v>-10982491</v>
      </c>
      <c r="AQ80" s="10">
        <f t="shared" si="1109"/>
        <v>0</v>
      </c>
      <c r="AR80" s="11">
        <f t="shared" si="1109"/>
        <v>0</v>
      </c>
      <c r="AS80" s="11">
        <f t="shared" si="1109"/>
        <v>0</v>
      </c>
      <c r="AT80" s="11">
        <f t="shared" si="1109"/>
        <v>0</v>
      </c>
      <c r="AU80" s="11">
        <f t="shared" si="1109"/>
        <v>0</v>
      </c>
      <c r="AV80" s="11">
        <f t="shared" si="1109"/>
        <v>0</v>
      </c>
      <c r="AW80" s="11">
        <f t="shared" si="1109"/>
        <v>-602</v>
      </c>
      <c r="AX80" s="11">
        <f t="shared" si="1109"/>
        <v>-1726</v>
      </c>
      <c r="AY80" s="11">
        <f t="shared" si="1109"/>
        <v>-50</v>
      </c>
      <c r="AZ80" s="11">
        <f t="shared" si="1109"/>
        <v>0</v>
      </c>
      <c r="BA80" s="11">
        <f t="shared" si="1109"/>
        <v>0</v>
      </c>
      <c r="BB80" s="10">
        <f t="shared" si="1109"/>
        <v>0</v>
      </c>
      <c r="BC80" s="11">
        <f t="shared" si="1109"/>
        <v>-15312</v>
      </c>
      <c r="BD80" s="11">
        <f t="shared" si="1109"/>
        <v>-15312</v>
      </c>
      <c r="BE80" s="11">
        <f t="shared" si="1109"/>
        <v>0</v>
      </c>
      <c r="BF80" s="11">
        <f t="shared" si="1109"/>
        <v>-22640</v>
      </c>
      <c r="BG80" s="11">
        <f t="shared" si="1109"/>
        <v>-1786</v>
      </c>
      <c r="BH80" s="11">
        <f t="shared" si="1109"/>
        <v>-11502037</v>
      </c>
      <c r="BI80" s="11">
        <f t="shared" si="1109"/>
        <v>-19508416</v>
      </c>
      <c r="BJ80" s="11">
        <f t="shared" si="1109"/>
        <v>0</v>
      </c>
      <c r="BK80" s="11">
        <f t="shared" si="1109"/>
        <v>-19508416</v>
      </c>
      <c r="BL80" s="11">
        <f t="shared" si="1109"/>
        <v>5963029</v>
      </c>
      <c r="BM80" s="11">
        <f t="shared" si="1109"/>
        <v>4505137</v>
      </c>
    </row>
    <row r="81" spans="1:65" s="183" customFormat="1" ht="15.75" x14ac:dyDescent="0.2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ht="15.75" x14ac:dyDescent="0.25">
      <c r="A82" s="15" t="s">
        <v>34</v>
      </c>
      <c r="B82" s="11" t="s">
        <v>301</v>
      </c>
      <c r="C82" s="122">
        <v>16780</v>
      </c>
      <c r="D82" s="122">
        <v>3056</v>
      </c>
      <c r="E82" s="122">
        <v>546</v>
      </c>
      <c r="F82" s="122">
        <v>1874</v>
      </c>
      <c r="G82" s="122">
        <v>734</v>
      </c>
      <c r="H82" s="122">
        <v>0</v>
      </c>
      <c r="I82" s="122">
        <v>0</v>
      </c>
      <c r="J82" s="122">
        <v>1215</v>
      </c>
      <c r="K82" s="122">
        <v>0</v>
      </c>
      <c r="L82" s="122">
        <v>475</v>
      </c>
      <c r="M82" s="122">
        <v>417</v>
      </c>
      <c r="N82" s="122">
        <v>0</v>
      </c>
      <c r="O82" s="122">
        <v>0</v>
      </c>
      <c r="P82" s="122">
        <v>233</v>
      </c>
      <c r="Q82" s="122">
        <v>0</v>
      </c>
      <c r="R82" s="122">
        <v>150</v>
      </c>
      <c r="S82" s="122">
        <v>0</v>
      </c>
      <c r="T82" s="122">
        <v>0</v>
      </c>
      <c r="U82" s="122"/>
      <c r="V82" s="195">
        <v>0</v>
      </c>
      <c r="W82" s="122">
        <v>0</v>
      </c>
      <c r="X82" s="122">
        <v>0</v>
      </c>
      <c r="Y82" s="122">
        <v>170</v>
      </c>
      <c r="Z82" s="122">
        <v>0</v>
      </c>
      <c r="AA82" s="122">
        <v>0</v>
      </c>
      <c r="AB82" s="122">
        <v>33</v>
      </c>
      <c r="AC82" s="154">
        <v>0</v>
      </c>
      <c r="AD82" s="123">
        <f t="shared" ref="AD82" si="1111">SUM(C82:AC82)</f>
        <v>25683</v>
      </c>
      <c r="AE82" s="122">
        <v>0</v>
      </c>
      <c r="AF82" s="122">
        <v>0</v>
      </c>
      <c r="AG82" s="122">
        <v>0</v>
      </c>
      <c r="AH82" s="122">
        <v>0</v>
      </c>
      <c r="AI82" s="122">
        <v>0</v>
      </c>
      <c r="AJ82" s="122">
        <v>0</v>
      </c>
      <c r="AK82" s="122">
        <v>142538</v>
      </c>
      <c r="AL82" s="122">
        <v>9603</v>
      </c>
      <c r="AM82" s="122">
        <v>6851582</v>
      </c>
      <c r="AN82" s="122">
        <v>0</v>
      </c>
      <c r="AO82" s="195">
        <v>0</v>
      </c>
      <c r="AP82" s="122">
        <v>0</v>
      </c>
      <c r="AQ82" s="154">
        <v>0</v>
      </c>
      <c r="AR82" s="122">
        <v>789456</v>
      </c>
      <c r="AS82" s="122"/>
      <c r="AT82" s="122"/>
      <c r="AU82" s="122">
        <v>348261</v>
      </c>
      <c r="AV82" s="122"/>
      <c r="AW82" s="122">
        <v>0</v>
      </c>
      <c r="AX82" s="122">
        <v>0</v>
      </c>
      <c r="AY82" s="122">
        <v>0</v>
      </c>
      <c r="AZ82" s="122">
        <v>317324</v>
      </c>
      <c r="BA82" s="122">
        <v>541110</v>
      </c>
      <c r="BB82" s="154">
        <v>0</v>
      </c>
      <c r="BC82" s="122">
        <v>0</v>
      </c>
      <c r="BD82" s="122">
        <v>0</v>
      </c>
      <c r="BE82" s="122">
        <v>0</v>
      </c>
      <c r="BF82" s="122">
        <v>0</v>
      </c>
      <c r="BG82" s="122">
        <v>25836</v>
      </c>
      <c r="BH82" s="9">
        <f>SUM(AE82:BG82)</f>
        <v>9025710</v>
      </c>
      <c r="BI82" s="127">
        <f>AD82+BH82</f>
        <v>9051393</v>
      </c>
      <c r="BJ82" s="98">
        <v>477776</v>
      </c>
      <c r="BK82" s="51">
        <f t="shared" ref="BK82" si="1112">BI82-BJ82</f>
        <v>8573617</v>
      </c>
      <c r="BL82">
        <v>8</v>
      </c>
      <c r="BM82" s="30"/>
    </row>
    <row r="83" spans="1:65" s="217" customFormat="1" ht="15.75" x14ac:dyDescent="0.25">
      <c r="A83" s="130" t="s">
        <v>34</v>
      </c>
      <c r="B83" s="196" t="s">
        <v>320</v>
      </c>
      <c r="C83" s="9">
        <v>3020.4</v>
      </c>
      <c r="D83" s="9">
        <v>550.08000000000004</v>
      </c>
      <c r="E83" s="9">
        <v>0</v>
      </c>
      <c r="F83" s="9">
        <v>337.32000000000005</v>
      </c>
      <c r="G83" s="9">
        <v>132.12</v>
      </c>
      <c r="H83" s="9">
        <v>0</v>
      </c>
      <c r="I83" s="9">
        <v>0</v>
      </c>
      <c r="J83" s="9">
        <v>218.7</v>
      </c>
      <c r="K83" s="9">
        <v>0</v>
      </c>
      <c r="L83" s="9">
        <v>85.5</v>
      </c>
      <c r="M83" s="9">
        <v>75.06</v>
      </c>
      <c r="N83" s="9">
        <v>0</v>
      </c>
      <c r="O83" s="9">
        <v>0</v>
      </c>
      <c r="P83" s="9">
        <v>41.94</v>
      </c>
      <c r="Q83" s="9">
        <v>0</v>
      </c>
      <c r="R83" s="9">
        <v>27</v>
      </c>
      <c r="S83" s="9">
        <v>0</v>
      </c>
      <c r="T83" s="9">
        <v>0</v>
      </c>
      <c r="U83" s="9"/>
      <c r="V83" s="9">
        <v>0</v>
      </c>
      <c r="W83" s="9">
        <v>0</v>
      </c>
      <c r="X83" s="9">
        <v>0</v>
      </c>
      <c r="Y83" s="9">
        <v>30.6</v>
      </c>
      <c r="Z83" s="9">
        <v>0</v>
      </c>
      <c r="AA83" s="9">
        <v>0</v>
      </c>
      <c r="AB83" s="9">
        <v>5.94</v>
      </c>
      <c r="AC83" s="10">
        <v>0</v>
      </c>
      <c r="AD83" s="123">
        <v>4524.66</v>
      </c>
      <c r="AE83" s="9">
        <v>0</v>
      </c>
      <c r="AF83" s="9">
        <v>0</v>
      </c>
      <c r="AG83" s="9">
        <v>0</v>
      </c>
      <c r="AH83" s="9">
        <v>0</v>
      </c>
      <c r="AI83" s="9">
        <v>0</v>
      </c>
      <c r="AJ83" s="9">
        <v>0</v>
      </c>
      <c r="AK83" s="9">
        <v>25656.840000000004</v>
      </c>
      <c r="AL83" s="9">
        <v>1728.54</v>
      </c>
      <c r="AM83" s="9">
        <v>1233284.7600000002</v>
      </c>
      <c r="AN83" s="9">
        <v>0</v>
      </c>
      <c r="AO83" s="9">
        <v>0</v>
      </c>
      <c r="AP83" s="9">
        <v>0</v>
      </c>
      <c r="AQ83" s="10">
        <v>0</v>
      </c>
      <c r="AR83" s="9">
        <v>142102.08000000002</v>
      </c>
      <c r="AS83" s="9"/>
      <c r="AT83" s="9"/>
      <c r="AU83" s="9">
        <v>62686.979999999996</v>
      </c>
      <c r="AV83" s="9"/>
      <c r="AW83" s="9">
        <v>0</v>
      </c>
      <c r="AX83" s="9">
        <v>0</v>
      </c>
      <c r="AY83" s="9">
        <v>0</v>
      </c>
      <c r="AZ83" s="9">
        <v>57118.320000000007</v>
      </c>
      <c r="BA83" s="9">
        <v>97399.8</v>
      </c>
      <c r="BB83" s="10">
        <v>0</v>
      </c>
      <c r="BC83" s="9">
        <v>0</v>
      </c>
      <c r="BD83" s="9">
        <v>0</v>
      </c>
      <c r="BE83" s="9">
        <v>0</v>
      </c>
      <c r="BF83" s="9">
        <v>0</v>
      </c>
      <c r="BG83" s="9">
        <v>4650.4800000000005</v>
      </c>
      <c r="BH83" s="9">
        <v>1624627.8000000003</v>
      </c>
      <c r="BI83" s="127">
        <v>1629152.4600000002</v>
      </c>
      <c r="BJ83" s="9">
        <v>79629.333333333328</v>
      </c>
      <c r="BK83" s="51">
        <v>1549523.1266666669</v>
      </c>
      <c r="BL83" s="101"/>
      <c r="BM83" s="30"/>
    </row>
    <row r="84" spans="1:65" ht="15.75" x14ac:dyDescent="0.25">
      <c r="A84" s="130"/>
      <c r="B84" s="12" t="s">
        <v>322</v>
      </c>
      <c r="C84" s="9">
        <f>IF('Upto Month COPPY'!$I$4="",0,'Upto Month COPPY'!$I$4)</f>
        <v>2445</v>
      </c>
      <c r="D84" s="9">
        <f>IF('Upto Month COPPY'!$I$5="",0,'Upto Month COPPY'!$I$5)</f>
        <v>416</v>
      </c>
      <c r="E84" s="9">
        <f>IF('Upto Month COPPY'!$I$6="",0,'Upto Month COPPY'!$I$6)</f>
        <v>0</v>
      </c>
      <c r="F84" s="9">
        <f>IF('Upto Month COPPY'!$I$7="",0,'Upto Month COPPY'!$I$7)</f>
        <v>277</v>
      </c>
      <c r="G84" s="9">
        <f>IF('Upto Month COPPY'!$I$8="",0,'Upto Month COPPY'!$I$8)</f>
        <v>106</v>
      </c>
      <c r="H84" s="9">
        <f>IF('Upto Month COPPY'!$I$9="",0,'Upto Month COPPY'!$I$9)</f>
        <v>0</v>
      </c>
      <c r="I84" s="9">
        <f>IF('Upto Month COPPY'!$I$10="",0,'Upto Month COPPY'!$I$10)</f>
        <v>0</v>
      </c>
      <c r="J84" s="9">
        <f>IF('Upto Month COPPY'!$I$11="",0,'Upto Month COPPY'!$I$11)</f>
        <v>280</v>
      </c>
      <c r="K84" s="9">
        <f>IF('Upto Month COPPY'!$I$12="",0,'Upto Month COPPY'!$I$12)</f>
        <v>0</v>
      </c>
      <c r="L84" s="9">
        <f>IF('Upto Month COPPY'!$I$13="",0,'Upto Month COPPY'!$I$13)</f>
        <v>119</v>
      </c>
      <c r="M84" s="9">
        <f>IF('Upto Month COPPY'!$I$14="",0,'Upto Month COPPY'!$I$14)</f>
        <v>33</v>
      </c>
      <c r="N84" s="9">
        <f>IF('Upto Month COPPY'!$I$15="",0,'Upto Month COPPY'!$I$15)</f>
        <v>0</v>
      </c>
      <c r="O84" s="9">
        <f>IF('Upto Month COPPY'!$I$16="",0,'Upto Month COPPY'!$I$16)</f>
        <v>0</v>
      </c>
      <c r="P84" s="9">
        <f>IF('Upto Month COPPY'!$I$17="",0,'Upto Month COPPY'!$I$17)</f>
        <v>11</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10">
        <f>IF('Upto Month COPPY'!$I$51="",0,'Upto Month COPPY'!$I$51)</f>
        <v>0</v>
      </c>
      <c r="AD84" s="123">
        <f t="shared" ref="AD84:AD85" si="1113">SUM(C84:AC84)</f>
        <v>3687</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30654</v>
      </c>
      <c r="AL84" s="9">
        <f>IF('Upto Month COPPY'!$I$29="",0,'Upto Month COPPY'!$I$29)</f>
        <v>0</v>
      </c>
      <c r="AM84" s="9">
        <f>IF('Upto Month COPPY'!$I$31="",0,'Upto Month COPPY'!$I$31)</f>
        <v>1028535</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194859</v>
      </c>
      <c r="AS84" s="9">
        <v>0</v>
      </c>
      <c r="AT84" s="9">
        <f>IF('Upto Month COPPY'!$I$38="",0,'Upto Month COPPY'!$I$38)</f>
        <v>0</v>
      </c>
      <c r="AU84" s="9">
        <f>IF('Upto Month COPPY'!$I$41="",0,'Upto Month COPPY'!$I$41)</f>
        <v>89788</v>
      </c>
      <c r="AV84" s="9">
        <v>0</v>
      </c>
      <c r="AW84" s="9">
        <f>IF('Upto Month COPPY'!$I$45="",0,'Upto Month COPPY'!$I$45)</f>
        <v>0</v>
      </c>
      <c r="AX84" s="9">
        <f>IF('Upto Month COPPY'!$I$46="",0,'Upto Month COPPY'!$I$46)</f>
        <v>0</v>
      </c>
      <c r="AY84" s="9">
        <f>IF('Upto Month COPPY'!$I$47="",0,'Upto Month COPPY'!$I$47)</f>
        <v>0</v>
      </c>
      <c r="AZ84" s="9">
        <f>IF('Upto Month COPPY'!$I$49="",0,'Upto Month COPPY'!$I$49)</f>
        <v>44129</v>
      </c>
      <c r="BA84" s="9">
        <f>IF('Upto Month COPPY'!$I$50="",0,'Upto Month COPPY'!$I$50)</f>
        <v>243458</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20439</v>
      </c>
      <c r="BH84" s="9">
        <f>SUM(AE84:BG84)</f>
        <v>1651862</v>
      </c>
      <c r="BI84" s="127">
        <f>AD84+BH84</f>
        <v>1655549</v>
      </c>
      <c r="BJ84" s="9">
        <f>IF('Upto Month COPPY'!$I$60="",0,'Upto Month COPPY'!$I$60)+53069</f>
        <v>60042</v>
      </c>
      <c r="BK84" s="51">
        <f t="shared" ref="BK84:BK85" si="1114">BI84-BJ84</f>
        <v>1595507</v>
      </c>
      <c r="BL84">
        <f>'Upto Month COPPY'!$I$61</f>
        <v>1595509</v>
      </c>
      <c r="BM84" s="30">
        <f t="shared" ref="BM84:BM88" si="1115">BK84-AD84</f>
        <v>1591820</v>
      </c>
    </row>
    <row r="85" spans="1:65" ht="15.75" x14ac:dyDescent="0.25">
      <c r="A85" s="130"/>
      <c r="B85" s="185" t="s">
        <v>323</v>
      </c>
      <c r="C85" s="9">
        <f>IF('Upto Month Current'!$I$4="",0,'Upto Month Current'!$I$4)</f>
        <v>2390</v>
      </c>
      <c r="D85" s="9">
        <f>IF('Upto Month Current'!$I$5="",0,'Upto Month Current'!$I$5)</f>
        <v>406</v>
      </c>
      <c r="E85" s="9">
        <f>IF('Upto Month Current'!$I$6="",0,'Upto Month Current'!$I$6)</f>
        <v>0</v>
      </c>
      <c r="F85" s="9">
        <f>IF('Upto Month Current'!$I$7="",0,'Upto Month Current'!$I$7)</f>
        <v>258</v>
      </c>
      <c r="G85" s="9">
        <f>IF('Upto Month Current'!$I$8="",0,'Upto Month Current'!$I$8)</f>
        <v>107</v>
      </c>
      <c r="H85" s="9">
        <f>IF('Upto Month Current'!$I$9="",0,'Upto Month Current'!$I$9)</f>
        <v>0</v>
      </c>
      <c r="I85" s="9">
        <f>IF('Upto Month Current'!$I$10="",0,'Upto Month Current'!$I$10)</f>
        <v>0</v>
      </c>
      <c r="J85" s="9">
        <f>IF('Upto Month Current'!$I$11="",0,'Upto Month Current'!$I$11)</f>
        <v>67</v>
      </c>
      <c r="K85" s="9">
        <f>IF('Upto Month Current'!$I$12="",0,'Upto Month Current'!$I$12)</f>
        <v>0</v>
      </c>
      <c r="L85" s="9">
        <f>IF('Upto Month Current'!$I$13="",0,'Upto Month Current'!$I$13)</f>
        <v>57</v>
      </c>
      <c r="M85" s="9">
        <f>IF('Upto Month Current'!$I$14="",0,'Upto Month Current'!$I$14)</f>
        <v>33</v>
      </c>
      <c r="N85" s="9">
        <f>IF('Upto Month Current'!$I$15="",0,'Upto Month Current'!$I$15)</f>
        <v>0</v>
      </c>
      <c r="O85" s="9">
        <f>IF('Upto Month Current'!$I$16="",0,'Upto Month Current'!$I$16)</f>
        <v>0</v>
      </c>
      <c r="P85" s="9">
        <f>IF('Upto Month Current'!$I$17="",0,'Upto Month Current'!$I$17)</f>
        <v>13</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10">
        <f>IF('Upto Month Current'!$I$51="",0,'Upto Month Current'!$I$51)</f>
        <v>0</v>
      </c>
      <c r="AD85" s="123">
        <f t="shared" si="1113"/>
        <v>3331</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63731</v>
      </c>
      <c r="AL85" s="9">
        <f>IF('Upto Month Current'!$I$29="",0,'Upto Month Current'!$I$29)</f>
        <v>0</v>
      </c>
      <c r="AM85" s="9">
        <f>IF('Upto Month Current'!$I$31="",0,'Upto Month Current'!$I$31)</f>
        <v>1304736</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338211</v>
      </c>
      <c r="AS85" s="9">
        <v>0</v>
      </c>
      <c r="AT85" s="9">
        <f>IF('Upto Month Current'!$I$38="",0,'Upto Month Current'!$I$38)</f>
        <v>0</v>
      </c>
      <c r="AU85" s="9">
        <f>IF('Upto Month Current'!$I$41="",0,'Upto Month Current'!$I$41)</f>
        <v>140459</v>
      </c>
      <c r="AV85" s="9">
        <v>0</v>
      </c>
      <c r="AW85" s="9">
        <f>IF('Upto Month Current'!$I$45="",0,'Upto Month Current'!$I$45)</f>
        <v>0</v>
      </c>
      <c r="AX85" s="9">
        <f>IF('Upto Month Current'!$I$46="",0,'Upto Month Current'!$I$46)</f>
        <v>0</v>
      </c>
      <c r="AY85" s="9">
        <f>IF('Upto Month Current'!$I$47="",0,'Upto Month Current'!$I$47)</f>
        <v>0</v>
      </c>
      <c r="AZ85" s="9">
        <f>IF('Upto Month Current'!$I$49="",0,'Upto Month Current'!$I$49)</f>
        <v>243459</v>
      </c>
      <c r="BA85" s="9">
        <f>IF('Upto Month Current'!$I$50="",0,'Upto Month Current'!$I$50)</f>
        <v>123997</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39717</v>
      </c>
      <c r="BH85" s="9">
        <f>SUM(AE85:BG85)</f>
        <v>2254311</v>
      </c>
      <c r="BI85" s="127">
        <f>AD85+BH85</f>
        <v>2257642</v>
      </c>
      <c r="BJ85" s="9">
        <f>IF('Upto Month Current'!$I$60="",0,'Upto Month Current'!$I$60)-'Upto Month Current'!I57</f>
        <v>6004</v>
      </c>
      <c r="BK85" s="51">
        <f t="shared" si="1114"/>
        <v>2251638</v>
      </c>
      <c r="BL85" s="101">
        <f>'Upto Month Current'!$I$61</f>
        <v>2251637</v>
      </c>
      <c r="BM85" s="30">
        <f t="shared" si="1115"/>
        <v>2248307</v>
      </c>
    </row>
    <row r="86" spans="1:65" ht="15.75" x14ac:dyDescent="0.25">
      <c r="A86" s="130"/>
      <c r="B86" s="5" t="s">
        <v>132</v>
      </c>
      <c r="C86" s="11">
        <f>C85-C83</f>
        <v>-630.40000000000009</v>
      </c>
      <c r="D86" s="11">
        <f t="shared" ref="D86" si="1116">D85-D83</f>
        <v>-144.08000000000004</v>
      </c>
      <c r="E86" s="11">
        <f t="shared" ref="E86" si="1117">E85-E83</f>
        <v>0</v>
      </c>
      <c r="F86" s="11">
        <f t="shared" ref="F86" si="1118">F85-F83</f>
        <v>-79.32000000000005</v>
      </c>
      <c r="G86" s="11">
        <f t="shared" ref="G86" si="1119">G85-G83</f>
        <v>-25.120000000000005</v>
      </c>
      <c r="H86" s="11">
        <f t="shared" ref="H86" si="1120">H85-H83</f>
        <v>0</v>
      </c>
      <c r="I86" s="11">
        <f t="shared" ref="I86" si="1121">I85-I83</f>
        <v>0</v>
      </c>
      <c r="J86" s="11">
        <f t="shared" ref="J86" si="1122">J85-J83</f>
        <v>-151.69999999999999</v>
      </c>
      <c r="K86" s="11">
        <f t="shared" ref="K86" si="1123">K85-K83</f>
        <v>0</v>
      </c>
      <c r="L86" s="11">
        <f t="shared" ref="L86" si="1124">L85-L83</f>
        <v>-28.5</v>
      </c>
      <c r="M86" s="11">
        <f t="shared" ref="M86" si="1125">M85-M83</f>
        <v>-42.06</v>
      </c>
      <c r="N86" s="11">
        <f t="shared" ref="N86" si="1126">N85-N83</f>
        <v>0</v>
      </c>
      <c r="O86" s="11">
        <f t="shared" ref="O86" si="1127">O85-O83</f>
        <v>0</v>
      </c>
      <c r="P86" s="11">
        <f t="shared" ref="P86" si="1128">P85-P83</f>
        <v>-28.939999999999998</v>
      </c>
      <c r="Q86" s="11">
        <f t="shared" ref="Q86" si="1129">Q85-Q83</f>
        <v>0</v>
      </c>
      <c r="R86" s="11">
        <f t="shared" ref="R86" si="1130">R85-R83</f>
        <v>-27</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-30.6</v>
      </c>
      <c r="Z86" s="11">
        <f t="shared" ref="Z86" si="1137">Z85-Z83</f>
        <v>0</v>
      </c>
      <c r="AA86" s="11">
        <f t="shared" ref="AA86:AD86" si="1138">AA85-AA83</f>
        <v>0</v>
      </c>
      <c r="AB86" s="11">
        <f t="shared" ref="AB86" si="1139">AB85-AB83</f>
        <v>-5.94</v>
      </c>
      <c r="AC86" s="10">
        <f t="shared" si="1138"/>
        <v>0</v>
      </c>
      <c r="AD86" s="11">
        <f t="shared" si="1138"/>
        <v>-1193.6599999999999</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38074.159999999996</v>
      </c>
      <c r="AL86" s="11">
        <f t="shared" ref="AL86" si="1147">AL85-AL83</f>
        <v>-1728.54</v>
      </c>
      <c r="AM86" s="11">
        <f t="shared" ref="AM86" si="1148">AM85-AM83</f>
        <v>71451.239999999758</v>
      </c>
      <c r="AN86" s="11">
        <f t="shared" ref="AN86" si="1149">AN85-AN83</f>
        <v>0</v>
      </c>
      <c r="AO86" s="9">
        <f t="shared" ref="AO86" si="1150">AO85-AO83</f>
        <v>0</v>
      </c>
      <c r="AP86" s="11">
        <f t="shared" ref="AP86" si="1151">AP85-AP83</f>
        <v>0</v>
      </c>
      <c r="AQ86" s="10">
        <f t="shared" ref="AQ86" si="1152">AQ85-AQ83</f>
        <v>0</v>
      </c>
      <c r="AR86" s="11">
        <f t="shared" ref="AR86" si="1153">AR85-AR83</f>
        <v>196108.91999999998</v>
      </c>
      <c r="AS86" s="11">
        <f t="shared" ref="AS86" si="1154">AS85-AS83</f>
        <v>0</v>
      </c>
      <c r="AT86" s="11">
        <f t="shared" ref="AT86" si="1155">AT85-AT83</f>
        <v>0</v>
      </c>
      <c r="AU86" s="11">
        <f t="shared" ref="AU86" si="1156">AU85-AU83</f>
        <v>77772.02</v>
      </c>
      <c r="AV86" s="11">
        <f t="shared" ref="AV86" si="1157">AV85-AV83</f>
        <v>0</v>
      </c>
      <c r="AW86" s="11">
        <f t="shared" ref="AW86" si="1158">AW85-AW83</f>
        <v>0</v>
      </c>
      <c r="AX86" s="11">
        <f t="shared" ref="AX86" si="1159">AX85-AX83</f>
        <v>0</v>
      </c>
      <c r="AY86" s="11">
        <f t="shared" ref="AY86" si="1160">AY85-AY83</f>
        <v>0</v>
      </c>
      <c r="AZ86" s="11">
        <f t="shared" ref="AZ86" si="1161">AZ85-AZ83</f>
        <v>186340.68</v>
      </c>
      <c r="BA86" s="11">
        <f t="shared" ref="BA86" si="1162">BA85-BA83</f>
        <v>26597.199999999997</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35066.519999999997</v>
      </c>
      <c r="BH86" s="9">
        <f t="shared" si="1168"/>
        <v>629683.19999999972</v>
      </c>
      <c r="BI86" s="45">
        <f t="shared" ref="BI86" si="1169">BI85-BI83</f>
        <v>628489.5399999998</v>
      </c>
      <c r="BJ86" s="11">
        <f t="shared" ref="BJ86:BK86" si="1170">BJ85-BJ83</f>
        <v>-73625.333333333328</v>
      </c>
      <c r="BK86" s="51">
        <f t="shared" si="1170"/>
        <v>702114.87333333306</v>
      </c>
      <c r="BM86" s="30">
        <f t="shared" si="1115"/>
        <v>703308.53333333309</v>
      </c>
    </row>
    <row r="87" spans="1:65" ht="15.75" x14ac:dyDescent="0.25">
      <c r="A87" s="130"/>
      <c r="B87" s="5" t="s">
        <v>133</v>
      </c>
      <c r="C87" s="13">
        <f>C86/C83</f>
        <v>-0.20871407760561517</v>
      </c>
      <c r="D87" s="13">
        <f t="shared" ref="D87" si="1171">D86/D83</f>
        <v>-0.26192553810354863</v>
      </c>
      <c r="E87" s="13" t="e">
        <f t="shared" ref="E87" si="1172">E86/E83</f>
        <v>#DIV/0!</v>
      </c>
      <c r="F87" s="13">
        <f t="shared" ref="F87" si="1173">F86/F83</f>
        <v>-0.23514763429384572</v>
      </c>
      <c r="G87" s="13">
        <f t="shared" ref="G87" si="1174">G86/G83</f>
        <v>-0.19013018468059342</v>
      </c>
      <c r="H87" s="13" t="e">
        <f t="shared" ref="H87" si="1175">H86/H83</f>
        <v>#DIV/0!</v>
      </c>
      <c r="I87" s="13" t="e">
        <f t="shared" ref="I87" si="1176">I86/I83</f>
        <v>#DIV/0!</v>
      </c>
      <c r="J87" s="13">
        <f t="shared" ref="J87" si="1177">J86/J83</f>
        <v>-0.69364426154549608</v>
      </c>
      <c r="K87" s="13" t="e">
        <f t="shared" ref="K87" si="1178">K86/K83</f>
        <v>#DIV/0!</v>
      </c>
      <c r="L87" s="13">
        <f t="shared" ref="L87" si="1179">L86/L83</f>
        <v>-0.33333333333333331</v>
      </c>
      <c r="M87" s="13">
        <f t="shared" ref="M87" si="1180">M86/M83</f>
        <v>-0.56035171862509991</v>
      </c>
      <c r="N87" s="13" t="e">
        <f t="shared" ref="N87" si="1181">N86/N83</f>
        <v>#DIV/0!</v>
      </c>
      <c r="O87" s="13" t="e">
        <f t="shared" ref="O87" si="1182">O86/O83</f>
        <v>#DIV/0!</v>
      </c>
      <c r="P87" s="13">
        <f t="shared" ref="P87" si="1183">P86/P83</f>
        <v>-0.69003338102050549</v>
      </c>
      <c r="Q87" s="13" t="e">
        <f t="shared" ref="Q87" si="1184">Q86/Q83</f>
        <v>#DIV/0!</v>
      </c>
      <c r="R87" s="13">
        <f t="shared" ref="R87" si="1185">R86/R83</f>
        <v>-1</v>
      </c>
      <c r="S87" s="13" t="e">
        <f t="shared" ref="S87" si="1186">S86/S83</f>
        <v>#DIV/0!</v>
      </c>
      <c r="T87" s="13" t="e">
        <f t="shared" ref="T87:U87" si="1187">T86/T83</f>
        <v>#DIV/0!</v>
      </c>
      <c r="U87" s="13" t="e">
        <f t="shared" si="1187"/>
        <v>#DIV/0!</v>
      </c>
      <c r="V87" s="165" t="e">
        <f t="shared" ref="V87" si="1188">V86/V83</f>
        <v>#DIV/0!</v>
      </c>
      <c r="W87" s="13" t="e">
        <f t="shared" ref="W87" si="1189">W86/W83</f>
        <v>#DIV/0!</v>
      </c>
      <c r="X87" s="13" t="e">
        <f t="shared" ref="X87" si="1190">X86/X83</f>
        <v>#DIV/0!</v>
      </c>
      <c r="Y87" s="13">
        <f t="shared" ref="Y87" si="1191">Y86/Y83</f>
        <v>-1</v>
      </c>
      <c r="Z87" s="13" t="e">
        <f t="shared" ref="Z87" si="1192">Z86/Z83</f>
        <v>#DIV/0!</v>
      </c>
      <c r="AA87" s="13" t="e">
        <f t="shared" ref="AA87:AD87" si="1193">AA86/AA83</f>
        <v>#DIV/0!</v>
      </c>
      <c r="AB87" s="13">
        <f t="shared" ref="AB87" si="1194">AB86/AB83</f>
        <v>-1</v>
      </c>
      <c r="AC87" s="14" t="e">
        <f t="shared" si="1193"/>
        <v>#DIV/0!</v>
      </c>
      <c r="AD87" s="13">
        <f t="shared" si="1193"/>
        <v>-0.26381208753806912</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1.4839769823563616</v>
      </c>
      <c r="AL87" s="13">
        <f t="shared" ref="AL87" si="1202">AL86/AL83</f>
        <v>-1</v>
      </c>
      <c r="AM87" s="13">
        <f t="shared" ref="AM87" si="1203">AM86/AM83</f>
        <v>5.7935719565690366E-2</v>
      </c>
      <c r="AN87" s="13" t="e">
        <f t="shared" ref="AN87" si="1204">AN86/AN83</f>
        <v>#DIV/0!</v>
      </c>
      <c r="AO87" s="165" t="e">
        <f t="shared" ref="AO87" si="1205">AO86/AO83</f>
        <v>#DIV/0!</v>
      </c>
      <c r="AP87" s="13" t="e">
        <f t="shared" ref="AP87" si="1206">AP86/AP83</f>
        <v>#DIV/0!</v>
      </c>
      <c r="AQ87" s="14" t="e">
        <f t="shared" ref="AQ87" si="1207">AQ86/AQ83</f>
        <v>#DIV/0!</v>
      </c>
      <c r="AR87" s="13">
        <f t="shared" ref="AR87" si="1208">AR86/AR83</f>
        <v>1.3800566466022171</v>
      </c>
      <c r="AS87" s="13" t="e">
        <f t="shared" ref="AS87" si="1209">AS86/AS83</f>
        <v>#DIV/0!</v>
      </c>
      <c r="AT87" s="13" t="e">
        <f t="shared" ref="AT87" si="1210">AT86/AT83</f>
        <v>#DIV/0!</v>
      </c>
      <c r="AU87" s="13">
        <f t="shared" ref="AU87" si="1211">AU86/AU83</f>
        <v>1.2406407199708778</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3.2623627585685289</v>
      </c>
      <c r="BA87" s="13">
        <f t="shared" ref="BA87" si="1217">BA86/BA83</f>
        <v>0.27307242930683634</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7.5404087320018567</v>
      </c>
      <c r="BH87" s="165">
        <f t="shared" si="1223"/>
        <v>0.3875861289582756</v>
      </c>
      <c r="BI87" s="46">
        <f t="shared" ref="BI87" si="1224">BI86/BI83</f>
        <v>0.38577699474486243</v>
      </c>
      <c r="BJ87" s="13">
        <f t="shared" ref="BJ87:BK87" si="1225">BJ86/BJ83</f>
        <v>-0.92460064967683597</v>
      </c>
      <c r="BK87" s="52">
        <f t="shared" si="1225"/>
        <v>0.45311674362919779</v>
      </c>
      <c r="BM87" s="165" t="e">
        <f t="shared" ref="BM87" si="1226">BM86/BM83</f>
        <v>#DIV/0!</v>
      </c>
    </row>
    <row r="88" spans="1:65" ht="15.75" x14ac:dyDescent="0.25">
      <c r="A88" s="130"/>
      <c r="B88" s="5" t="s">
        <v>134</v>
      </c>
      <c r="C88" s="11">
        <f>C85-C84</f>
        <v>-55</v>
      </c>
      <c r="D88" s="11">
        <f t="shared" ref="D88:BK88" si="1227">D85-D84</f>
        <v>-10</v>
      </c>
      <c r="E88" s="11">
        <f t="shared" si="1227"/>
        <v>0</v>
      </c>
      <c r="F88" s="11">
        <f t="shared" si="1227"/>
        <v>-19</v>
      </c>
      <c r="G88" s="11">
        <f t="shared" si="1227"/>
        <v>1</v>
      </c>
      <c r="H88" s="11">
        <f t="shared" si="1227"/>
        <v>0</v>
      </c>
      <c r="I88" s="11">
        <f t="shared" si="1227"/>
        <v>0</v>
      </c>
      <c r="J88" s="11">
        <f t="shared" si="1227"/>
        <v>-213</v>
      </c>
      <c r="K88" s="11">
        <f t="shared" si="1227"/>
        <v>0</v>
      </c>
      <c r="L88" s="11">
        <f t="shared" si="1227"/>
        <v>-62</v>
      </c>
      <c r="M88" s="11">
        <f t="shared" si="1227"/>
        <v>0</v>
      </c>
      <c r="N88" s="11">
        <f t="shared" si="1227"/>
        <v>0</v>
      </c>
      <c r="O88" s="11">
        <f t="shared" si="1227"/>
        <v>0</v>
      </c>
      <c r="P88" s="11">
        <f t="shared" si="1227"/>
        <v>2</v>
      </c>
      <c r="Q88" s="11">
        <f t="shared" si="1227"/>
        <v>0</v>
      </c>
      <c r="R88" s="11">
        <f t="shared" si="1227"/>
        <v>0</v>
      </c>
      <c r="S88" s="11">
        <f t="shared" si="1227"/>
        <v>0</v>
      </c>
      <c r="T88" s="11">
        <f t="shared" si="1227"/>
        <v>0</v>
      </c>
      <c r="U88" s="11">
        <f t="shared" ref="U88" si="1228">U85-U84</f>
        <v>0</v>
      </c>
      <c r="V88" s="9">
        <f t="shared" si="1227"/>
        <v>0</v>
      </c>
      <c r="W88" s="11">
        <f t="shared" si="1227"/>
        <v>0</v>
      </c>
      <c r="X88" s="11">
        <f t="shared" si="1227"/>
        <v>0</v>
      </c>
      <c r="Y88" s="11">
        <f t="shared" si="1227"/>
        <v>0</v>
      </c>
      <c r="Z88" s="11">
        <f t="shared" si="1227"/>
        <v>0</v>
      </c>
      <c r="AA88" s="11">
        <f t="shared" si="1227"/>
        <v>0</v>
      </c>
      <c r="AB88" s="11">
        <f t="shared" ref="AB88" si="1229">AB85-AB84</f>
        <v>0</v>
      </c>
      <c r="AC88" s="10">
        <f t="shared" ref="AC88:AD88" si="1230">AC85-AC84</f>
        <v>0</v>
      </c>
      <c r="AD88" s="11">
        <f t="shared" si="1230"/>
        <v>-356</v>
      </c>
      <c r="AE88" s="11">
        <f t="shared" si="1227"/>
        <v>0</v>
      </c>
      <c r="AF88" s="11">
        <f t="shared" si="1227"/>
        <v>1</v>
      </c>
      <c r="AG88" s="11">
        <f t="shared" si="1227"/>
        <v>0</v>
      </c>
      <c r="AH88" s="11">
        <f t="shared" si="1227"/>
        <v>0</v>
      </c>
      <c r="AI88" s="11">
        <f t="shared" si="1227"/>
        <v>0</v>
      </c>
      <c r="AJ88" s="11">
        <f t="shared" si="1227"/>
        <v>0</v>
      </c>
      <c r="AK88" s="11">
        <f t="shared" si="1227"/>
        <v>33077</v>
      </c>
      <c r="AL88" s="11">
        <f t="shared" si="1227"/>
        <v>0</v>
      </c>
      <c r="AM88" s="11">
        <f t="shared" si="1227"/>
        <v>276201</v>
      </c>
      <c r="AN88" s="11">
        <f t="shared" si="1227"/>
        <v>0</v>
      </c>
      <c r="AO88" s="9">
        <f t="shared" si="1227"/>
        <v>0</v>
      </c>
      <c r="AP88" s="11">
        <f t="shared" si="1227"/>
        <v>0</v>
      </c>
      <c r="AQ88" s="10">
        <f t="shared" si="1227"/>
        <v>0</v>
      </c>
      <c r="AR88" s="11">
        <f t="shared" si="1227"/>
        <v>143352</v>
      </c>
      <c r="AS88" s="11">
        <f t="shared" si="1227"/>
        <v>0</v>
      </c>
      <c r="AT88" s="11">
        <f t="shared" si="1227"/>
        <v>0</v>
      </c>
      <c r="AU88" s="11">
        <f t="shared" si="1227"/>
        <v>50671</v>
      </c>
      <c r="AV88" s="11">
        <f t="shared" si="1227"/>
        <v>0</v>
      </c>
      <c r="AW88" s="11">
        <f t="shared" si="1227"/>
        <v>0</v>
      </c>
      <c r="AX88" s="11">
        <f t="shared" si="1227"/>
        <v>0</v>
      </c>
      <c r="AY88" s="11">
        <f t="shared" si="1227"/>
        <v>0</v>
      </c>
      <c r="AZ88" s="11">
        <f t="shared" si="1227"/>
        <v>199330</v>
      </c>
      <c r="BA88" s="11">
        <f t="shared" si="1227"/>
        <v>-119461</v>
      </c>
      <c r="BB88" s="10">
        <f t="shared" si="1227"/>
        <v>0</v>
      </c>
      <c r="BC88" s="11">
        <f t="shared" si="1227"/>
        <v>0</v>
      </c>
      <c r="BD88" s="11">
        <f t="shared" si="1227"/>
        <v>0</v>
      </c>
      <c r="BE88" s="11">
        <f t="shared" si="1227"/>
        <v>0</v>
      </c>
      <c r="BF88" s="11">
        <f t="shared" si="1227"/>
        <v>0</v>
      </c>
      <c r="BG88" s="11">
        <f t="shared" si="1227"/>
        <v>19278</v>
      </c>
      <c r="BH88" s="9">
        <f t="shared" si="1227"/>
        <v>602449</v>
      </c>
      <c r="BI88" s="45">
        <f t="shared" si="1227"/>
        <v>602093</v>
      </c>
      <c r="BJ88" s="11">
        <f t="shared" si="1227"/>
        <v>-54038</v>
      </c>
      <c r="BK88" s="51">
        <f t="shared" si="1227"/>
        <v>656131</v>
      </c>
      <c r="BM88" s="30">
        <f t="shared" si="1115"/>
        <v>656487</v>
      </c>
    </row>
    <row r="89" spans="1:65" ht="15.75" x14ac:dyDescent="0.25">
      <c r="A89" s="130"/>
      <c r="B89" s="5" t="s">
        <v>135</v>
      </c>
      <c r="C89" s="13">
        <f>C88/C84</f>
        <v>-2.2494887525562373E-2</v>
      </c>
      <c r="D89" s="13">
        <f t="shared" ref="D89" si="1231">D88/D84</f>
        <v>-2.403846153846154E-2</v>
      </c>
      <c r="E89" s="13" t="e">
        <f t="shared" ref="E89" si="1232">E88/E84</f>
        <v>#DIV/0!</v>
      </c>
      <c r="F89" s="13">
        <f t="shared" ref="F89" si="1233">F88/F84</f>
        <v>-6.8592057761732855E-2</v>
      </c>
      <c r="G89" s="13">
        <f t="shared" ref="G89" si="1234">G88/G84</f>
        <v>9.433962264150943E-3</v>
      </c>
      <c r="H89" s="13" t="e">
        <f t="shared" ref="H89" si="1235">H88/H84</f>
        <v>#DIV/0!</v>
      </c>
      <c r="I89" s="13" t="e">
        <f t="shared" ref="I89" si="1236">I88/I84</f>
        <v>#DIV/0!</v>
      </c>
      <c r="J89" s="13">
        <f t="shared" ref="J89" si="1237">J88/J84</f>
        <v>-0.76071428571428568</v>
      </c>
      <c r="K89" s="13" t="e">
        <f t="shared" ref="K89" si="1238">K88/K84</f>
        <v>#DIV/0!</v>
      </c>
      <c r="L89" s="13">
        <f t="shared" ref="L89" si="1239">L88/L84</f>
        <v>-0.52100840336134457</v>
      </c>
      <c r="M89" s="13">
        <f t="shared" ref="M89" si="1240">M88/M84</f>
        <v>0</v>
      </c>
      <c r="N89" s="13" t="e">
        <f t="shared" ref="N89" si="1241">N88/N84</f>
        <v>#DIV/0!</v>
      </c>
      <c r="O89" s="13" t="e">
        <f t="shared" ref="O89" si="1242">O88/O84</f>
        <v>#DIV/0!</v>
      </c>
      <c r="P89" s="13">
        <f t="shared" ref="P89" si="1243">P88/P84</f>
        <v>0.18181818181818182</v>
      </c>
      <c r="Q89" s="13" t="e">
        <f t="shared" ref="Q89" si="1244">Q88/Q84</f>
        <v>#DIV/0!</v>
      </c>
      <c r="R89" s="13" t="e">
        <f t="shared" ref="R89" si="1245">R88/R84</f>
        <v>#DIV/0!</v>
      </c>
      <c r="S89" s="13" t="e">
        <f t="shared" ref="S89" si="1246">S88/S84</f>
        <v>#DIV/0!</v>
      </c>
      <c r="T89" s="13" t="e">
        <f t="shared" ref="T89:U89" si="1247">T88/T84</f>
        <v>#DIV/0!</v>
      </c>
      <c r="U89" s="13" t="e">
        <f t="shared" si="1247"/>
        <v>#DIV/0!</v>
      </c>
      <c r="V89" s="165" t="e">
        <f t="shared" ref="V89" si="1248">V88/V84</f>
        <v>#DIV/0!</v>
      </c>
      <c r="W89" s="13" t="e">
        <f t="shared" ref="W89" si="1249">W88/W84</f>
        <v>#DIV/0!</v>
      </c>
      <c r="X89" s="13" t="e">
        <f t="shared" ref="X89" si="1250">X88/X84</f>
        <v>#DIV/0!</v>
      </c>
      <c r="Y89" s="13" t="e">
        <f t="shared" ref="Y89" si="1251">Y88/Y84</f>
        <v>#DIV/0!</v>
      </c>
      <c r="Z89" s="13" t="e">
        <f t="shared" ref="Z89" si="1252">Z88/Z84</f>
        <v>#DIV/0!</v>
      </c>
      <c r="AA89" s="13" t="e">
        <f t="shared" ref="AA89:AD89" si="1253">AA88/AA84</f>
        <v>#DIV/0!</v>
      </c>
      <c r="AB89" s="13" t="e">
        <f t="shared" ref="AB89" si="1254">AB88/AB84</f>
        <v>#DIV/0!</v>
      </c>
      <c r="AC89" s="14" t="e">
        <f t="shared" si="1253"/>
        <v>#DIV/0!</v>
      </c>
      <c r="AD89" s="13">
        <f t="shared" si="1253"/>
        <v>-9.6555465147816655E-2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1.0790435179748157</v>
      </c>
      <c r="AL89" s="13" t="e">
        <f t="shared" ref="AL89" si="1262">AL88/AL84</f>
        <v>#DIV/0!</v>
      </c>
      <c r="AM89" s="13">
        <f t="shared" ref="AM89" si="1263">AM88/AM84</f>
        <v>0.26853826073006754</v>
      </c>
      <c r="AN89" s="13" t="e">
        <f t="shared" ref="AN89" si="1264">AN88/AN84</f>
        <v>#DIV/0!</v>
      </c>
      <c r="AO89" s="165" t="e">
        <f t="shared" ref="AO89" si="1265">AO88/AO84</f>
        <v>#DIV/0!</v>
      </c>
      <c r="AP89" s="13" t="e">
        <f t="shared" ref="AP89" si="1266">AP88/AP84</f>
        <v>#DIV/0!</v>
      </c>
      <c r="AQ89" s="14" t="e">
        <f t="shared" ref="AQ89" si="1267">AQ88/AQ84</f>
        <v>#DIV/0!</v>
      </c>
      <c r="AR89" s="13">
        <f t="shared" ref="AR89" si="1268">AR88/AR84</f>
        <v>0.73567040783335647</v>
      </c>
      <c r="AS89" s="13" t="e">
        <f t="shared" ref="AS89" si="1269">AS88/AS84</f>
        <v>#DIV/0!</v>
      </c>
      <c r="AT89" s="13" t="e">
        <f t="shared" ref="AT89" si="1270">AT88/AT84</f>
        <v>#DIV/0!</v>
      </c>
      <c r="AU89" s="13">
        <f t="shared" ref="AU89" si="1271">AU88/AU84</f>
        <v>0.56434044638481762</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4.5169842960411524</v>
      </c>
      <c r="BA89" s="13">
        <f t="shared" ref="BA89" si="1277">BA88/BA84</f>
        <v>-0.49068422479442042</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0.94319682959048878</v>
      </c>
      <c r="BH89" s="165">
        <f t="shared" si="1283"/>
        <v>0.36470903743775207</v>
      </c>
      <c r="BI89" s="46">
        <f t="shared" ref="BI89" si="1284">BI88/BI84</f>
        <v>0.36368177565266868</v>
      </c>
      <c r="BJ89" s="13">
        <f t="shared" ref="BJ89:BK89" si="1285">BJ88/BJ84</f>
        <v>-0.90000333100163221</v>
      </c>
      <c r="BK89" s="52">
        <f t="shared" si="1285"/>
        <v>0.41123667899921468</v>
      </c>
      <c r="BM89" s="14">
        <f t="shared" ref="BM89" si="1286">BM88/BM84</f>
        <v>0.41241283562211806</v>
      </c>
    </row>
    <row r="90" spans="1:65" ht="15.75" x14ac:dyDescent="0.25">
      <c r="A90" s="130"/>
      <c r="B90" s="5" t="s">
        <v>296</v>
      </c>
      <c r="C90" s="128">
        <f>C85/C82</f>
        <v>0.14243146603098927</v>
      </c>
      <c r="D90" s="128">
        <f t="shared" ref="D90:BK90" si="1287">D85/D82</f>
        <v>0.13285340314136126</v>
      </c>
      <c r="E90" s="128">
        <f t="shared" si="1287"/>
        <v>0</v>
      </c>
      <c r="F90" s="128">
        <f t="shared" si="1287"/>
        <v>0.13767342582710779</v>
      </c>
      <c r="G90" s="128">
        <f t="shared" si="1287"/>
        <v>0.14577656675749318</v>
      </c>
      <c r="H90" s="128" t="e">
        <f t="shared" si="1287"/>
        <v>#DIV/0!</v>
      </c>
      <c r="I90" s="128" t="e">
        <f t="shared" si="1287"/>
        <v>#DIV/0!</v>
      </c>
      <c r="J90" s="128">
        <f t="shared" si="1287"/>
        <v>5.51440329218107E-2</v>
      </c>
      <c r="K90" s="128" t="e">
        <f t="shared" si="1287"/>
        <v>#DIV/0!</v>
      </c>
      <c r="L90" s="128">
        <f t="shared" si="1287"/>
        <v>0.12</v>
      </c>
      <c r="M90" s="128">
        <f t="shared" si="1287"/>
        <v>7.9136690647482008E-2</v>
      </c>
      <c r="N90" s="128" t="e">
        <f t="shared" si="1287"/>
        <v>#DIV/0!</v>
      </c>
      <c r="O90" s="128" t="e">
        <f t="shared" si="1287"/>
        <v>#DIV/0!</v>
      </c>
      <c r="P90" s="128">
        <f t="shared" si="1287"/>
        <v>5.5793991416309016E-2</v>
      </c>
      <c r="Q90" s="128" t="e">
        <f t="shared" si="1287"/>
        <v>#DIV/0!</v>
      </c>
      <c r="R90" s="128">
        <f t="shared" si="1287"/>
        <v>0</v>
      </c>
      <c r="S90" s="128" t="e">
        <f t="shared" si="1287"/>
        <v>#DIV/0!</v>
      </c>
      <c r="T90" s="128" t="e">
        <f t="shared" si="1287"/>
        <v>#DIV/0!</v>
      </c>
      <c r="U90" s="128" t="e">
        <f t="shared" si="1287"/>
        <v>#DIV/0!</v>
      </c>
      <c r="V90" s="180" t="e">
        <f t="shared" si="1287"/>
        <v>#DIV/0!</v>
      </c>
      <c r="W90" s="128" t="e">
        <f t="shared" si="1287"/>
        <v>#DIV/0!</v>
      </c>
      <c r="X90" s="128" t="e">
        <f t="shared" si="1287"/>
        <v>#DIV/0!</v>
      </c>
      <c r="Y90" s="128">
        <f t="shared" si="1287"/>
        <v>0</v>
      </c>
      <c r="Z90" s="128" t="e">
        <f t="shared" si="1287"/>
        <v>#DIV/0!</v>
      </c>
      <c r="AA90" s="128" t="e">
        <f t="shared" si="1287"/>
        <v>#DIV/0!</v>
      </c>
      <c r="AB90" s="128">
        <f t="shared" ref="AB90" si="1288">AB85/AB82</f>
        <v>0</v>
      </c>
      <c r="AC90" s="228" t="e">
        <f t="shared" si="1287"/>
        <v>#DIV/0!</v>
      </c>
      <c r="AD90" s="128">
        <f t="shared" si="1287"/>
        <v>0.12969668652415994</v>
      </c>
      <c r="AE90" s="128" t="e">
        <f t="shared" si="1287"/>
        <v>#DIV/0!</v>
      </c>
      <c r="AF90" s="128" t="e">
        <f t="shared" si="1287"/>
        <v>#DIV/0!</v>
      </c>
      <c r="AG90" s="128" t="e">
        <f t="shared" si="1287"/>
        <v>#DIV/0!</v>
      </c>
      <c r="AH90" s="128" t="e">
        <f t="shared" si="1287"/>
        <v>#DIV/0!</v>
      </c>
      <c r="AI90" s="128" t="e">
        <f t="shared" si="1287"/>
        <v>#DIV/0!</v>
      </c>
      <c r="AJ90" s="128" t="e">
        <f t="shared" si="1287"/>
        <v>#DIV/0!</v>
      </c>
      <c r="AK90" s="128">
        <f t="shared" si="1287"/>
        <v>0.44711585682414512</v>
      </c>
      <c r="AL90" s="128">
        <f t="shared" si="1287"/>
        <v>0</v>
      </c>
      <c r="AM90" s="128">
        <f t="shared" si="1287"/>
        <v>0.19042842952182432</v>
      </c>
      <c r="AN90" s="128" t="e">
        <f t="shared" si="1287"/>
        <v>#DIV/0!</v>
      </c>
      <c r="AO90" s="180" t="e">
        <f t="shared" si="1287"/>
        <v>#DIV/0!</v>
      </c>
      <c r="AP90" s="128" t="e">
        <f t="shared" si="1287"/>
        <v>#DIV/0!</v>
      </c>
      <c r="AQ90" s="228" t="e">
        <f t="shared" si="1287"/>
        <v>#DIV/0!</v>
      </c>
      <c r="AR90" s="128">
        <f t="shared" si="1287"/>
        <v>0.42841019638839911</v>
      </c>
      <c r="AS90" s="128" t="e">
        <f t="shared" si="1287"/>
        <v>#DIV/0!</v>
      </c>
      <c r="AT90" s="128" t="e">
        <f t="shared" si="1287"/>
        <v>#DIV/0!</v>
      </c>
      <c r="AU90" s="128">
        <f t="shared" si="1287"/>
        <v>0.40331532959475797</v>
      </c>
      <c r="AV90" s="128" t="e">
        <f t="shared" si="1287"/>
        <v>#DIV/0!</v>
      </c>
      <c r="AW90" s="128" t="e">
        <f t="shared" si="1287"/>
        <v>#DIV/0!</v>
      </c>
      <c r="AX90" s="128" t="e">
        <f t="shared" si="1287"/>
        <v>#DIV/0!</v>
      </c>
      <c r="AY90" s="128" t="e">
        <f t="shared" si="1287"/>
        <v>#DIV/0!</v>
      </c>
      <c r="AZ90" s="128">
        <f t="shared" si="1287"/>
        <v>0.76722529654233529</v>
      </c>
      <c r="BA90" s="128">
        <f t="shared" si="1287"/>
        <v>0.22915303727523054</v>
      </c>
      <c r="BB90" s="228" t="e">
        <f t="shared" si="1287"/>
        <v>#DIV/0!</v>
      </c>
      <c r="BC90" s="128" t="e">
        <f t="shared" si="1287"/>
        <v>#DIV/0!</v>
      </c>
      <c r="BD90" s="128" t="e">
        <f t="shared" si="1287"/>
        <v>#DIV/0!</v>
      </c>
      <c r="BE90" s="128" t="e">
        <f t="shared" si="1287"/>
        <v>#DIV/0!</v>
      </c>
      <c r="BF90" s="128" t="e">
        <f t="shared" si="1287"/>
        <v>#DIV/0!</v>
      </c>
      <c r="BG90" s="128">
        <f t="shared" si="1287"/>
        <v>1.5372735717603345</v>
      </c>
      <c r="BH90" s="180">
        <f t="shared" si="1287"/>
        <v>0.24976550321248966</v>
      </c>
      <c r="BI90" s="128">
        <f t="shared" si="1287"/>
        <v>0.24942481229132354</v>
      </c>
      <c r="BJ90" s="128">
        <f t="shared" si="1287"/>
        <v>1.2566558387193999E-2</v>
      </c>
      <c r="BK90" s="128">
        <f t="shared" si="1287"/>
        <v>0.2626240477035538</v>
      </c>
      <c r="BM90" s="128" t="e">
        <f t="shared" ref="BM90" si="1289">BM85/BM82</f>
        <v>#DIV/0!</v>
      </c>
    </row>
    <row r="91" spans="1:65" s="183" customFormat="1" ht="15.75" x14ac:dyDescent="0.25">
      <c r="A91" s="130"/>
      <c r="B91" s="5" t="s">
        <v>297</v>
      </c>
      <c r="C91" s="11">
        <f>C85-C82</f>
        <v>-14390</v>
      </c>
      <c r="D91" s="11">
        <f t="shared" ref="D91:BM91" si="1290">D85-D82</f>
        <v>-2650</v>
      </c>
      <c r="E91" s="11">
        <f t="shared" si="1290"/>
        <v>-546</v>
      </c>
      <c r="F91" s="11">
        <f t="shared" si="1290"/>
        <v>-1616</v>
      </c>
      <c r="G91" s="11">
        <f t="shared" si="1290"/>
        <v>-627</v>
      </c>
      <c r="H91" s="11">
        <f t="shared" si="1290"/>
        <v>0</v>
      </c>
      <c r="I91" s="11">
        <f t="shared" si="1290"/>
        <v>0</v>
      </c>
      <c r="J91" s="11">
        <f t="shared" si="1290"/>
        <v>-1148</v>
      </c>
      <c r="K91" s="11">
        <f t="shared" si="1290"/>
        <v>0</v>
      </c>
      <c r="L91" s="11">
        <f t="shared" si="1290"/>
        <v>-418</v>
      </c>
      <c r="M91" s="11">
        <f t="shared" si="1290"/>
        <v>-384</v>
      </c>
      <c r="N91" s="11">
        <f t="shared" si="1290"/>
        <v>0</v>
      </c>
      <c r="O91" s="11">
        <f t="shared" si="1290"/>
        <v>0</v>
      </c>
      <c r="P91" s="11">
        <f t="shared" si="1290"/>
        <v>-220</v>
      </c>
      <c r="Q91" s="11">
        <f t="shared" si="1290"/>
        <v>0</v>
      </c>
      <c r="R91" s="11">
        <f t="shared" si="1290"/>
        <v>-150</v>
      </c>
      <c r="S91" s="11">
        <f t="shared" si="1290"/>
        <v>0</v>
      </c>
      <c r="T91" s="11">
        <f t="shared" si="1290"/>
        <v>0</v>
      </c>
      <c r="U91" s="11">
        <f t="shared" si="1290"/>
        <v>0</v>
      </c>
      <c r="V91" s="9">
        <f t="shared" si="1290"/>
        <v>0</v>
      </c>
      <c r="W91" s="11">
        <f t="shared" si="1290"/>
        <v>0</v>
      </c>
      <c r="X91" s="11">
        <f t="shared" si="1290"/>
        <v>0</v>
      </c>
      <c r="Y91" s="11">
        <f t="shared" si="1290"/>
        <v>-170</v>
      </c>
      <c r="Z91" s="11">
        <f t="shared" si="1290"/>
        <v>0</v>
      </c>
      <c r="AA91" s="11">
        <f t="shared" si="1290"/>
        <v>0</v>
      </c>
      <c r="AB91" s="11">
        <f t="shared" ref="AB91" si="1291">AB85-AB82</f>
        <v>-33</v>
      </c>
      <c r="AC91" s="10">
        <f t="shared" si="1290"/>
        <v>0</v>
      </c>
      <c r="AD91" s="11">
        <f t="shared" si="1290"/>
        <v>-22352</v>
      </c>
      <c r="AE91" s="11">
        <f t="shared" si="1290"/>
        <v>0</v>
      </c>
      <c r="AF91" s="11">
        <f t="shared" si="1290"/>
        <v>1</v>
      </c>
      <c r="AG91" s="11">
        <f t="shared" si="1290"/>
        <v>0</v>
      </c>
      <c r="AH91" s="11">
        <f t="shared" si="1290"/>
        <v>0</v>
      </c>
      <c r="AI91" s="11">
        <f t="shared" si="1290"/>
        <v>0</v>
      </c>
      <c r="AJ91" s="11">
        <f t="shared" si="1290"/>
        <v>0</v>
      </c>
      <c r="AK91" s="11">
        <f t="shared" si="1290"/>
        <v>-78807</v>
      </c>
      <c r="AL91" s="11">
        <f t="shared" si="1290"/>
        <v>-9603</v>
      </c>
      <c r="AM91" s="11">
        <f t="shared" si="1290"/>
        <v>-5546846</v>
      </c>
      <c r="AN91" s="11">
        <f t="shared" si="1290"/>
        <v>0</v>
      </c>
      <c r="AO91" s="9">
        <f t="shared" si="1290"/>
        <v>0</v>
      </c>
      <c r="AP91" s="11">
        <f t="shared" si="1290"/>
        <v>0</v>
      </c>
      <c r="AQ91" s="10">
        <f t="shared" si="1290"/>
        <v>0</v>
      </c>
      <c r="AR91" s="11">
        <f t="shared" si="1290"/>
        <v>-451245</v>
      </c>
      <c r="AS91" s="11">
        <f t="shared" si="1290"/>
        <v>0</v>
      </c>
      <c r="AT91" s="11">
        <f t="shared" si="1290"/>
        <v>0</v>
      </c>
      <c r="AU91" s="11">
        <f t="shared" si="1290"/>
        <v>-207802</v>
      </c>
      <c r="AV91" s="11">
        <f t="shared" si="1290"/>
        <v>0</v>
      </c>
      <c r="AW91" s="11">
        <f t="shared" si="1290"/>
        <v>0</v>
      </c>
      <c r="AX91" s="11">
        <f t="shared" si="1290"/>
        <v>0</v>
      </c>
      <c r="AY91" s="11">
        <f t="shared" si="1290"/>
        <v>0</v>
      </c>
      <c r="AZ91" s="11">
        <f t="shared" si="1290"/>
        <v>-73865</v>
      </c>
      <c r="BA91" s="11">
        <f t="shared" si="1290"/>
        <v>-417113</v>
      </c>
      <c r="BB91" s="10">
        <f t="shared" si="1290"/>
        <v>0</v>
      </c>
      <c r="BC91" s="11">
        <f t="shared" si="1290"/>
        <v>0</v>
      </c>
      <c r="BD91" s="11">
        <f t="shared" si="1290"/>
        <v>0</v>
      </c>
      <c r="BE91" s="11">
        <f t="shared" si="1290"/>
        <v>0</v>
      </c>
      <c r="BF91" s="11">
        <f t="shared" si="1290"/>
        <v>0</v>
      </c>
      <c r="BG91" s="11">
        <f t="shared" si="1290"/>
        <v>13881</v>
      </c>
      <c r="BH91" s="11">
        <f t="shared" si="1290"/>
        <v>-6771399</v>
      </c>
      <c r="BI91" s="11">
        <f t="shared" si="1290"/>
        <v>-6793751</v>
      </c>
      <c r="BJ91" s="11">
        <f t="shared" si="1290"/>
        <v>-471772</v>
      </c>
      <c r="BK91" s="11">
        <f t="shared" si="1290"/>
        <v>-6321979</v>
      </c>
      <c r="BL91" s="11">
        <f t="shared" si="1290"/>
        <v>2251629</v>
      </c>
      <c r="BM91" s="11">
        <f t="shared" si="1290"/>
        <v>2248307</v>
      </c>
    </row>
    <row r="92" spans="1:65" s="183" customFormat="1" ht="15.75" x14ac:dyDescent="0.2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ht="15.75" x14ac:dyDescent="0.25">
      <c r="A93" s="15" t="s">
        <v>142</v>
      </c>
      <c r="B93" s="11" t="s">
        <v>301</v>
      </c>
      <c r="C93" s="122">
        <v>874071</v>
      </c>
      <c r="D93" s="122">
        <v>148563</v>
      </c>
      <c r="E93" s="122">
        <v>36632</v>
      </c>
      <c r="F93" s="122">
        <v>76560</v>
      </c>
      <c r="G93" s="122">
        <v>67137</v>
      </c>
      <c r="H93" s="122">
        <v>0</v>
      </c>
      <c r="I93" s="122">
        <v>0</v>
      </c>
      <c r="J93" s="122">
        <v>0</v>
      </c>
      <c r="K93" s="122">
        <v>382</v>
      </c>
      <c r="L93" s="122">
        <v>2863</v>
      </c>
      <c r="M93" s="122">
        <v>83348</v>
      </c>
      <c r="N93" s="122">
        <v>10356</v>
      </c>
      <c r="O93" s="122">
        <v>3059</v>
      </c>
      <c r="P93" s="122">
        <v>13101</v>
      </c>
      <c r="Q93" s="122">
        <v>0</v>
      </c>
      <c r="R93" s="122">
        <v>2858</v>
      </c>
      <c r="S93" s="122">
        <v>890316</v>
      </c>
      <c r="T93" s="122">
        <v>831482</v>
      </c>
      <c r="U93" s="122"/>
      <c r="V93" s="195">
        <v>0</v>
      </c>
      <c r="W93" s="122">
        <v>0</v>
      </c>
      <c r="X93" s="122">
        <v>0</v>
      </c>
      <c r="Y93" s="122">
        <v>158</v>
      </c>
      <c r="Z93" s="122">
        <v>20</v>
      </c>
      <c r="AA93" s="122">
        <v>66</v>
      </c>
      <c r="AB93" s="122">
        <v>1591</v>
      </c>
      <c r="AC93" s="154">
        <v>0</v>
      </c>
      <c r="AD93" s="123">
        <f t="shared" ref="AD93" si="1292">SUM(C93:AC93)</f>
        <v>3042563</v>
      </c>
      <c r="AE93" s="122">
        <v>3834</v>
      </c>
      <c r="AF93" s="122">
        <v>79</v>
      </c>
      <c r="AG93" s="154">
        <v>879</v>
      </c>
      <c r="AH93" s="122">
        <v>0</v>
      </c>
      <c r="AI93" s="122">
        <v>0</v>
      </c>
      <c r="AJ93" s="122">
        <v>32</v>
      </c>
      <c r="AK93" s="122">
        <v>19957</v>
      </c>
      <c r="AL93" s="122">
        <v>208861</v>
      </c>
      <c r="AM93" s="122">
        <v>163146</v>
      </c>
      <c r="AN93" s="122">
        <v>0</v>
      </c>
      <c r="AO93" s="195">
        <v>362425</v>
      </c>
      <c r="AP93" s="122">
        <v>0</v>
      </c>
      <c r="AQ93" s="154">
        <v>0</v>
      </c>
      <c r="AR93" s="122">
        <v>0</v>
      </c>
      <c r="AS93" s="122"/>
      <c r="AT93" s="122"/>
      <c r="AU93" s="122">
        <v>0</v>
      </c>
      <c r="AV93" s="122"/>
      <c r="AW93" s="122">
        <v>917</v>
      </c>
      <c r="AX93" s="122">
        <v>291</v>
      </c>
      <c r="AY93" s="122">
        <v>1658</v>
      </c>
      <c r="AZ93" s="122">
        <v>0</v>
      </c>
      <c r="BA93" s="122">
        <v>0</v>
      </c>
      <c r="BB93" s="154">
        <v>0</v>
      </c>
      <c r="BC93" s="122">
        <v>29657</v>
      </c>
      <c r="BD93" s="122">
        <v>29659</v>
      </c>
      <c r="BE93" s="122">
        <v>180</v>
      </c>
      <c r="BF93" s="122">
        <v>3518</v>
      </c>
      <c r="BG93" s="122">
        <v>-51520</v>
      </c>
      <c r="BH93" s="9">
        <f>SUM(AE93:BG93)</f>
        <v>773573</v>
      </c>
      <c r="BI93" s="127">
        <f>AD93+BH93</f>
        <v>3816136</v>
      </c>
      <c r="BJ93" s="98">
        <v>85</v>
      </c>
      <c r="BK93" s="51">
        <f t="shared" ref="BK93" si="1293">BI93-BJ93</f>
        <v>3816051</v>
      </c>
      <c r="BL93">
        <v>9</v>
      </c>
      <c r="BM93" s="30"/>
    </row>
    <row r="94" spans="1:65" s="217" customFormat="1" ht="15.75" x14ac:dyDescent="0.25">
      <c r="A94" s="130" t="s">
        <v>142</v>
      </c>
      <c r="B94" s="196" t="s">
        <v>320</v>
      </c>
      <c r="C94" s="9">
        <v>157332.78000000003</v>
      </c>
      <c r="D94" s="9">
        <v>26741.340000000004</v>
      </c>
      <c r="E94" s="9">
        <v>0</v>
      </c>
      <c r="F94" s="9">
        <v>13780.8</v>
      </c>
      <c r="G94" s="9">
        <v>12084.66</v>
      </c>
      <c r="H94" s="9">
        <v>0</v>
      </c>
      <c r="I94" s="9">
        <v>0</v>
      </c>
      <c r="J94" s="9">
        <v>0</v>
      </c>
      <c r="K94" s="9">
        <v>68.760000000000005</v>
      </c>
      <c r="L94" s="9">
        <v>515.34</v>
      </c>
      <c r="M94" s="9">
        <v>15002.640000000001</v>
      </c>
      <c r="N94" s="9">
        <v>1864.0800000000002</v>
      </c>
      <c r="O94" s="9">
        <v>550.62</v>
      </c>
      <c r="P94" s="9">
        <v>2358.1800000000003</v>
      </c>
      <c r="Q94" s="9">
        <v>0</v>
      </c>
      <c r="R94" s="9">
        <v>514.44000000000005</v>
      </c>
      <c r="S94" s="9">
        <v>356126.4</v>
      </c>
      <c r="T94" s="9">
        <v>149666.76</v>
      </c>
      <c r="U94" s="9"/>
      <c r="V94" s="9">
        <v>0</v>
      </c>
      <c r="W94" s="9">
        <v>0</v>
      </c>
      <c r="X94" s="9">
        <v>0</v>
      </c>
      <c r="Y94" s="9">
        <v>28.44</v>
      </c>
      <c r="Z94" s="9">
        <v>3.6</v>
      </c>
      <c r="AA94" s="9">
        <v>11.88</v>
      </c>
      <c r="AB94" s="9">
        <v>286.38</v>
      </c>
      <c r="AC94" s="10">
        <v>0</v>
      </c>
      <c r="AD94" s="123">
        <v>736937.1</v>
      </c>
      <c r="AE94" s="9">
        <v>690.12000000000012</v>
      </c>
      <c r="AF94" s="9">
        <v>14.22</v>
      </c>
      <c r="AG94" s="9">
        <v>158.22000000000003</v>
      </c>
      <c r="AH94" s="9">
        <v>0</v>
      </c>
      <c r="AI94" s="9">
        <v>0</v>
      </c>
      <c r="AJ94" s="9">
        <v>5.76</v>
      </c>
      <c r="AK94" s="9">
        <v>3592.26</v>
      </c>
      <c r="AL94" s="9">
        <v>37594.980000000003</v>
      </c>
      <c r="AM94" s="9">
        <v>29366.28</v>
      </c>
      <c r="AN94" s="9">
        <v>0</v>
      </c>
      <c r="AO94" s="9">
        <v>65236.5</v>
      </c>
      <c r="AP94" s="9">
        <v>0</v>
      </c>
      <c r="AQ94" s="10">
        <v>0</v>
      </c>
      <c r="AR94" s="9">
        <v>0</v>
      </c>
      <c r="AS94" s="9"/>
      <c r="AT94" s="9"/>
      <c r="AU94" s="9">
        <v>0</v>
      </c>
      <c r="AV94" s="9"/>
      <c r="AW94" s="9">
        <v>165.06</v>
      </c>
      <c r="AX94" s="9">
        <v>52.38</v>
      </c>
      <c r="AY94" s="9">
        <v>298.44000000000005</v>
      </c>
      <c r="AZ94" s="9">
        <v>0</v>
      </c>
      <c r="BA94" s="9">
        <v>0</v>
      </c>
      <c r="BB94" s="10">
        <v>0</v>
      </c>
      <c r="BC94" s="9">
        <v>5338.26</v>
      </c>
      <c r="BD94" s="9">
        <v>5338.6200000000008</v>
      </c>
      <c r="BE94" s="9">
        <v>32.4</v>
      </c>
      <c r="BF94" s="9">
        <v>633.24</v>
      </c>
      <c r="BG94" s="9">
        <v>-9273.6</v>
      </c>
      <c r="BH94" s="9">
        <v>139243.13999999998</v>
      </c>
      <c r="BI94" s="127">
        <v>876180.24</v>
      </c>
      <c r="BJ94" s="9">
        <v>14.166666666666666</v>
      </c>
      <c r="BK94" s="51">
        <v>876166.07333333336</v>
      </c>
      <c r="BM94" s="30"/>
    </row>
    <row r="95" spans="1:65" ht="15.75" x14ac:dyDescent="0.25">
      <c r="A95" s="130"/>
      <c r="B95" s="12" t="s">
        <v>322</v>
      </c>
      <c r="C95" s="9">
        <f>IF('Upto Month COPPY'!$J$4="",0,'Upto Month COPPY'!$J$4)</f>
        <v>147154</v>
      </c>
      <c r="D95" s="9">
        <f>IF('Upto Month COPPY'!$J$5="",0,'Upto Month COPPY'!$J$5)</f>
        <v>25228</v>
      </c>
      <c r="E95" s="9">
        <f>IF('Upto Month COPPY'!$J$6="",0,'Upto Month COPPY'!$J$6)</f>
        <v>0</v>
      </c>
      <c r="F95" s="9">
        <f>IF('Upto Month COPPY'!$J$7="",0,'Upto Month COPPY'!$J$7)</f>
        <v>11724</v>
      </c>
      <c r="G95" s="9">
        <f>IF('Upto Month COPPY'!$J$8="",0,'Upto Month COPPY'!$J$8)</f>
        <v>11037</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469</v>
      </c>
      <c r="M95" s="9">
        <f>IF('Upto Month COPPY'!$J$14="",0,'Upto Month COPPY'!$J$14)</f>
        <v>13987</v>
      </c>
      <c r="N95" s="9">
        <f>IF('Upto Month COPPY'!$J$15="",0,'Upto Month COPPY'!$J$15)</f>
        <v>2128</v>
      </c>
      <c r="O95" s="9">
        <f>IF('Upto Month COPPY'!$J$16="",0,'Upto Month COPPY'!$J$16)</f>
        <v>174</v>
      </c>
      <c r="P95" s="9">
        <f>IF('Upto Month COPPY'!$J$17="",0,'Upto Month COPPY'!$J$17)</f>
        <v>1527</v>
      </c>
      <c r="Q95" s="9">
        <f>IF('Upto Month COPPY'!$J$18="",0,'Upto Month COPPY'!$J$18)</f>
        <v>0</v>
      </c>
      <c r="R95" s="9">
        <f>IF('Upto Month COPPY'!$J$21="",0,'Upto Month COPPY'!$J$21)</f>
        <v>117</v>
      </c>
      <c r="S95" s="9">
        <f>IF('Upto Month COPPY'!$J$26="",0,'Upto Month COPPY'!$J$26)</f>
        <v>38352</v>
      </c>
      <c r="T95" s="9">
        <f>IF('Upto Month COPPY'!$J$27="",0,'Upto Month COPPY'!$J$27)</f>
        <v>132178</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v>
      </c>
      <c r="AB95" s="9">
        <f>IF('Upto Month COPPY'!$J$48="",0,'Upto Month COPPY'!$J$48)</f>
        <v>0</v>
      </c>
      <c r="AC95" s="10">
        <f>IF('Upto Month COPPY'!$J$51="",0,'Upto Month COPPY'!$J$51)</f>
        <v>0</v>
      </c>
      <c r="AD95" s="123">
        <f t="shared" ref="AD95:AD96" si="1294">SUM(C95:AC95)</f>
        <v>384155</v>
      </c>
      <c r="AE95" s="9">
        <f>IF('Upto Month COPPY'!$J$19="",0,'Upto Month COPPY'!$J$19)</f>
        <v>121</v>
      </c>
      <c r="AF95" s="9">
        <f>IF('Upto Month COPPY'!$J$20="",0,'Upto Month COPPY'!$J$20)</f>
        <v>68</v>
      </c>
      <c r="AG95" s="9">
        <f>IF('Upto Month COPPY'!$J$22="",0,'Upto Month COPPY'!$J$22)</f>
        <v>138</v>
      </c>
      <c r="AH95" s="9">
        <f>IF('Upto Month COPPY'!$J$23="",0,'Upto Month COPPY'!$J$23)</f>
        <v>0</v>
      </c>
      <c r="AI95" s="9">
        <f>IF('Upto Month COPPY'!$J$24="",0,'Upto Month COPPY'!$J$24)</f>
        <v>0</v>
      </c>
      <c r="AJ95" s="9">
        <f>IF('Upto Month COPPY'!$J$25="",0,'Upto Month COPPY'!$J$25)</f>
        <v>0</v>
      </c>
      <c r="AK95" s="9">
        <f>IF('Upto Month COPPY'!$J$28="",0,'Upto Month COPPY'!$J$28)</f>
        <v>3698</v>
      </c>
      <c r="AL95" s="9">
        <f>IF('Upto Month COPPY'!$J$29="",0,'Upto Month COPPY'!$J$29)</f>
        <v>62837</v>
      </c>
      <c r="AM95" s="9">
        <f>IF('Upto Month COPPY'!$J$31="",0,'Upto Month COPPY'!$J$31)</f>
        <v>28056</v>
      </c>
      <c r="AN95" s="9">
        <f>IF('Upto Month COPPY'!$J$32="",0,'Upto Month COPPY'!$J$32)</f>
        <v>1</v>
      </c>
      <c r="AO95" s="9">
        <f>IF('Upto Month COPPY'!$J$33="",0,'Upto Month COPPY'!$J$33)</f>
        <v>86460</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291</v>
      </c>
      <c r="AX95" s="9">
        <f>IF('Upto Month COPPY'!$J$46="",0,'Upto Month COPPY'!$J$46)</f>
        <v>26</v>
      </c>
      <c r="AY95" s="9">
        <f>IF('Upto Month COPPY'!$J$47="",0,'Upto Month COPPY'!$J$47)</f>
        <v>85</v>
      </c>
      <c r="AZ95" s="9">
        <f>IF('Upto Month COPPY'!$J$49="",0,'Upto Month COPPY'!$J$49)</f>
        <v>0</v>
      </c>
      <c r="BA95" s="9">
        <f>IF('Upto Month COPPY'!$J$50="",0,'Upto Month COPPY'!$J$50)</f>
        <v>0</v>
      </c>
      <c r="BB95" s="10">
        <f>IF('Upto Month COPPY'!$J$52="",0,'Upto Month COPPY'!$J$52)</f>
        <v>0</v>
      </c>
      <c r="BC95" s="9">
        <f>IF('Upto Month COPPY'!$J$53="",0,'Upto Month COPPY'!$J$53)</f>
        <v>7442</v>
      </c>
      <c r="BD95" s="9">
        <f>IF('Upto Month COPPY'!$J$54="",0,'Upto Month COPPY'!$J$54)</f>
        <v>7451</v>
      </c>
      <c r="BE95" s="9">
        <f>IF('Upto Month COPPY'!$J$55="",0,'Upto Month COPPY'!$J$55)</f>
        <v>0</v>
      </c>
      <c r="BF95" s="9">
        <f>IF('Upto Month COPPY'!$J$56="",0,'Upto Month COPPY'!$J$56)</f>
        <v>1085</v>
      </c>
      <c r="BG95" s="9">
        <f>IF('Upto Month COPPY'!$J$58="",0,'Upto Month COPPY'!$J$58)</f>
        <v>-44854</v>
      </c>
      <c r="BH95" s="9">
        <f>SUM(AE95:BG95)</f>
        <v>152905</v>
      </c>
      <c r="BI95" s="127">
        <f>AD95+BH95</f>
        <v>537060</v>
      </c>
      <c r="BJ95" s="9">
        <f>IF('Upto Month COPPY'!$J$60="",0,'Upto Month COPPY'!$J$60)</f>
        <v>0</v>
      </c>
      <c r="BK95" s="51">
        <f t="shared" ref="BK95:BK96" si="1295">BI95-BJ95</f>
        <v>537060</v>
      </c>
      <c r="BL95">
        <f>'Upto Month COPPY'!$J$61</f>
        <v>537061</v>
      </c>
      <c r="BM95" s="30">
        <f t="shared" ref="BM95:BM99" si="1296">BK95-AD95</f>
        <v>152905</v>
      </c>
    </row>
    <row r="96" spans="1:65" ht="15.75" x14ac:dyDescent="0.25">
      <c r="A96" s="130"/>
      <c r="B96" s="185" t="s">
        <v>323</v>
      </c>
      <c r="C96" s="9">
        <f>IF('Upto Month Current'!$J$4="",0,'Upto Month Current'!$J$4)</f>
        <v>139416</v>
      </c>
      <c r="D96" s="9">
        <f>IF('Upto Month Current'!$J$5="",0,'Upto Month Current'!$J$5)</f>
        <v>23617</v>
      </c>
      <c r="E96" s="9">
        <f>IF('Upto Month Current'!$J$6="",0,'Upto Month Current'!$J$6)</f>
        <v>0</v>
      </c>
      <c r="F96" s="9">
        <f>IF('Upto Month Current'!$J$7="",0,'Upto Month Current'!$J$7)</f>
        <v>11734</v>
      </c>
      <c r="G96" s="9">
        <f>IF('Upto Month Current'!$J$8="",0,'Upto Month Current'!$J$8)</f>
        <v>8183</v>
      </c>
      <c r="H96" s="9">
        <f>IF('Upto Month Current'!$J$9="",0,'Upto Month Current'!$J$9)</f>
        <v>0</v>
      </c>
      <c r="I96" s="9">
        <f>IF('Upto Month Current'!$J$10="",0,'Upto Month Current'!$J$10)</f>
        <v>0</v>
      </c>
      <c r="J96" s="9">
        <f>IF('Upto Month Current'!$J$11="",0,'Upto Month Current'!$J$11)</f>
        <v>0</v>
      </c>
      <c r="K96" s="9">
        <f>IF('Upto Month Current'!$J$12="",0,'Upto Month Current'!$J$12)</f>
        <v>823</v>
      </c>
      <c r="L96" s="9">
        <f>IF('Upto Month Current'!$J$13="",0,'Upto Month Current'!$J$13)</f>
        <v>330</v>
      </c>
      <c r="M96" s="9">
        <f>IF('Upto Month Current'!$J$14="",0,'Upto Month Current'!$J$14)</f>
        <v>11110</v>
      </c>
      <c r="N96" s="9">
        <f>IF('Upto Month Current'!$J$15="",0,'Upto Month Current'!$J$15)</f>
        <v>1145</v>
      </c>
      <c r="O96" s="9">
        <f>IF('Upto Month Current'!$J$16="",0,'Upto Month Current'!$J$16)</f>
        <v>81</v>
      </c>
      <c r="P96" s="9">
        <f>IF('Upto Month Current'!$J$17="",0,'Upto Month Current'!$J$17)</f>
        <v>1677</v>
      </c>
      <c r="Q96" s="9">
        <f>IF('Upto Month Current'!$J$18="",0,'Upto Month Current'!$J$18)</f>
        <v>0</v>
      </c>
      <c r="R96" s="9">
        <f>IF('Upto Month Current'!$J$21="",0,'Upto Month Current'!$J$21)</f>
        <v>344</v>
      </c>
      <c r="S96" s="9">
        <f>IF('Upto Month Current'!$J$26="",0,'Upto Month Current'!$J$26)</f>
        <v>163549</v>
      </c>
      <c r="T96" s="9">
        <f>IF('Upto Month Current'!$J$27="",0,'Upto Month Current'!$J$27)</f>
        <v>129918</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104</v>
      </c>
      <c r="Z96" s="9">
        <f>IF('Upto Month Current'!$J$43="",0,'Upto Month Current'!$J$43)</f>
        <v>4</v>
      </c>
      <c r="AA96" s="9">
        <f>IF('Upto Month Current'!$J$44="",0,'Upto Month Current'!$J$44)</f>
        <v>4</v>
      </c>
      <c r="AB96" s="9">
        <f>IF('Upto Month Current'!$J$48="",0,'Upto Month Current'!$J$48)</f>
        <v>74</v>
      </c>
      <c r="AC96" s="10">
        <f>IF('Upto Month Current'!$J$51="",0,'Upto Month Current'!$J$51)</f>
        <v>0</v>
      </c>
      <c r="AD96" s="123">
        <f t="shared" si="1294"/>
        <v>492113</v>
      </c>
      <c r="AE96" s="9">
        <f>IF('Upto Month Current'!$J$19="",0,'Upto Month Current'!$J$19)</f>
        <v>96</v>
      </c>
      <c r="AF96" s="9">
        <f>IF('Upto Month Current'!$J$20="",0,'Upto Month Current'!$J$20)</f>
        <v>45</v>
      </c>
      <c r="AG96" s="9">
        <f>IF('Upto Month Current'!$J$22="",0,'Upto Month Current'!$J$22)</f>
        <v>979</v>
      </c>
      <c r="AH96" s="9">
        <f>IF('Upto Month Current'!$J$23="",0,'Upto Month Current'!$J$23)</f>
        <v>0</v>
      </c>
      <c r="AI96" s="9">
        <f>IF('Upto Month Current'!$J$24="",0,'Upto Month Current'!$J$24)</f>
        <v>0</v>
      </c>
      <c r="AJ96" s="9">
        <f>IF('Upto Month Current'!$J$25="",0,'Upto Month Current'!$J$25)</f>
        <v>3</v>
      </c>
      <c r="AK96" s="9">
        <f>IF('Upto Month Current'!$J$28="",0,'Upto Month Current'!$J$28)</f>
        <v>658</v>
      </c>
      <c r="AL96" s="9">
        <f>IF('Upto Month Current'!$J$29="",0,'Upto Month Current'!$J$29)</f>
        <v>42195</v>
      </c>
      <c r="AM96" s="9">
        <f>IF('Upto Month Current'!$J$31="",0,'Upto Month Current'!$J$31)</f>
        <v>13797</v>
      </c>
      <c r="AN96" s="9">
        <f>IF('Upto Month Current'!$J$32="",0,'Upto Month Current'!$J$32)</f>
        <v>2</v>
      </c>
      <c r="AO96" s="9">
        <f>IF('Upto Month Current'!$J$33="",0,'Upto Month Current'!$J$33)</f>
        <v>45703</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47</v>
      </c>
      <c r="AY96" s="9">
        <f>IF('Upto Month Current'!$J$47="",0,'Upto Month Current'!$J$47)</f>
        <v>159</v>
      </c>
      <c r="AZ96" s="9">
        <f>IF('Upto Month Current'!$J$49="",0,'Upto Month Current'!$J$49)</f>
        <v>0</v>
      </c>
      <c r="BA96" s="9">
        <f>IF('Upto Month Current'!$J$50="",0,'Upto Month Current'!$J$50)</f>
        <v>0</v>
      </c>
      <c r="BB96" s="10">
        <f>IF('Upto Month Current'!$J$52="",0,'Upto Month Current'!$J$52)</f>
        <v>0</v>
      </c>
      <c r="BC96" s="9">
        <f>IF('Upto Month Current'!$J$53="",0,'Upto Month Current'!$J$53)</f>
        <v>4518</v>
      </c>
      <c r="BD96" s="9">
        <f>IF('Upto Month Current'!$J$54="",0,'Upto Month Current'!$J$54)</f>
        <v>4518</v>
      </c>
      <c r="BE96" s="9">
        <f>IF('Upto Month Current'!$J$55="",0,'Upto Month Current'!$J$55)</f>
        <v>0</v>
      </c>
      <c r="BF96" s="9">
        <f>IF('Upto Month Current'!$J$56="",0,'Upto Month Current'!$J$56)</f>
        <v>427</v>
      </c>
      <c r="BG96" s="9">
        <f>IF('Upto Month Current'!$J$58="",0,'Upto Month Current'!$J$58)</f>
        <v>-46761</v>
      </c>
      <c r="BH96" s="9">
        <f>SUM(AE96:BG96)</f>
        <v>66386</v>
      </c>
      <c r="BI96" s="127">
        <f>AD96+BH96</f>
        <v>558499</v>
      </c>
      <c r="BJ96" s="9">
        <f>IF('Upto Month Current'!$J$60="",0,'Upto Month Current'!$J$60)</f>
        <v>0</v>
      </c>
      <c r="BK96" s="51">
        <f t="shared" si="1295"/>
        <v>558499</v>
      </c>
      <c r="BL96">
        <f>'Upto Month Current'!$J$61</f>
        <v>558502</v>
      </c>
      <c r="BM96" s="30">
        <f t="shared" si="1296"/>
        <v>66386</v>
      </c>
    </row>
    <row r="97" spans="1:65" ht="15.75" x14ac:dyDescent="0.25">
      <c r="A97" s="130"/>
      <c r="B97" s="5" t="s">
        <v>132</v>
      </c>
      <c r="C97" s="11">
        <f>C96-C94</f>
        <v>-17916.780000000028</v>
      </c>
      <c r="D97" s="11">
        <f t="shared" ref="D97" si="1297">D96-D94</f>
        <v>-3124.3400000000038</v>
      </c>
      <c r="E97" s="11">
        <f t="shared" ref="E97" si="1298">E96-E94</f>
        <v>0</v>
      </c>
      <c r="F97" s="11">
        <f t="shared" ref="F97" si="1299">F96-F94</f>
        <v>-2046.7999999999993</v>
      </c>
      <c r="G97" s="11">
        <f t="shared" ref="G97" si="1300">G96-G94</f>
        <v>-3901.66</v>
      </c>
      <c r="H97" s="11">
        <f t="shared" ref="H97" si="1301">H96-H94</f>
        <v>0</v>
      </c>
      <c r="I97" s="11">
        <f t="shared" ref="I97" si="1302">I96-I94</f>
        <v>0</v>
      </c>
      <c r="J97" s="11">
        <f t="shared" ref="J97" si="1303">J96-J94</f>
        <v>0</v>
      </c>
      <c r="K97" s="11">
        <f t="shared" ref="K97" si="1304">K96-K94</f>
        <v>754.24</v>
      </c>
      <c r="L97" s="11">
        <f t="shared" ref="L97" si="1305">L96-L94</f>
        <v>-185.34000000000003</v>
      </c>
      <c r="M97" s="11">
        <f t="shared" ref="M97" si="1306">M96-M94</f>
        <v>-3892.6400000000012</v>
      </c>
      <c r="N97" s="11">
        <f t="shared" ref="N97" si="1307">N96-N94</f>
        <v>-719.08000000000015</v>
      </c>
      <c r="O97" s="11">
        <f t="shared" ref="O97" si="1308">O96-O94</f>
        <v>-469.62</v>
      </c>
      <c r="P97" s="11">
        <f t="shared" ref="P97" si="1309">P96-P94</f>
        <v>-681.18000000000029</v>
      </c>
      <c r="Q97" s="11">
        <f t="shared" ref="Q97" si="1310">Q96-Q94</f>
        <v>0</v>
      </c>
      <c r="R97" s="11">
        <f t="shared" ref="R97" si="1311">R96-R94</f>
        <v>-170.44000000000005</v>
      </c>
      <c r="S97" s="11">
        <f t="shared" ref="S97" si="1312">S96-S94</f>
        <v>-192577.40000000002</v>
      </c>
      <c r="T97" s="11">
        <f t="shared" ref="T97:U97" si="1313">T96-T94</f>
        <v>-19748.760000000009</v>
      </c>
      <c r="U97" s="11">
        <f t="shared" si="1313"/>
        <v>0</v>
      </c>
      <c r="V97" s="9">
        <f t="shared" ref="V97" si="1314">V96-V94</f>
        <v>0</v>
      </c>
      <c r="W97" s="11">
        <f t="shared" ref="W97" si="1315">W96-W94</f>
        <v>0</v>
      </c>
      <c r="X97" s="11">
        <f t="shared" ref="X97" si="1316">X96-X94</f>
        <v>0</v>
      </c>
      <c r="Y97" s="11">
        <f t="shared" ref="Y97" si="1317">Y96-Y94</f>
        <v>75.56</v>
      </c>
      <c r="Z97" s="11">
        <f t="shared" ref="Z97" si="1318">Z96-Z94</f>
        <v>0.39999999999999991</v>
      </c>
      <c r="AA97" s="11">
        <f t="shared" ref="AA97:AD97" si="1319">AA96-AA94</f>
        <v>-7.8800000000000008</v>
      </c>
      <c r="AB97" s="11">
        <f t="shared" ref="AB97" si="1320">AB96-AB94</f>
        <v>-212.38</v>
      </c>
      <c r="AC97" s="10">
        <f t="shared" si="1319"/>
        <v>0</v>
      </c>
      <c r="AD97" s="11">
        <f t="shared" si="1319"/>
        <v>-244824.09999999998</v>
      </c>
      <c r="AE97" s="11">
        <f t="shared" ref="AE97" si="1321">AE96-AE94</f>
        <v>-594.12000000000012</v>
      </c>
      <c r="AF97" s="11">
        <f t="shared" ref="AF97" si="1322">AF96-AF94</f>
        <v>30.78</v>
      </c>
      <c r="AG97" s="11">
        <f t="shared" ref="AG97" si="1323">AG96-AG94</f>
        <v>820.78</v>
      </c>
      <c r="AH97" s="11">
        <f t="shared" ref="AH97" si="1324">AH96-AH94</f>
        <v>0</v>
      </c>
      <c r="AI97" s="11">
        <f t="shared" ref="AI97" si="1325">AI96-AI94</f>
        <v>0</v>
      </c>
      <c r="AJ97" s="11">
        <f t="shared" ref="AJ97" si="1326">AJ96-AJ94</f>
        <v>-2.76</v>
      </c>
      <c r="AK97" s="11">
        <f t="shared" ref="AK97" si="1327">AK96-AK94</f>
        <v>-2934.26</v>
      </c>
      <c r="AL97" s="11">
        <f t="shared" ref="AL97" si="1328">AL96-AL94</f>
        <v>4600.0199999999968</v>
      </c>
      <c r="AM97" s="11">
        <f t="shared" ref="AM97" si="1329">AM96-AM94</f>
        <v>-15569.279999999999</v>
      </c>
      <c r="AN97" s="11">
        <f t="shared" ref="AN97" si="1330">AN96-AN94</f>
        <v>2</v>
      </c>
      <c r="AO97" s="9">
        <f t="shared" ref="AO97" si="1331">AO96-AO94</f>
        <v>-19533.5</v>
      </c>
      <c r="AP97" s="11">
        <f t="shared" ref="AP97" si="1332">AP96-AP94</f>
        <v>0</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-165.06</v>
      </c>
      <c r="AX97" s="11">
        <f t="shared" ref="AX97" si="1340">AX96-AX94</f>
        <v>-5.3800000000000026</v>
      </c>
      <c r="AY97" s="11">
        <f t="shared" ref="AY97" si="1341">AY96-AY94</f>
        <v>-139.44000000000005</v>
      </c>
      <c r="AZ97" s="11">
        <f t="shared" ref="AZ97" si="1342">AZ96-AZ94</f>
        <v>0</v>
      </c>
      <c r="BA97" s="11">
        <f t="shared" ref="BA97" si="1343">BA96-BA94</f>
        <v>0</v>
      </c>
      <c r="BB97" s="10">
        <f t="shared" ref="BB97" si="1344">BB96-BB94</f>
        <v>0</v>
      </c>
      <c r="BC97" s="11">
        <f t="shared" ref="BC97" si="1345">BC96-BC94</f>
        <v>-820.26000000000022</v>
      </c>
      <c r="BD97" s="11">
        <f t="shared" ref="BD97" si="1346">BD96-BD94</f>
        <v>-820.6200000000008</v>
      </c>
      <c r="BE97" s="11">
        <f t="shared" ref="BE97" si="1347">BE96-BE94</f>
        <v>-32.4</v>
      </c>
      <c r="BF97" s="11">
        <f t="shared" ref="BF97" si="1348">BF96-BF94</f>
        <v>-206.24</v>
      </c>
      <c r="BG97" s="11">
        <f t="shared" ref="BG97:BH97" si="1349">BG96-BG94</f>
        <v>-37487.4</v>
      </c>
      <c r="BH97" s="9">
        <f t="shared" si="1349"/>
        <v>-72857.139999999985</v>
      </c>
      <c r="BI97" s="45">
        <f t="shared" ref="BI97" si="1350">BI96-BI94</f>
        <v>-317681.24</v>
      </c>
      <c r="BJ97" s="11">
        <f t="shared" ref="BJ97:BK97" si="1351">BJ96-BJ94</f>
        <v>-14.166666666666666</v>
      </c>
      <c r="BK97" s="51">
        <f t="shared" si="1351"/>
        <v>-317667.07333333336</v>
      </c>
      <c r="BM97" s="30">
        <f t="shared" si="1296"/>
        <v>-72842.973333333386</v>
      </c>
    </row>
    <row r="98" spans="1:65" ht="15.75" x14ac:dyDescent="0.25">
      <c r="A98" s="130"/>
      <c r="B98" s="5" t="s">
        <v>133</v>
      </c>
      <c r="C98" s="13">
        <f>C97/C94</f>
        <v>-0.11387823948702887</v>
      </c>
      <c r="D98" s="13">
        <f t="shared" ref="D98" si="1352">D97/D94</f>
        <v>-0.11683558116384607</v>
      </c>
      <c r="E98" s="13" t="e">
        <f t="shared" ref="E98" si="1353">E97/E94</f>
        <v>#DIV/0!</v>
      </c>
      <c r="F98" s="13">
        <f t="shared" ref="F98" si="1354">F97/F94</f>
        <v>-0.14852548473238125</v>
      </c>
      <c r="G98" s="13">
        <f t="shared" ref="G98" si="1355">G97/G94</f>
        <v>-0.32286055213799975</v>
      </c>
      <c r="H98" s="13" t="e">
        <f t="shared" ref="H98" si="1356">H97/H94</f>
        <v>#DIV/0!</v>
      </c>
      <c r="I98" s="13" t="e">
        <f t="shared" ref="I98" si="1357">I97/I94</f>
        <v>#DIV/0!</v>
      </c>
      <c r="J98" s="13" t="e">
        <f t="shared" ref="J98" si="1358">J97/J94</f>
        <v>#DIV/0!</v>
      </c>
      <c r="K98" s="13">
        <f t="shared" ref="K98" si="1359">K97/K94</f>
        <v>10.969168121000582</v>
      </c>
      <c r="L98" s="13">
        <f t="shared" ref="L98" si="1360">L97/L94</f>
        <v>-0.35964605891256263</v>
      </c>
      <c r="M98" s="13">
        <f t="shared" ref="M98" si="1361">M97/M94</f>
        <v>-0.25946366772781332</v>
      </c>
      <c r="N98" s="13">
        <f t="shared" ref="N98" si="1362">N97/N94</f>
        <v>-0.38575597613836321</v>
      </c>
      <c r="O98" s="13">
        <f t="shared" ref="O98" si="1363">O97/O94</f>
        <v>-0.85289310232101989</v>
      </c>
      <c r="P98" s="13">
        <f t="shared" ref="P98" si="1364">P97/P94</f>
        <v>-0.28885835686843253</v>
      </c>
      <c r="Q98" s="13" t="e">
        <f t="shared" ref="Q98" si="1365">Q97/Q94</f>
        <v>#DIV/0!</v>
      </c>
      <c r="R98" s="13">
        <f t="shared" ref="R98" si="1366">R97/R94</f>
        <v>-0.33131171759583244</v>
      </c>
      <c r="S98" s="13">
        <f t="shared" ref="S98" si="1367">S97/S94</f>
        <v>-0.54075575413673349</v>
      </c>
      <c r="T98" s="13">
        <f t="shared" ref="T98:U98" si="1368">T97/T94</f>
        <v>-0.13195154354914884</v>
      </c>
      <c r="U98" s="13" t="e">
        <f t="shared" si="1368"/>
        <v>#DIV/0!</v>
      </c>
      <c r="V98" s="165" t="e">
        <f t="shared" ref="V98" si="1369">V97/V94</f>
        <v>#DIV/0!</v>
      </c>
      <c r="W98" s="13" t="e">
        <f t="shared" ref="W98" si="1370">W97/W94</f>
        <v>#DIV/0!</v>
      </c>
      <c r="X98" s="13" t="e">
        <f t="shared" ref="X98" si="1371">X97/X94</f>
        <v>#DIV/0!</v>
      </c>
      <c r="Y98" s="13">
        <f t="shared" ref="Y98" si="1372">Y97/Y94</f>
        <v>2.6568213783403656</v>
      </c>
      <c r="Z98" s="13">
        <f t="shared" ref="Z98" si="1373">Z97/Z94</f>
        <v>0.11111111111111108</v>
      </c>
      <c r="AA98" s="13">
        <f t="shared" ref="AA98:AD98" si="1374">AA97/AA94</f>
        <v>-0.66329966329966328</v>
      </c>
      <c r="AB98" s="13">
        <f t="shared" ref="AB98" si="1375">AB97/AB94</f>
        <v>-0.74160206718346255</v>
      </c>
      <c r="AC98" s="14" t="e">
        <f t="shared" si="1374"/>
        <v>#DIV/0!</v>
      </c>
      <c r="AD98" s="13">
        <f t="shared" si="1374"/>
        <v>-0.33221844849445087</v>
      </c>
      <c r="AE98" s="13">
        <f t="shared" ref="AE98" si="1376">AE97/AE94</f>
        <v>-0.86089375760737263</v>
      </c>
      <c r="AF98" s="13">
        <f t="shared" ref="AF98" si="1377">AF97/AF94</f>
        <v>2.1645569620253164</v>
      </c>
      <c r="AG98" s="13">
        <f t="shared" ref="AG98" si="1378">AG97/AG94</f>
        <v>5.1875869043104528</v>
      </c>
      <c r="AH98" s="13" t="e">
        <f t="shared" ref="AH98" si="1379">AH97/AH94</f>
        <v>#DIV/0!</v>
      </c>
      <c r="AI98" s="13" t="e">
        <f t="shared" ref="AI98" si="1380">AI97/AI94</f>
        <v>#DIV/0!</v>
      </c>
      <c r="AJ98" s="13">
        <f t="shared" ref="AJ98" si="1381">AJ97/AJ94</f>
        <v>-0.47916666666666663</v>
      </c>
      <c r="AK98" s="13">
        <f t="shared" ref="AK98" si="1382">AK97/AK94</f>
        <v>-0.81682840328929418</v>
      </c>
      <c r="AL98" s="13">
        <f t="shared" ref="AL98" si="1383">AL97/AL94</f>
        <v>0.12235729344715694</v>
      </c>
      <c r="AM98" s="13">
        <f t="shared" ref="AM98" si="1384">AM97/AM94</f>
        <v>-0.53017542569232468</v>
      </c>
      <c r="AN98" s="13" t="e">
        <f t="shared" ref="AN98" si="1385">AN97/AN94</f>
        <v>#DIV/0!</v>
      </c>
      <c r="AO98" s="165">
        <f t="shared" ref="AO98" si="1386">AO97/AO94</f>
        <v>-0.29942593486775043</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-1</v>
      </c>
      <c r="AX98" s="13">
        <f t="shared" ref="AX98" si="1395">AX97/AX94</f>
        <v>-0.10271095838106152</v>
      </c>
      <c r="AY98" s="13">
        <f t="shared" ref="AY98" si="1396">AY97/AY94</f>
        <v>-0.46722959388821883</v>
      </c>
      <c r="AZ98" s="13" t="e">
        <f t="shared" ref="AZ98" si="1397">AZ97/AZ94</f>
        <v>#DIV/0!</v>
      </c>
      <c r="BA98" s="13" t="e">
        <f t="shared" ref="BA98" si="1398">BA97/BA94</f>
        <v>#DIV/0!</v>
      </c>
      <c r="BB98" s="14" t="e">
        <f t="shared" ref="BB98" si="1399">BB97/BB94</f>
        <v>#DIV/0!</v>
      </c>
      <c r="BC98" s="13">
        <f t="shared" ref="BC98" si="1400">BC97/BC94</f>
        <v>-0.1536568095222039</v>
      </c>
      <c r="BD98" s="13">
        <f t="shared" ref="BD98" si="1401">BD97/BD94</f>
        <v>-0.15371388111534454</v>
      </c>
      <c r="BE98" s="13">
        <f t="shared" ref="BE98" si="1402">BE97/BE94</f>
        <v>-1</v>
      </c>
      <c r="BF98" s="13">
        <f t="shared" ref="BF98" si="1403">BF97/BF94</f>
        <v>-0.32569010169919776</v>
      </c>
      <c r="BG98" s="13">
        <f t="shared" ref="BG98:BH98" si="1404">BG97/BG94</f>
        <v>4.0423783643892337</v>
      </c>
      <c r="BH98" s="165">
        <f t="shared" si="1404"/>
        <v>-0.52323683594035575</v>
      </c>
      <c r="BI98" s="46">
        <f t="shared" ref="BI98" si="1405">BI97/BI94</f>
        <v>-0.3625752162591569</v>
      </c>
      <c r="BJ98" s="13">
        <f t="shared" ref="BJ98:BK98" si="1406">BJ97/BJ94</f>
        <v>-1</v>
      </c>
      <c r="BK98" s="52">
        <f t="shared" si="1406"/>
        <v>-0.36256490978335154</v>
      </c>
      <c r="BM98" s="165" t="e">
        <f t="shared" ref="BM98" si="1407">BM97/BM94</f>
        <v>#DIV/0!</v>
      </c>
    </row>
    <row r="99" spans="1:65" ht="15.75" x14ac:dyDescent="0.25">
      <c r="A99" s="130"/>
      <c r="B99" s="5" t="s">
        <v>134</v>
      </c>
      <c r="C99" s="11">
        <f>C96-C95</f>
        <v>-7738</v>
      </c>
      <c r="D99" s="11">
        <f t="shared" ref="D99:BK99" si="1408">D96-D95</f>
        <v>-1611</v>
      </c>
      <c r="E99" s="11">
        <f t="shared" si="1408"/>
        <v>0</v>
      </c>
      <c r="F99" s="11">
        <f t="shared" si="1408"/>
        <v>10</v>
      </c>
      <c r="G99" s="11">
        <f t="shared" si="1408"/>
        <v>-2854</v>
      </c>
      <c r="H99" s="11">
        <f t="shared" si="1408"/>
        <v>0</v>
      </c>
      <c r="I99" s="11">
        <f t="shared" si="1408"/>
        <v>0</v>
      </c>
      <c r="J99" s="11">
        <f t="shared" si="1408"/>
        <v>0</v>
      </c>
      <c r="K99" s="11">
        <f t="shared" si="1408"/>
        <v>823</v>
      </c>
      <c r="L99" s="11">
        <f t="shared" si="1408"/>
        <v>-139</v>
      </c>
      <c r="M99" s="11">
        <f t="shared" si="1408"/>
        <v>-2877</v>
      </c>
      <c r="N99" s="11">
        <f t="shared" si="1408"/>
        <v>-983</v>
      </c>
      <c r="O99" s="11">
        <f t="shared" si="1408"/>
        <v>-93</v>
      </c>
      <c r="P99" s="11">
        <f t="shared" si="1408"/>
        <v>150</v>
      </c>
      <c r="Q99" s="11">
        <f t="shared" si="1408"/>
        <v>0</v>
      </c>
      <c r="R99" s="11">
        <f t="shared" si="1408"/>
        <v>227</v>
      </c>
      <c r="S99" s="11">
        <f t="shared" si="1408"/>
        <v>125197</v>
      </c>
      <c r="T99" s="11">
        <f t="shared" si="1408"/>
        <v>-2260</v>
      </c>
      <c r="U99" s="11">
        <f t="shared" ref="U99" si="1409">U96-U95</f>
        <v>0</v>
      </c>
      <c r="V99" s="9">
        <f t="shared" si="1408"/>
        <v>0</v>
      </c>
      <c r="W99" s="11">
        <f t="shared" si="1408"/>
        <v>0</v>
      </c>
      <c r="X99" s="11">
        <f t="shared" si="1408"/>
        <v>0</v>
      </c>
      <c r="Y99" s="11">
        <f t="shared" si="1408"/>
        <v>31</v>
      </c>
      <c r="Z99" s="11">
        <f t="shared" si="1408"/>
        <v>-1</v>
      </c>
      <c r="AA99" s="11">
        <f t="shared" si="1408"/>
        <v>2</v>
      </c>
      <c r="AB99" s="11">
        <f t="shared" ref="AB99" si="1410">AB96-AB95</f>
        <v>74</v>
      </c>
      <c r="AC99" s="10">
        <f t="shared" ref="AC99:AD99" si="1411">AC96-AC95</f>
        <v>0</v>
      </c>
      <c r="AD99" s="11">
        <f t="shared" si="1411"/>
        <v>107958</v>
      </c>
      <c r="AE99" s="11">
        <f t="shared" si="1408"/>
        <v>-25</v>
      </c>
      <c r="AF99" s="11">
        <f t="shared" si="1408"/>
        <v>-23</v>
      </c>
      <c r="AG99" s="11">
        <f t="shared" si="1408"/>
        <v>841</v>
      </c>
      <c r="AH99" s="11">
        <f t="shared" si="1408"/>
        <v>0</v>
      </c>
      <c r="AI99" s="11">
        <f t="shared" si="1408"/>
        <v>0</v>
      </c>
      <c r="AJ99" s="11">
        <f t="shared" si="1408"/>
        <v>3</v>
      </c>
      <c r="AK99" s="11">
        <f t="shared" si="1408"/>
        <v>-3040</v>
      </c>
      <c r="AL99" s="11">
        <f t="shared" si="1408"/>
        <v>-20642</v>
      </c>
      <c r="AM99" s="11">
        <f t="shared" si="1408"/>
        <v>-14259</v>
      </c>
      <c r="AN99" s="11">
        <f t="shared" si="1408"/>
        <v>1</v>
      </c>
      <c r="AO99" s="9">
        <f t="shared" si="1408"/>
        <v>-40757</v>
      </c>
      <c r="AP99" s="11">
        <f t="shared" si="1408"/>
        <v>0</v>
      </c>
      <c r="AQ99" s="10">
        <f t="shared" si="1408"/>
        <v>0</v>
      </c>
      <c r="AR99" s="11">
        <f t="shared" si="1408"/>
        <v>0</v>
      </c>
      <c r="AS99" s="11">
        <f t="shared" si="1408"/>
        <v>0</v>
      </c>
      <c r="AT99" s="11">
        <f t="shared" si="1408"/>
        <v>0</v>
      </c>
      <c r="AU99" s="11">
        <f t="shared" si="1408"/>
        <v>0</v>
      </c>
      <c r="AV99" s="11">
        <f t="shared" si="1408"/>
        <v>0</v>
      </c>
      <c r="AW99" s="11">
        <f t="shared" si="1408"/>
        <v>-291</v>
      </c>
      <c r="AX99" s="11">
        <f t="shared" si="1408"/>
        <v>21</v>
      </c>
      <c r="AY99" s="11">
        <f t="shared" si="1408"/>
        <v>74</v>
      </c>
      <c r="AZ99" s="11">
        <f t="shared" si="1408"/>
        <v>0</v>
      </c>
      <c r="BA99" s="11">
        <f t="shared" si="1408"/>
        <v>0</v>
      </c>
      <c r="BB99" s="10">
        <f t="shared" si="1408"/>
        <v>0</v>
      </c>
      <c r="BC99" s="11">
        <f t="shared" si="1408"/>
        <v>-2924</v>
      </c>
      <c r="BD99" s="11">
        <f t="shared" si="1408"/>
        <v>-2933</v>
      </c>
      <c r="BE99" s="11">
        <f t="shared" si="1408"/>
        <v>0</v>
      </c>
      <c r="BF99" s="11">
        <f t="shared" si="1408"/>
        <v>-658</v>
      </c>
      <c r="BG99" s="11">
        <f t="shared" si="1408"/>
        <v>-1907</v>
      </c>
      <c r="BH99" s="9">
        <f t="shared" si="1408"/>
        <v>-86519</v>
      </c>
      <c r="BI99" s="45">
        <f t="shared" si="1408"/>
        <v>21439</v>
      </c>
      <c r="BJ99" s="11">
        <f t="shared" si="1408"/>
        <v>0</v>
      </c>
      <c r="BK99" s="51">
        <f t="shared" si="1408"/>
        <v>21439</v>
      </c>
      <c r="BM99" s="30">
        <f t="shared" si="1296"/>
        <v>-86519</v>
      </c>
    </row>
    <row r="100" spans="1:65" ht="15.75" x14ac:dyDescent="0.25">
      <c r="A100" s="130"/>
      <c r="B100" s="5" t="s">
        <v>135</v>
      </c>
      <c r="C100" s="13">
        <f>C99/C95</f>
        <v>-5.2584367397420388E-2</v>
      </c>
      <c r="D100" s="13">
        <f t="shared" ref="D100" si="1412">D99/D95</f>
        <v>-6.3857618519105749E-2</v>
      </c>
      <c r="E100" s="13" t="e">
        <f t="shared" ref="E100" si="1413">E99/E95</f>
        <v>#DIV/0!</v>
      </c>
      <c r="F100" s="13">
        <f t="shared" ref="F100" si="1414">F99/F95</f>
        <v>8.5295121119071987E-4</v>
      </c>
      <c r="G100" s="13">
        <f t="shared" ref="G100" si="1415">G99/G95</f>
        <v>-0.25858476035154482</v>
      </c>
      <c r="H100" s="13" t="e">
        <f t="shared" ref="H100" si="1416">H99/H95</f>
        <v>#DIV/0!</v>
      </c>
      <c r="I100" s="13" t="e">
        <f t="shared" ref="I100" si="1417">I99/I95</f>
        <v>#DIV/0!</v>
      </c>
      <c r="J100" s="13" t="e">
        <f t="shared" ref="J100" si="1418">J99/J95</f>
        <v>#DIV/0!</v>
      </c>
      <c r="K100" s="13" t="e">
        <f t="shared" ref="K100" si="1419">K99/K95</f>
        <v>#DIV/0!</v>
      </c>
      <c r="L100" s="13">
        <f t="shared" ref="L100" si="1420">L99/L95</f>
        <v>-0.29637526652452023</v>
      </c>
      <c r="M100" s="13">
        <f t="shared" ref="M100" si="1421">M99/M95</f>
        <v>-0.20569099878458569</v>
      </c>
      <c r="N100" s="13">
        <f t="shared" ref="N100" si="1422">N99/N95</f>
        <v>-0.46193609022556392</v>
      </c>
      <c r="O100" s="13">
        <f t="shared" ref="O100" si="1423">O99/O95</f>
        <v>-0.53448275862068961</v>
      </c>
      <c r="P100" s="13">
        <f t="shared" ref="P100" si="1424">P99/P95</f>
        <v>9.8231827111984277E-2</v>
      </c>
      <c r="Q100" s="13" t="e">
        <f t="shared" ref="Q100" si="1425">Q99/Q95</f>
        <v>#DIV/0!</v>
      </c>
      <c r="R100" s="13">
        <f t="shared" ref="R100" si="1426">R99/R95</f>
        <v>1.9401709401709402</v>
      </c>
      <c r="S100" s="13">
        <f t="shared" ref="S100" si="1427">S99/S95</f>
        <v>3.2644190654985397</v>
      </c>
      <c r="T100" s="13">
        <f t="shared" ref="T100:U100" si="1428">T99/T95</f>
        <v>-1.7098155517559655E-2</v>
      </c>
      <c r="U100" s="13" t="e">
        <f t="shared" si="1428"/>
        <v>#DIV/0!</v>
      </c>
      <c r="V100" s="165" t="e">
        <f t="shared" ref="V100" si="1429">V99/V95</f>
        <v>#DIV/0!</v>
      </c>
      <c r="W100" s="13" t="e">
        <f t="shared" ref="W100" si="1430">W99/W95</f>
        <v>#DIV/0!</v>
      </c>
      <c r="X100" s="13" t="e">
        <f t="shared" ref="X100" si="1431">X99/X95</f>
        <v>#DIV/0!</v>
      </c>
      <c r="Y100" s="13">
        <f t="shared" ref="Y100" si="1432">Y99/Y95</f>
        <v>0.42465753424657532</v>
      </c>
      <c r="Z100" s="13">
        <f t="shared" ref="Z100" si="1433">Z99/Z95</f>
        <v>-0.2</v>
      </c>
      <c r="AA100" s="13">
        <f t="shared" ref="AA100:AD100" si="1434">AA99/AA95</f>
        <v>1</v>
      </c>
      <c r="AB100" s="13" t="e">
        <f t="shared" ref="AB100" si="1435">AB99/AB95</f>
        <v>#DIV/0!</v>
      </c>
      <c r="AC100" s="14" t="e">
        <f t="shared" si="1434"/>
        <v>#DIV/0!</v>
      </c>
      <c r="AD100" s="13">
        <f t="shared" si="1434"/>
        <v>0.2810271895458864</v>
      </c>
      <c r="AE100" s="13">
        <f t="shared" ref="AE100" si="1436">AE99/AE95</f>
        <v>-0.20661157024793389</v>
      </c>
      <c r="AF100" s="13">
        <f t="shared" ref="AF100" si="1437">AF99/AF95</f>
        <v>-0.33823529411764708</v>
      </c>
      <c r="AG100" s="13">
        <f t="shared" ref="AG100" si="1438">AG99/AG95</f>
        <v>6.0942028985507246</v>
      </c>
      <c r="AH100" s="13" t="e">
        <f t="shared" ref="AH100" si="1439">AH99/AH95</f>
        <v>#DIV/0!</v>
      </c>
      <c r="AI100" s="13" t="e">
        <f t="shared" ref="AI100" si="1440">AI99/AI95</f>
        <v>#DIV/0!</v>
      </c>
      <c r="AJ100" s="13" t="e">
        <f t="shared" ref="AJ100" si="1441">AJ99/AJ95</f>
        <v>#DIV/0!</v>
      </c>
      <c r="AK100" s="13">
        <f t="shared" ref="AK100" si="1442">AK99/AK95</f>
        <v>-0.82206598161168198</v>
      </c>
      <c r="AL100" s="13">
        <f t="shared" ref="AL100" si="1443">AL99/AL95</f>
        <v>-0.3285007240956761</v>
      </c>
      <c r="AM100" s="13">
        <f t="shared" ref="AM100" si="1444">AM99/AM95</f>
        <v>-0.50823353293413176</v>
      </c>
      <c r="AN100" s="13">
        <f t="shared" ref="AN100" si="1445">AN99/AN95</f>
        <v>1</v>
      </c>
      <c r="AO100" s="165">
        <f t="shared" ref="AO100" si="1446">AO99/AO95</f>
        <v>-0.47139717788572749</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-1</v>
      </c>
      <c r="AX100" s="13">
        <f t="shared" ref="AX100" si="1455">AX99/AX95</f>
        <v>0.80769230769230771</v>
      </c>
      <c r="AY100" s="13">
        <f t="shared" ref="AY100" si="1456">AY99/AY95</f>
        <v>0.87058823529411766</v>
      </c>
      <c r="AZ100" s="13" t="e">
        <f t="shared" ref="AZ100" si="1457">AZ99/AZ95</f>
        <v>#DIV/0!</v>
      </c>
      <c r="BA100" s="13" t="e">
        <f t="shared" ref="BA100" si="1458">BA99/BA95</f>
        <v>#DIV/0!</v>
      </c>
      <c r="BB100" s="14" t="e">
        <f t="shared" ref="BB100" si="1459">BB99/BB95</f>
        <v>#DIV/0!</v>
      </c>
      <c r="BC100" s="13">
        <f t="shared" ref="BC100" si="1460">BC99/BC95</f>
        <v>-0.39290513302875574</v>
      </c>
      <c r="BD100" s="13">
        <f t="shared" ref="BD100" si="1461">BD99/BD95</f>
        <v>-0.39363843779358476</v>
      </c>
      <c r="BE100" s="13" t="e">
        <f t="shared" ref="BE100" si="1462">BE99/BE95</f>
        <v>#DIV/0!</v>
      </c>
      <c r="BF100" s="13">
        <f t="shared" ref="BF100" si="1463">BF99/BF95</f>
        <v>-0.6064516129032258</v>
      </c>
      <c r="BG100" s="13">
        <f t="shared" ref="BG100:BH100" si="1464">BG99/BG95</f>
        <v>4.2515717661746999E-2</v>
      </c>
      <c r="BH100" s="165">
        <f t="shared" si="1464"/>
        <v>-0.56583499558549422</v>
      </c>
      <c r="BI100" s="46">
        <f t="shared" ref="BI100" si="1465">BI99/BI95</f>
        <v>3.9919189662235129E-2</v>
      </c>
      <c r="BJ100" s="13" t="e">
        <f t="shared" ref="BJ100:BK100" si="1466">BJ99/BJ95</f>
        <v>#DIV/0!</v>
      </c>
      <c r="BK100" s="52">
        <f t="shared" si="1466"/>
        <v>3.9919189662235129E-2</v>
      </c>
      <c r="BM100" s="14">
        <f t="shared" ref="BM100" si="1467">BM99/BM95</f>
        <v>-0.56583499558549422</v>
      </c>
    </row>
    <row r="101" spans="1:65" ht="15.75" x14ac:dyDescent="0.25">
      <c r="A101" s="130"/>
      <c r="B101" s="5" t="s">
        <v>296</v>
      </c>
      <c r="C101" s="128">
        <f>C96/C93</f>
        <v>0.15950191689233484</v>
      </c>
      <c r="D101" s="128">
        <f t="shared" ref="D101:BK101" si="1468">D96/D93</f>
        <v>0.15896959539050773</v>
      </c>
      <c r="E101" s="128">
        <f t="shared" si="1468"/>
        <v>0</v>
      </c>
      <c r="F101" s="128">
        <f t="shared" si="1468"/>
        <v>0.15326541274817138</v>
      </c>
      <c r="G101" s="128">
        <f t="shared" si="1468"/>
        <v>0.12188510061516004</v>
      </c>
      <c r="H101" s="128" t="e">
        <f t="shared" si="1468"/>
        <v>#DIV/0!</v>
      </c>
      <c r="I101" s="128" t="e">
        <f t="shared" si="1468"/>
        <v>#DIV/0!</v>
      </c>
      <c r="J101" s="128" t="e">
        <f t="shared" si="1468"/>
        <v>#DIV/0!</v>
      </c>
      <c r="K101" s="128">
        <f t="shared" si="1468"/>
        <v>2.1544502617801049</v>
      </c>
      <c r="L101" s="128">
        <f t="shared" si="1468"/>
        <v>0.11526370939573874</v>
      </c>
      <c r="M101" s="128">
        <f t="shared" si="1468"/>
        <v>0.13329653980899361</v>
      </c>
      <c r="N101" s="128">
        <f t="shared" si="1468"/>
        <v>0.11056392429509464</v>
      </c>
      <c r="O101" s="128">
        <f t="shared" si="1468"/>
        <v>2.6479241582216411E-2</v>
      </c>
      <c r="P101" s="128">
        <f t="shared" si="1468"/>
        <v>0.12800549576368217</v>
      </c>
      <c r="Q101" s="128" t="e">
        <f t="shared" si="1468"/>
        <v>#DIV/0!</v>
      </c>
      <c r="R101" s="128">
        <f t="shared" si="1468"/>
        <v>0.12036389083275018</v>
      </c>
      <c r="S101" s="128">
        <f t="shared" si="1468"/>
        <v>0.18369769834530661</v>
      </c>
      <c r="T101" s="128">
        <f t="shared" si="1468"/>
        <v>0.15624872216115321</v>
      </c>
      <c r="U101" s="128" t="e">
        <f t="shared" si="1468"/>
        <v>#DIV/0!</v>
      </c>
      <c r="V101" s="180" t="e">
        <f t="shared" si="1468"/>
        <v>#DIV/0!</v>
      </c>
      <c r="W101" s="128" t="e">
        <f t="shared" si="1468"/>
        <v>#DIV/0!</v>
      </c>
      <c r="X101" s="128" t="e">
        <f t="shared" si="1468"/>
        <v>#DIV/0!</v>
      </c>
      <c r="Y101" s="128">
        <f t="shared" si="1468"/>
        <v>0.65822784810126578</v>
      </c>
      <c r="Z101" s="128">
        <f t="shared" si="1468"/>
        <v>0.2</v>
      </c>
      <c r="AA101" s="128">
        <f t="shared" si="1468"/>
        <v>6.0606060606060608E-2</v>
      </c>
      <c r="AB101" s="128">
        <f t="shared" ref="AB101" si="1469">AB96/AB93</f>
        <v>4.6511627906976744E-2</v>
      </c>
      <c r="AC101" s="228" t="e">
        <f t="shared" si="1468"/>
        <v>#DIV/0!</v>
      </c>
      <c r="AD101" s="128">
        <f t="shared" si="1468"/>
        <v>0.16174291214347902</v>
      </c>
      <c r="AE101" s="128">
        <f t="shared" si="1468"/>
        <v>2.5039123630672927E-2</v>
      </c>
      <c r="AF101" s="128">
        <f t="shared" si="1468"/>
        <v>0.569620253164557</v>
      </c>
      <c r="AG101" s="128">
        <f t="shared" si="1468"/>
        <v>1.1137656427758817</v>
      </c>
      <c r="AH101" s="128" t="e">
        <f t="shared" si="1468"/>
        <v>#DIV/0!</v>
      </c>
      <c r="AI101" s="128" t="e">
        <f t="shared" si="1468"/>
        <v>#DIV/0!</v>
      </c>
      <c r="AJ101" s="128">
        <f t="shared" si="1468"/>
        <v>9.375E-2</v>
      </c>
      <c r="AK101" s="128">
        <f t="shared" si="1468"/>
        <v>3.2970887407927044E-2</v>
      </c>
      <c r="AL101" s="128">
        <f t="shared" si="1468"/>
        <v>0.20202431282048827</v>
      </c>
      <c r="AM101" s="128">
        <f t="shared" si="1468"/>
        <v>8.4568423375381563E-2</v>
      </c>
      <c r="AN101" s="128" t="e">
        <f t="shared" si="1468"/>
        <v>#DIV/0!</v>
      </c>
      <c r="AO101" s="180">
        <f t="shared" si="1468"/>
        <v>0.12610333172380492</v>
      </c>
      <c r="AP101" s="128" t="e">
        <f t="shared" si="1468"/>
        <v>#DIV/0!</v>
      </c>
      <c r="AQ101" s="228" t="e">
        <f t="shared" si="1468"/>
        <v>#DIV/0!</v>
      </c>
      <c r="AR101" s="128" t="e">
        <f t="shared" si="1468"/>
        <v>#DIV/0!</v>
      </c>
      <c r="AS101" s="128" t="e">
        <f t="shared" si="1468"/>
        <v>#DIV/0!</v>
      </c>
      <c r="AT101" s="128" t="e">
        <f t="shared" si="1468"/>
        <v>#DIV/0!</v>
      </c>
      <c r="AU101" s="128" t="e">
        <f t="shared" si="1468"/>
        <v>#DIV/0!</v>
      </c>
      <c r="AV101" s="128" t="e">
        <f t="shared" si="1468"/>
        <v>#DIV/0!</v>
      </c>
      <c r="AW101" s="128">
        <f t="shared" si="1468"/>
        <v>0</v>
      </c>
      <c r="AX101" s="128">
        <f t="shared" si="1468"/>
        <v>0.16151202749140894</v>
      </c>
      <c r="AY101" s="128">
        <f t="shared" si="1468"/>
        <v>9.5898673100120624E-2</v>
      </c>
      <c r="AZ101" s="128" t="e">
        <f t="shared" si="1468"/>
        <v>#DIV/0!</v>
      </c>
      <c r="BA101" s="128" t="e">
        <f t="shared" si="1468"/>
        <v>#DIV/0!</v>
      </c>
      <c r="BB101" s="228" t="e">
        <f t="shared" si="1468"/>
        <v>#DIV/0!</v>
      </c>
      <c r="BC101" s="128">
        <f t="shared" si="1468"/>
        <v>0.15234177428600332</v>
      </c>
      <c r="BD101" s="128">
        <f t="shared" si="1468"/>
        <v>0.15233150139923801</v>
      </c>
      <c r="BE101" s="128">
        <f t="shared" si="1468"/>
        <v>0</v>
      </c>
      <c r="BF101" s="128">
        <f t="shared" si="1468"/>
        <v>0.1213757816941444</v>
      </c>
      <c r="BG101" s="128">
        <f t="shared" si="1468"/>
        <v>0.90762810559006213</v>
      </c>
      <c r="BH101" s="180">
        <f t="shared" si="1468"/>
        <v>8.5817369530735946E-2</v>
      </c>
      <c r="BI101" s="128">
        <f t="shared" si="1468"/>
        <v>0.14635196439539891</v>
      </c>
      <c r="BJ101" s="128">
        <f t="shared" si="1468"/>
        <v>0</v>
      </c>
      <c r="BK101" s="128">
        <f t="shared" si="1468"/>
        <v>0.14635522428814499</v>
      </c>
      <c r="BM101" s="128" t="e">
        <f t="shared" ref="BM101" si="1470">BM96/BM93</f>
        <v>#DIV/0!</v>
      </c>
    </row>
    <row r="102" spans="1:65" s="183" customFormat="1" ht="15.75" x14ac:dyDescent="0.25">
      <c r="A102" s="130"/>
      <c r="B102" s="5" t="s">
        <v>297</v>
      </c>
      <c r="C102" s="11">
        <f>C96-C93</f>
        <v>-734655</v>
      </c>
      <c r="D102" s="11">
        <f t="shared" ref="D102:BM102" si="1471">D96-D93</f>
        <v>-124946</v>
      </c>
      <c r="E102" s="11">
        <f t="shared" si="1471"/>
        <v>-36632</v>
      </c>
      <c r="F102" s="11">
        <f t="shared" si="1471"/>
        <v>-64826</v>
      </c>
      <c r="G102" s="11">
        <f t="shared" si="1471"/>
        <v>-58954</v>
      </c>
      <c r="H102" s="11">
        <f t="shared" si="1471"/>
        <v>0</v>
      </c>
      <c r="I102" s="11">
        <f t="shared" si="1471"/>
        <v>0</v>
      </c>
      <c r="J102" s="11">
        <f t="shared" si="1471"/>
        <v>0</v>
      </c>
      <c r="K102" s="11">
        <f t="shared" si="1471"/>
        <v>441</v>
      </c>
      <c r="L102" s="11">
        <f t="shared" si="1471"/>
        <v>-2533</v>
      </c>
      <c r="M102" s="11">
        <f t="shared" si="1471"/>
        <v>-72238</v>
      </c>
      <c r="N102" s="11">
        <f t="shared" si="1471"/>
        <v>-9211</v>
      </c>
      <c r="O102" s="11">
        <f t="shared" si="1471"/>
        <v>-2978</v>
      </c>
      <c r="P102" s="11">
        <f t="shared" si="1471"/>
        <v>-11424</v>
      </c>
      <c r="Q102" s="11">
        <f t="shared" si="1471"/>
        <v>0</v>
      </c>
      <c r="R102" s="11">
        <f t="shared" si="1471"/>
        <v>-2514</v>
      </c>
      <c r="S102" s="11">
        <f t="shared" si="1471"/>
        <v>-726767</v>
      </c>
      <c r="T102" s="11">
        <f t="shared" si="1471"/>
        <v>-701564</v>
      </c>
      <c r="U102" s="11">
        <f t="shared" si="1471"/>
        <v>0</v>
      </c>
      <c r="V102" s="9">
        <f t="shared" si="1471"/>
        <v>0</v>
      </c>
      <c r="W102" s="11">
        <f t="shared" si="1471"/>
        <v>0</v>
      </c>
      <c r="X102" s="11">
        <f t="shared" si="1471"/>
        <v>0</v>
      </c>
      <c r="Y102" s="11">
        <f t="shared" si="1471"/>
        <v>-54</v>
      </c>
      <c r="Z102" s="11">
        <f t="shared" si="1471"/>
        <v>-16</v>
      </c>
      <c r="AA102" s="11">
        <f t="shared" si="1471"/>
        <v>-62</v>
      </c>
      <c r="AB102" s="11">
        <f t="shared" ref="AB102" si="1472">AB96-AB93</f>
        <v>-1517</v>
      </c>
      <c r="AC102" s="10">
        <f t="shared" si="1471"/>
        <v>0</v>
      </c>
      <c r="AD102" s="11">
        <f t="shared" si="1471"/>
        <v>-2550450</v>
      </c>
      <c r="AE102" s="11">
        <f t="shared" si="1471"/>
        <v>-3738</v>
      </c>
      <c r="AF102" s="11">
        <f t="shared" si="1471"/>
        <v>-34</v>
      </c>
      <c r="AG102" s="11">
        <f t="shared" si="1471"/>
        <v>100</v>
      </c>
      <c r="AH102" s="11">
        <f t="shared" si="1471"/>
        <v>0</v>
      </c>
      <c r="AI102" s="11">
        <f t="shared" si="1471"/>
        <v>0</v>
      </c>
      <c r="AJ102" s="11">
        <f t="shared" si="1471"/>
        <v>-29</v>
      </c>
      <c r="AK102" s="11">
        <f t="shared" si="1471"/>
        <v>-19299</v>
      </c>
      <c r="AL102" s="11">
        <f t="shared" si="1471"/>
        <v>-166666</v>
      </c>
      <c r="AM102" s="11">
        <f t="shared" si="1471"/>
        <v>-149349</v>
      </c>
      <c r="AN102" s="11">
        <f t="shared" si="1471"/>
        <v>2</v>
      </c>
      <c r="AO102" s="9">
        <f t="shared" si="1471"/>
        <v>-316722</v>
      </c>
      <c r="AP102" s="11">
        <f t="shared" si="1471"/>
        <v>0</v>
      </c>
      <c r="AQ102" s="10">
        <f t="shared" si="1471"/>
        <v>0</v>
      </c>
      <c r="AR102" s="11">
        <f t="shared" si="1471"/>
        <v>0</v>
      </c>
      <c r="AS102" s="11">
        <f t="shared" si="1471"/>
        <v>0</v>
      </c>
      <c r="AT102" s="11">
        <f t="shared" si="1471"/>
        <v>0</v>
      </c>
      <c r="AU102" s="11">
        <f t="shared" si="1471"/>
        <v>0</v>
      </c>
      <c r="AV102" s="11">
        <f t="shared" si="1471"/>
        <v>0</v>
      </c>
      <c r="AW102" s="11">
        <f t="shared" si="1471"/>
        <v>-917</v>
      </c>
      <c r="AX102" s="11">
        <f t="shared" si="1471"/>
        <v>-244</v>
      </c>
      <c r="AY102" s="11">
        <f t="shared" si="1471"/>
        <v>-1499</v>
      </c>
      <c r="AZ102" s="11">
        <f t="shared" si="1471"/>
        <v>0</v>
      </c>
      <c r="BA102" s="11">
        <f t="shared" si="1471"/>
        <v>0</v>
      </c>
      <c r="BB102" s="10">
        <f t="shared" si="1471"/>
        <v>0</v>
      </c>
      <c r="BC102" s="11">
        <f t="shared" si="1471"/>
        <v>-25139</v>
      </c>
      <c r="BD102" s="11">
        <f t="shared" si="1471"/>
        <v>-25141</v>
      </c>
      <c r="BE102" s="11">
        <f t="shared" si="1471"/>
        <v>-180</v>
      </c>
      <c r="BF102" s="11">
        <f t="shared" si="1471"/>
        <v>-3091</v>
      </c>
      <c r="BG102" s="11">
        <f t="shared" si="1471"/>
        <v>4759</v>
      </c>
      <c r="BH102" s="11">
        <f t="shared" si="1471"/>
        <v>-707187</v>
      </c>
      <c r="BI102" s="11">
        <f t="shared" si="1471"/>
        <v>-3257637</v>
      </c>
      <c r="BJ102" s="11">
        <f t="shared" si="1471"/>
        <v>-85</v>
      </c>
      <c r="BK102" s="11">
        <f t="shared" si="1471"/>
        <v>-3257552</v>
      </c>
      <c r="BL102" s="11">
        <f t="shared" si="1471"/>
        <v>558493</v>
      </c>
      <c r="BM102" s="11">
        <f t="shared" si="1471"/>
        <v>66386</v>
      </c>
    </row>
    <row r="103" spans="1:65" s="183" customFormat="1" ht="15.75" x14ac:dyDescent="0.2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ht="15.75" x14ac:dyDescent="0.25">
      <c r="A104" s="15" t="s">
        <v>42</v>
      </c>
      <c r="B104" s="11" t="s">
        <v>301</v>
      </c>
      <c r="C104" s="122">
        <v>1439983</v>
      </c>
      <c r="D104" s="122">
        <v>244893</v>
      </c>
      <c r="E104" s="122">
        <v>23170</v>
      </c>
      <c r="F104" s="122">
        <v>159053</v>
      </c>
      <c r="G104" s="122">
        <v>99520</v>
      </c>
      <c r="H104" s="122">
        <v>0</v>
      </c>
      <c r="I104" s="122">
        <v>0</v>
      </c>
      <c r="J104" s="122">
        <v>0</v>
      </c>
      <c r="K104" s="122">
        <v>120</v>
      </c>
      <c r="L104" s="122">
        <v>2477</v>
      </c>
      <c r="M104" s="122">
        <v>187773</v>
      </c>
      <c r="N104" s="122">
        <v>1058</v>
      </c>
      <c r="O104" s="122">
        <v>24597</v>
      </c>
      <c r="P104" s="122">
        <v>157750</v>
      </c>
      <c r="Q104" s="122">
        <v>0</v>
      </c>
      <c r="R104" s="122">
        <v>10398</v>
      </c>
      <c r="S104" s="122">
        <v>0</v>
      </c>
      <c r="T104" s="122">
        <v>0</v>
      </c>
      <c r="U104" s="122"/>
      <c r="V104" s="195">
        <v>0</v>
      </c>
      <c r="W104" s="122">
        <v>0</v>
      </c>
      <c r="X104" s="122">
        <v>0</v>
      </c>
      <c r="Y104" s="122">
        <v>2088</v>
      </c>
      <c r="Z104" s="122">
        <v>774</v>
      </c>
      <c r="AA104" s="122">
        <v>420</v>
      </c>
      <c r="AB104" s="122">
        <v>2622</v>
      </c>
      <c r="AC104" s="154">
        <v>0</v>
      </c>
      <c r="AD104" s="123">
        <f t="shared" ref="AD104" si="1473">SUM(C104:AC104)</f>
        <v>2356696</v>
      </c>
      <c r="AE104" s="122">
        <v>6495</v>
      </c>
      <c r="AF104" s="122">
        <v>208</v>
      </c>
      <c r="AG104" s="122">
        <v>96</v>
      </c>
      <c r="AH104" s="122">
        <v>0</v>
      </c>
      <c r="AI104" s="122">
        <v>0</v>
      </c>
      <c r="AJ104" s="122">
        <v>0</v>
      </c>
      <c r="AK104" s="122">
        <v>5033</v>
      </c>
      <c r="AL104" s="122">
        <v>11085</v>
      </c>
      <c r="AM104" s="122">
        <v>394</v>
      </c>
      <c r="AN104" s="122">
        <v>289</v>
      </c>
      <c r="AO104" s="195">
        <v>78894</v>
      </c>
      <c r="AP104" s="122">
        <v>177168</v>
      </c>
      <c r="AQ104" s="154">
        <v>0</v>
      </c>
      <c r="AR104" s="122">
        <v>0</v>
      </c>
      <c r="AS104" s="122"/>
      <c r="AT104" s="122"/>
      <c r="AU104" s="122">
        <v>0</v>
      </c>
      <c r="AV104" s="122"/>
      <c r="AW104" s="122">
        <v>4939</v>
      </c>
      <c r="AX104" s="122">
        <v>1512</v>
      </c>
      <c r="AY104" s="122">
        <v>388</v>
      </c>
      <c r="AZ104" s="122"/>
      <c r="BA104" s="122"/>
      <c r="BB104" s="154">
        <v>0</v>
      </c>
      <c r="BC104" s="122">
        <v>6341</v>
      </c>
      <c r="BD104" s="122">
        <v>6341</v>
      </c>
      <c r="BE104" s="122">
        <v>65</v>
      </c>
      <c r="BF104" s="122">
        <v>900</v>
      </c>
      <c r="BG104" s="139">
        <f>934138</f>
        <v>934138</v>
      </c>
      <c r="BH104" s="9">
        <f>SUM(AE104:BG104)</f>
        <v>1234286</v>
      </c>
      <c r="BI104" s="127">
        <f>AD104+BH104</f>
        <v>3590982</v>
      </c>
      <c r="BJ104" s="98">
        <v>148013</v>
      </c>
      <c r="BK104" s="51">
        <f t="shared" ref="BK104:BK105" si="1474">BI104-BJ104</f>
        <v>3442969</v>
      </c>
      <c r="BL104">
        <v>10</v>
      </c>
      <c r="BM104" s="30"/>
    </row>
    <row r="105" spans="1:65" s="217" customFormat="1" ht="15.75" x14ac:dyDescent="0.25">
      <c r="A105" s="130" t="s">
        <v>42</v>
      </c>
      <c r="B105" s="196" t="s">
        <v>320</v>
      </c>
      <c r="C105" s="9">
        <v>259196.94</v>
      </c>
      <c r="D105" s="9">
        <v>44080.740000000005</v>
      </c>
      <c r="E105" s="9">
        <v>0</v>
      </c>
      <c r="F105" s="9">
        <v>28629.54</v>
      </c>
      <c r="G105" s="9">
        <v>17913.599999999999</v>
      </c>
      <c r="H105" s="9">
        <v>0</v>
      </c>
      <c r="I105" s="9">
        <v>0</v>
      </c>
      <c r="J105" s="9">
        <v>0</v>
      </c>
      <c r="K105" s="9">
        <v>21.6</v>
      </c>
      <c r="L105" s="9">
        <v>445.86</v>
      </c>
      <c r="M105" s="9">
        <v>33799.14</v>
      </c>
      <c r="N105" s="9">
        <v>190.44</v>
      </c>
      <c r="O105" s="9">
        <v>4427.46</v>
      </c>
      <c r="P105" s="9">
        <v>28395</v>
      </c>
      <c r="Q105" s="9">
        <v>0</v>
      </c>
      <c r="R105" s="9">
        <v>1871.6399999999999</v>
      </c>
      <c r="S105" s="9">
        <v>0</v>
      </c>
      <c r="T105" s="9">
        <v>0</v>
      </c>
      <c r="U105" s="9"/>
      <c r="V105" s="9">
        <v>0</v>
      </c>
      <c r="W105" s="9">
        <v>0</v>
      </c>
      <c r="X105" s="9">
        <v>0</v>
      </c>
      <c r="Y105" s="9">
        <v>375.84000000000003</v>
      </c>
      <c r="Z105" s="9">
        <v>139.32</v>
      </c>
      <c r="AA105" s="9">
        <v>75.599999999999994</v>
      </c>
      <c r="AB105" s="9">
        <v>471.96</v>
      </c>
      <c r="AC105" s="10">
        <v>0</v>
      </c>
      <c r="AD105" s="123">
        <v>420034.68</v>
      </c>
      <c r="AE105" s="9">
        <v>1169.0999999999999</v>
      </c>
      <c r="AF105" s="9">
        <v>37.44</v>
      </c>
      <c r="AG105" s="9">
        <v>17.28</v>
      </c>
      <c r="AH105" s="9">
        <v>0</v>
      </c>
      <c r="AI105" s="9">
        <v>0</v>
      </c>
      <c r="AJ105" s="9">
        <v>0</v>
      </c>
      <c r="AK105" s="9">
        <v>905.94</v>
      </c>
      <c r="AL105" s="9">
        <v>1995.3000000000002</v>
      </c>
      <c r="AM105" s="9">
        <v>70.92</v>
      </c>
      <c r="AN105" s="9">
        <v>52.02</v>
      </c>
      <c r="AO105" s="9">
        <v>14200.920000000002</v>
      </c>
      <c r="AP105" s="9">
        <v>31890.239999999998</v>
      </c>
      <c r="AQ105" s="10">
        <v>0</v>
      </c>
      <c r="AR105" s="9">
        <v>0</v>
      </c>
      <c r="AS105" s="9"/>
      <c r="AT105" s="9"/>
      <c r="AU105" s="9">
        <v>0</v>
      </c>
      <c r="AV105" s="9"/>
      <c r="AW105" s="9">
        <v>889.02</v>
      </c>
      <c r="AX105" s="9">
        <v>272.16000000000003</v>
      </c>
      <c r="AY105" s="9">
        <v>69.84</v>
      </c>
      <c r="AZ105" s="9">
        <v>0</v>
      </c>
      <c r="BA105" s="9">
        <v>0</v>
      </c>
      <c r="BB105" s="10">
        <v>0</v>
      </c>
      <c r="BC105" s="9">
        <v>1141.3800000000001</v>
      </c>
      <c r="BD105" s="9">
        <v>1141.3800000000001</v>
      </c>
      <c r="BE105" s="9">
        <v>11.7</v>
      </c>
      <c r="BF105" s="9">
        <v>162</v>
      </c>
      <c r="BG105" s="9">
        <f>168144.84</f>
        <v>168144.84</v>
      </c>
      <c r="BH105" s="9">
        <v>222171.48</v>
      </c>
      <c r="BI105" s="127">
        <f>AD105+BH105</f>
        <v>642206.16</v>
      </c>
      <c r="BJ105" s="9">
        <v>24668.833333333332</v>
      </c>
      <c r="BK105" s="9">
        <f t="shared" si="1474"/>
        <v>617537.32666666666</v>
      </c>
      <c r="BM105" s="30"/>
    </row>
    <row r="106" spans="1:65" ht="15.75" x14ac:dyDescent="0.25">
      <c r="A106" s="130"/>
      <c r="B106" s="12" t="s">
        <v>322</v>
      </c>
      <c r="C106" s="9">
        <f>IF('Upto Month COPPY'!$K$4="",0,'Upto Month COPPY'!$K$4)</f>
        <v>257711</v>
      </c>
      <c r="D106" s="9">
        <f>IF('Upto Month COPPY'!$K$5="",0,'Upto Month COPPY'!$K$5)</f>
        <v>43330</v>
      </c>
      <c r="E106" s="9">
        <f>IF('Upto Month COPPY'!$K$6="",0,'Upto Month COPPY'!$K$6)</f>
        <v>27</v>
      </c>
      <c r="F106" s="9">
        <f>IF('Upto Month COPPY'!$K$7="",0,'Upto Month COPPY'!$K$7)</f>
        <v>19914</v>
      </c>
      <c r="G106" s="9">
        <f>IF('Upto Month COPPY'!$K$8="",0,'Upto Month COPPY'!$K$8)</f>
        <v>12865</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3</v>
      </c>
      <c r="M106" s="9">
        <f>IF('Upto Month COPPY'!$K$14="",0,'Upto Month COPPY'!$K$14)</f>
        <v>20868</v>
      </c>
      <c r="N106" s="9">
        <f>IF('Upto Month COPPY'!$K$15="",0,'Upto Month COPPY'!$K$15)</f>
        <v>51</v>
      </c>
      <c r="O106" s="9">
        <f>IF('Upto Month COPPY'!$K$16="",0,'Upto Month COPPY'!$K$16)</f>
        <v>569</v>
      </c>
      <c r="P106" s="9">
        <f>IF('Upto Month COPPY'!$K$17="",0,'Upto Month COPPY'!$K$17)</f>
        <v>33894</v>
      </c>
      <c r="Q106" s="9">
        <f>IF('Upto Month COPPY'!$K$18="",0,'Upto Month COPPY'!$K$18)</f>
        <v>0</v>
      </c>
      <c r="R106" s="9">
        <f>IF('Upto Month COPPY'!$K$21="",0,'Upto Month COPPY'!$K$21)</f>
        <v>305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1067</v>
      </c>
      <c r="Z106" s="9">
        <f>IF('Upto Month COPPY'!$K$43="",0,'Upto Month COPPY'!$K$43)</f>
        <v>258</v>
      </c>
      <c r="AA106" s="9">
        <f>IF('Upto Month COPPY'!$K$44="",0,'Upto Month COPPY'!$K$44)</f>
        <v>135</v>
      </c>
      <c r="AB106" s="9">
        <f>IF('Upto Month COPPY'!$K$48="",0,'Upto Month COPPY'!$K$48)</f>
        <v>0</v>
      </c>
      <c r="AC106" s="10">
        <f>IF('Upto Month COPPY'!$K$51="",0,'Upto Month COPPY'!$K$51)</f>
        <v>0</v>
      </c>
      <c r="AD106" s="123">
        <f t="shared" ref="AD106:AD107" si="1475">SUM(C106:AC106)</f>
        <v>390997</v>
      </c>
      <c r="AE106" s="9">
        <f>IF('Upto Month COPPY'!$K$19="",0,'Upto Month COPPY'!$K$19)</f>
        <v>943</v>
      </c>
      <c r="AF106" s="9">
        <f>IF('Upto Month COPPY'!$K$20="",0,'Upto Month COPPY'!$K$20)</f>
        <v>139</v>
      </c>
      <c r="AG106" s="9">
        <f>IF('Upto Month COPPY'!$K$22="",0,'Upto Month COPPY'!$K$22)</f>
        <v>3229</v>
      </c>
      <c r="AH106" s="9">
        <f>IF('Upto Month COPPY'!$K$23="",0,'Upto Month COPPY'!$K$23)</f>
        <v>0</v>
      </c>
      <c r="AI106" s="9">
        <f>IF('Upto Month COPPY'!$K$24="",0,'Upto Month COPPY'!$K$24)</f>
        <v>0</v>
      </c>
      <c r="AJ106" s="9">
        <f>IF('Upto Month COPPY'!$K$25="",0,'Upto Month COPPY'!$K$25)</f>
        <v>0</v>
      </c>
      <c r="AK106" s="9">
        <f>IF('Upto Month COPPY'!$K$28="",0,'Upto Month COPPY'!$K$28)</f>
        <v>189</v>
      </c>
      <c r="AL106" s="9">
        <f>IF('Upto Month COPPY'!$K$29="",0,'Upto Month COPPY'!$K$29)</f>
        <v>21976</v>
      </c>
      <c r="AM106" s="9">
        <f>IF('Upto Month COPPY'!$K$31="",0,'Upto Month COPPY'!$K$31)</f>
        <v>0</v>
      </c>
      <c r="AN106" s="9">
        <f>IF('Upto Month COPPY'!$K$32="",0,'Upto Month COPPY'!$K$32)</f>
        <v>0</v>
      </c>
      <c r="AO106" s="9">
        <f>IF('Upto Month COPPY'!$K$33="",0,'Upto Month COPPY'!$K$33)</f>
        <v>14237</v>
      </c>
      <c r="AP106" s="9">
        <f>IF('Upto Month COPPY'!$K$34="",0,'Upto Month COPPY'!$K$34)</f>
        <v>19551</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6</v>
      </c>
      <c r="AX106" s="9">
        <f>IF('Upto Month COPPY'!$K$46="",0,'Upto Month COPPY'!$K$46)</f>
        <v>112</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1931</v>
      </c>
      <c r="BD106" s="9">
        <f>IF('Upto Month COPPY'!$K$54="",0,'Upto Month COPPY'!$K$54)</f>
        <v>1931</v>
      </c>
      <c r="BE106" s="9">
        <f>IF('Upto Month COPPY'!$K$55="",0,'Upto Month COPPY'!$K$55)</f>
        <v>0</v>
      </c>
      <c r="BF106" s="9">
        <f>IF('Upto Month COPPY'!$K$56="",0,'Upto Month COPPY'!$K$56)</f>
        <v>473</v>
      </c>
      <c r="BG106" s="9">
        <f>IF('Upto Month COPPY'!$K$58="",0,'Upto Month COPPY'!$K$58)</f>
        <v>45871</v>
      </c>
      <c r="BH106" s="9">
        <f>SUM(AE106:BG106)</f>
        <v>110588</v>
      </c>
      <c r="BI106" s="127">
        <f>AD106+BH106</f>
        <v>501585</v>
      </c>
      <c r="BJ106" s="9">
        <f>IF('Upto Month COPPY'!$K$60="",0,'Upto Month COPPY'!$K$60)</f>
        <v>0</v>
      </c>
      <c r="BK106" s="51">
        <f t="shared" ref="BK106:BK107" si="1476">BI106-BJ106</f>
        <v>501585</v>
      </c>
      <c r="BL106">
        <f>'Upto Month COPPY'!$K$61</f>
        <v>501584</v>
      </c>
      <c r="BM106" s="30">
        <f t="shared" ref="BM106:BM110" si="1477">BK106-AD106</f>
        <v>110588</v>
      </c>
    </row>
    <row r="107" spans="1:65" ht="15.75" x14ac:dyDescent="0.25">
      <c r="A107" s="130"/>
      <c r="B107" s="185" t="s">
        <v>323</v>
      </c>
      <c r="C107" s="9">
        <f>IF('Upto Month Current'!$K$4="",0,'Upto Month Current'!$K$4)</f>
        <v>285443</v>
      </c>
      <c r="D107" s="9">
        <f>IF('Upto Month Current'!$K$5="",0,'Upto Month Current'!$K$5)</f>
        <v>48224</v>
      </c>
      <c r="E107" s="9">
        <f>IF('Upto Month Current'!$K$6="",0,'Upto Month Current'!$K$6)</f>
        <v>115</v>
      </c>
      <c r="F107" s="9">
        <f>IF('Upto Month Current'!$K$7="",0,'Upto Month Current'!$K$7)</f>
        <v>25586</v>
      </c>
      <c r="G107" s="9">
        <f>IF('Upto Month Current'!$K$8="",0,'Upto Month Current'!$K$8)</f>
        <v>15582</v>
      </c>
      <c r="H107" s="9">
        <f>IF('Upto Month Current'!$K$9="",0,'Upto Month Current'!$K$9)</f>
        <v>0</v>
      </c>
      <c r="I107" s="9">
        <f>IF('Upto Month Current'!$K$10="",0,'Upto Month Current'!$K$10)</f>
        <v>0</v>
      </c>
      <c r="J107" s="9">
        <f>IF('Upto Month Current'!$K$11="",0,'Upto Month Current'!$K$11)</f>
        <v>20</v>
      </c>
      <c r="K107" s="9">
        <f>IF('Upto Month Current'!$K$12="",0,'Upto Month Current'!$K$12)</f>
        <v>0</v>
      </c>
      <c r="L107" s="9">
        <f>IF('Upto Month Current'!$K$13="",0,'Upto Month Current'!$K$13)</f>
        <v>61</v>
      </c>
      <c r="M107" s="9">
        <f>IF('Upto Month Current'!$K$14="",0,'Upto Month Current'!$K$14)</f>
        <v>21769</v>
      </c>
      <c r="N107" s="9">
        <f>IF('Upto Month Current'!$K$15="",0,'Upto Month Current'!$K$15)</f>
        <v>67</v>
      </c>
      <c r="O107" s="9">
        <f>IF('Upto Month Current'!$K$16="",0,'Upto Month Current'!$K$16)</f>
        <v>1391</v>
      </c>
      <c r="P107" s="9">
        <f>IF('Upto Month Current'!$K$17="",0,'Upto Month Current'!$K$17)</f>
        <v>50760</v>
      </c>
      <c r="Q107" s="9">
        <f>IF('Upto Month Current'!$K$18="",0,'Upto Month Current'!$K$18)</f>
        <v>0</v>
      </c>
      <c r="R107" s="9">
        <f>IF('Upto Month Current'!$K$21="",0,'Upto Month Current'!$K$21)</f>
        <v>490</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853</v>
      </c>
      <c r="Z107" s="9">
        <f>IF('Upto Month Current'!$K$43="",0,'Upto Month Current'!$K$43)</f>
        <v>143</v>
      </c>
      <c r="AA107" s="9">
        <f>IF('Upto Month Current'!$K$44="",0,'Upto Month Current'!$K$44)</f>
        <v>507</v>
      </c>
      <c r="AB107" s="9">
        <f>IF('Upto Month Current'!$K$48="",0,'Upto Month Current'!$K$48)</f>
        <v>0</v>
      </c>
      <c r="AC107" s="10">
        <f>IF('Upto Month Current'!$K$51="",0,'Upto Month Current'!$K$51)</f>
        <v>0</v>
      </c>
      <c r="AD107" s="123">
        <f t="shared" si="1475"/>
        <v>451011</v>
      </c>
      <c r="AE107" s="9">
        <f>IF('Upto Month Current'!$K$19="",0,'Upto Month Current'!$K$19)</f>
        <v>585</v>
      </c>
      <c r="AF107" s="9">
        <f>IF('Upto Month Current'!$K$20="",0,'Upto Month Current'!$K$20)</f>
        <v>94</v>
      </c>
      <c r="AG107" s="9">
        <f>IF('Upto Month Current'!$K$22="",0,'Upto Month Current'!$K$22)</f>
        <v>193</v>
      </c>
      <c r="AH107" s="9">
        <f>IF('Upto Month Current'!$K$23="",0,'Upto Month Current'!$K$23)</f>
        <v>0</v>
      </c>
      <c r="AI107" s="9">
        <f>IF('Upto Month Current'!$K$24="",0,'Upto Month Current'!$K$24)</f>
        <v>0</v>
      </c>
      <c r="AJ107" s="9">
        <f>IF('Upto Month Current'!$K$25="",0,'Upto Month Current'!$K$25)</f>
        <v>0</v>
      </c>
      <c r="AK107" s="9">
        <f>IF('Upto Month Current'!$K$28="",0,'Upto Month Current'!$K$28)</f>
        <v>1230</v>
      </c>
      <c r="AL107" s="9">
        <f>IF('Upto Month Current'!$K$29="",0,'Upto Month Current'!$K$29)</f>
        <v>3801</v>
      </c>
      <c r="AM107" s="9">
        <f>IF('Upto Month Current'!$K$31="",0,'Upto Month Current'!$K$31)</f>
        <v>8</v>
      </c>
      <c r="AN107" s="9">
        <f>IF('Upto Month Current'!$K$32="",0,'Upto Month Current'!$K$32)</f>
        <v>0</v>
      </c>
      <c r="AO107" s="9">
        <f>IF('Upto Month Current'!$K$33="",0,'Upto Month Current'!$K$33)</f>
        <v>15296</v>
      </c>
      <c r="AP107" s="9">
        <f>IF('Upto Month Current'!$K$34="",0,'Upto Month Current'!$K$34)</f>
        <v>32755</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188</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294</v>
      </c>
      <c r="BD107" s="9">
        <f>IF('Upto Month Current'!$K$54="",0,'Upto Month Current'!$K$54)</f>
        <v>294</v>
      </c>
      <c r="BE107" s="9">
        <f>IF('Upto Month Current'!$K$55="",0,'Upto Month Current'!$K$55)</f>
        <v>0</v>
      </c>
      <c r="BF107" s="9">
        <f>IF('Upto Month Current'!$K$56="",0,'Upto Month Current'!$K$56)</f>
        <v>1642</v>
      </c>
      <c r="BG107" s="9">
        <f>IF('Upto Month Current'!$K$58="",0,'Upto Month Current'!$K$58)</f>
        <v>70039</v>
      </c>
      <c r="BH107" s="9">
        <f>SUM(AE107:BG107)</f>
        <v>126419</v>
      </c>
      <c r="BI107" s="127">
        <f>AD107+BH107</f>
        <v>577430</v>
      </c>
      <c r="BJ107" s="9">
        <f>IF('Upto Month Current'!$K$60="",0,'Upto Month Current'!$K$60)</f>
        <v>0</v>
      </c>
      <c r="BK107" s="51">
        <f t="shared" si="1476"/>
        <v>577430</v>
      </c>
      <c r="BL107">
        <f>'Upto Month Current'!$K$61</f>
        <v>577432</v>
      </c>
      <c r="BM107" s="30">
        <f t="shared" si="1477"/>
        <v>126419</v>
      </c>
    </row>
    <row r="108" spans="1:65" ht="15.75" x14ac:dyDescent="0.25">
      <c r="A108" s="130"/>
      <c r="B108" s="5" t="s">
        <v>132</v>
      </c>
      <c r="C108" s="11">
        <f>C107-C105</f>
        <v>26246.059999999998</v>
      </c>
      <c r="D108" s="11">
        <f t="shared" ref="D108" si="1478">D107-D105</f>
        <v>4143.2599999999948</v>
      </c>
      <c r="E108" s="11">
        <f t="shared" ref="E108" si="1479">E107-E105</f>
        <v>115</v>
      </c>
      <c r="F108" s="11">
        <f t="shared" ref="F108" si="1480">F107-F105</f>
        <v>-3043.5400000000009</v>
      </c>
      <c r="G108" s="11">
        <f t="shared" ref="G108" si="1481">G107-G105</f>
        <v>-2331.5999999999985</v>
      </c>
      <c r="H108" s="11">
        <f t="shared" ref="H108" si="1482">H107-H105</f>
        <v>0</v>
      </c>
      <c r="I108" s="11">
        <f t="shared" ref="I108" si="1483">I107-I105</f>
        <v>0</v>
      </c>
      <c r="J108" s="11">
        <f t="shared" ref="J108" si="1484">J107-J105</f>
        <v>20</v>
      </c>
      <c r="K108" s="11">
        <f t="shared" ref="K108" si="1485">K107-K105</f>
        <v>-21.6</v>
      </c>
      <c r="L108" s="11">
        <f t="shared" ref="L108" si="1486">L107-L105</f>
        <v>-384.86</v>
      </c>
      <c r="M108" s="11">
        <f t="shared" ref="M108" si="1487">M107-M105</f>
        <v>-12030.14</v>
      </c>
      <c r="N108" s="11">
        <f t="shared" ref="N108" si="1488">N107-N105</f>
        <v>-123.44</v>
      </c>
      <c r="O108" s="11">
        <f t="shared" ref="O108" si="1489">O107-O105</f>
        <v>-3036.46</v>
      </c>
      <c r="P108" s="11">
        <f t="shared" ref="P108" si="1490">P107-P105</f>
        <v>22365</v>
      </c>
      <c r="Q108" s="11">
        <f t="shared" ref="Q108" si="1491">Q107-Q105</f>
        <v>0</v>
      </c>
      <c r="R108" s="11">
        <f t="shared" ref="R108" si="1492">R107-R105</f>
        <v>-1381.6399999999999</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477.15999999999997</v>
      </c>
      <c r="Z108" s="11">
        <f t="shared" ref="Z108" si="1499">Z107-Z105</f>
        <v>3.6800000000000068</v>
      </c>
      <c r="AA108" s="11">
        <f t="shared" ref="AA108:AD108" si="1500">AA107-AA105</f>
        <v>431.4</v>
      </c>
      <c r="AB108" s="11">
        <f t="shared" ref="AB108" si="1501">AB107-AB105</f>
        <v>-471.96</v>
      </c>
      <c r="AC108" s="10">
        <f t="shared" si="1500"/>
        <v>0</v>
      </c>
      <c r="AD108" s="11">
        <f t="shared" si="1500"/>
        <v>30976.320000000007</v>
      </c>
      <c r="AE108" s="11">
        <f t="shared" ref="AE108" si="1502">AE107-AE105</f>
        <v>-584.09999999999991</v>
      </c>
      <c r="AF108" s="11">
        <f t="shared" ref="AF108" si="1503">AF107-AF105</f>
        <v>56.56</v>
      </c>
      <c r="AG108" s="11">
        <f t="shared" ref="AG108" si="1504">AG107-AG105</f>
        <v>175.72</v>
      </c>
      <c r="AH108" s="11">
        <f t="shared" ref="AH108" si="1505">AH107-AH105</f>
        <v>0</v>
      </c>
      <c r="AI108" s="11">
        <f t="shared" ref="AI108" si="1506">AI107-AI105</f>
        <v>0</v>
      </c>
      <c r="AJ108" s="11">
        <f t="shared" ref="AJ108" si="1507">AJ107-AJ105</f>
        <v>0</v>
      </c>
      <c r="AK108" s="11">
        <f t="shared" ref="AK108" si="1508">AK107-AK105</f>
        <v>324.05999999999995</v>
      </c>
      <c r="AL108" s="11">
        <f t="shared" ref="AL108" si="1509">AL107-AL105</f>
        <v>1805.6999999999998</v>
      </c>
      <c r="AM108" s="11">
        <f t="shared" ref="AM108" si="1510">AM107-AM105</f>
        <v>-62.92</v>
      </c>
      <c r="AN108" s="11">
        <f t="shared" ref="AN108" si="1511">AN107-AN105</f>
        <v>-52.02</v>
      </c>
      <c r="AO108" s="9">
        <f t="shared" ref="AO108" si="1512">AO107-AO105</f>
        <v>1095.0799999999981</v>
      </c>
      <c r="AP108" s="11">
        <f t="shared" ref="AP108" si="1513">AP107-AP105</f>
        <v>864.76000000000204</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-889.02</v>
      </c>
      <c r="AX108" s="11">
        <f t="shared" ref="AX108" si="1521">AX107-AX105</f>
        <v>-84.160000000000025</v>
      </c>
      <c r="AY108" s="11">
        <f t="shared" ref="AY108" si="1522">AY107-AY105</f>
        <v>-69.84</v>
      </c>
      <c r="AZ108" s="11">
        <f t="shared" ref="AZ108" si="1523">AZ107-AZ105</f>
        <v>0</v>
      </c>
      <c r="BA108" s="11">
        <f t="shared" ref="BA108" si="1524">BA107-BA105</f>
        <v>0</v>
      </c>
      <c r="BB108" s="10">
        <f t="shared" ref="BB108" si="1525">BB107-BB105</f>
        <v>0</v>
      </c>
      <c r="BC108" s="11">
        <f t="shared" ref="BC108" si="1526">BC107-BC105</f>
        <v>-847.38000000000011</v>
      </c>
      <c r="BD108" s="11">
        <f t="shared" ref="BD108" si="1527">BD107-BD105</f>
        <v>-847.38000000000011</v>
      </c>
      <c r="BE108" s="11">
        <f t="shared" ref="BE108" si="1528">BE107-BE105</f>
        <v>-11.7</v>
      </c>
      <c r="BF108" s="11">
        <f t="shared" ref="BF108" si="1529">BF107-BF105</f>
        <v>1480</v>
      </c>
      <c r="BG108" s="11">
        <f t="shared" ref="BG108:BH108" si="1530">BG107-BG105</f>
        <v>-98105.84</v>
      </c>
      <c r="BH108" s="9">
        <f t="shared" si="1530"/>
        <v>-95752.48000000001</v>
      </c>
      <c r="BI108" s="45">
        <f t="shared" ref="BI108" si="1531">BI107-BI105</f>
        <v>-64776.160000000033</v>
      </c>
      <c r="BJ108" s="11">
        <f t="shared" ref="BJ108:BK108" si="1532">BJ107-BJ105</f>
        <v>-24668.833333333332</v>
      </c>
      <c r="BK108" s="51">
        <f t="shared" si="1532"/>
        <v>-40107.32666666666</v>
      </c>
      <c r="BM108" s="30">
        <f t="shared" si="1477"/>
        <v>-71083.646666666667</v>
      </c>
    </row>
    <row r="109" spans="1:65" ht="15.75" x14ac:dyDescent="0.25">
      <c r="A109" s="130"/>
      <c r="B109" s="5" t="s">
        <v>133</v>
      </c>
      <c r="C109" s="13">
        <f>C108/C105</f>
        <v>0.10125914295130181</v>
      </c>
      <c r="D109" s="13">
        <f t="shared" ref="D109" si="1533">D108/D105</f>
        <v>9.3992523718975554E-2</v>
      </c>
      <c r="E109" s="13" t="e">
        <f t="shared" ref="E109" si="1534">E108/E105</f>
        <v>#DIV/0!</v>
      </c>
      <c r="F109" s="13">
        <f t="shared" ref="F109" si="1535">F108/F105</f>
        <v>-0.10630768080800462</v>
      </c>
      <c r="G109" s="13">
        <f t="shared" ref="G109" si="1536">G108/G105</f>
        <v>-0.13015809217577698</v>
      </c>
      <c r="H109" s="13" t="e">
        <f t="shared" ref="H109" si="1537">H108/H105</f>
        <v>#DIV/0!</v>
      </c>
      <c r="I109" s="13" t="e">
        <f t="shared" ref="I109" si="1538">I108/I105</f>
        <v>#DIV/0!</v>
      </c>
      <c r="J109" s="13" t="e">
        <f t="shared" ref="J109" si="1539">J108/J105</f>
        <v>#DIV/0!</v>
      </c>
      <c r="K109" s="13">
        <f t="shared" ref="K109" si="1540">K108/K105</f>
        <v>-1</v>
      </c>
      <c r="L109" s="13">
        <f t="shared" ref="L109" si="1541">L108/L105</f>
        <v>-0.86318575337549908</v>
      </c>
      <c r="M109" s="13">
        <f t="shared" ref="M109" si="1542">M108/M105</f>
        <v>-0.35593035799135714</v>
      </c>
      <c r="N109" s="13">
        <f t="shared" ref="N109" si="1543">N108/N105</f>
        <v>-0.64818315479941191</v>
      </c>
      <c r="O109" s="13">
        <f t="shared" ref="O109" si="1544">O108/O105</f>
        <v>-0.68582437785999195</v>
      </c>
      <c r="P109" s="13">
        <f t="shared" ref="P109" si="1545">P108/P105</f>
        <v>0.78763866877971478</v>
      </c>
      <c r="Q109" s="13" t="e">
        <f t="shared" ref="Q109" si="1546">Q108/Q105</f>
        <v>#DIV/0!</v>
      </c>
      <c r="R109" s="13">
        <f t="shared" ref="R109" si="1547">R108/R105</f>
        <v>-0.73819751661644328</v>
      </c>
      <c r="S109" s="13" t="e">
        <f t="shared" ref="S109" si="1548">S108/S105</f>
        <v>#DIV/0!</v>
      </c>
      <c r="T109" s="13" t="e">
        <f t="shared" ref="T109:U109" si="1549">T108/T105</f>
        <v>#DIV/0!</v>
      </c>
      <c r="U109" s="13" t="e">
        <f t="shared" si="1549"/>
        <v>#DIV/0!</v>
      </c>
      <c r="V109" s="165" t="e">
        <f t="shared" ref="V109" si="1550">V108/V105</f>
        <v>#DIV/0!</v>
      </c>
      <c r="W109" s="13" t="e">
        <f t="shared" ref="W109" si="1551">W108/W105</f>
        <v>#DIV/0!</v>
      </c>
      <c r="X109" s="13" t="e">
        <f t="shared" ref="X109" si="1552">X108/X105</f>
        <v>#DIV/0!</v>
      </c>
      <c r="Y109" s="13">
        <f t="shared" ref="Y109" si="1553">Y108/Y105</f>
        <v>1.2695828011919965</v>
      </c>
      <c r="Z109" s="13">
        <f t="shared" ref="Z109" si="1554">Z108/Z105</f>
        <v>2.641401091013499E-2</v>
      </c>
      <c r="AA109" s="13">
        <f t="shared" ref="AA109:AD109" si="1555">AA108/AA105</f>
        <v>5.7063492063492065</v>
      </c>
      <c r="AB109" s="13">
        <f t="shared" ref="AB109" si="1556">AB108/AB105</f>
        <v>-1</v>
      </c>
      <c r="AC109" s="14" t="e">
        <f t="shared" si="1555"/>
        <v>#DIV/0!</v>
      </c>
      <c r="AD109" s="13">
        <f t="shared" si="1555"/>
        <v>7.3747053457585948E-2</v>
      </c>
      <c r="AE109" s="13">
        <f t="shared" ref="AE109" si="1557">AE108/AE105</f>
        <v>-0.49961508852963815</v>
      </c>
      <c r="AF109" s="13">
        <f t="shared" ref="AF109" si="1558">AF108/AF105</f>
        <v>1.5106837606837609</v>
      </c>
      <c r="AG109" s="13">
        <f t="shared" ref="AG109" si="1559">AG108/AG105</f>
        <v>10.168981481481481</v>
      </c>
      <c r="AH109" s="13" t="e">
        <f t="shared" ref="AH109" si="1560">AH108/AH105</f>
        <v>#DIV/0!</v>
      </c>
      <c r="AI109" s="13" t="e">
        <f t="shared" ref="AI109" si="1561">AI108/AI105</f>
        <v>#DIV/0!</v>
      </c>
      <c r="AJ109" s="13" t="e">
        <f t="shared" ref="AJ109" si="1562">AJ108/AJ105</f>
        <v>#DIV/0!</v>
      </c>
      <c r="AK109" s="13">
        <f t="shared" ref="AK109" si="1563">AK108/AK105</f>
        <v>0.35770580833167753</v>
      </c>
      <c r="AL109" s="13">
        <f t="shared" ref="AL109" si="1564">AL108/AL105</f>
        <v>0.9049766952337992</v>
      </c>
      <c r="AM109" s="13">
        <f t="shared" ref="AM109" si="1565">AM108/AM105</f>
        <v>-0.88719684151156231</v>
      </c>
      <c r="AN109" s="13">
        <f t="shared" ref="AN109" si="1566">AN108/AN105</f>
        <v>-1</v>
      </c>
      <c r="AO109" s="165">
        <f t="shared" ref="AO109" si="1567">AO108/AO105</f>
        <v>7.7113313785303908E-2</v>
      </c>
      <c r="AP109" s="13">
        <f t="shared" ref="AP109" si="1568">AP108/AP105</f>
        <v>2.7116760488475538E-2</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-1</v>
      </c>
      <c r="AX109" s="13">
        <f t="shared" ref="AX109" si="1576">AX108/AX105</f>
        <v>-0.30922986478542042</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-0.74241707406823321</v>
      </c>
      <c r="BD109" s="13">
        <f t="shared" ref="BD109" si="1582">BD108/BD105</f>
        <v>-0.74241707406823321</v>
      </c>
      <c r="BE109" s="13">
        <f t="shared" ref="BE109" si="1583">BE108/BE105</f>
        <v>-1</v>
      </c>
      <c r="BF109" s="13">
        <f t="shared" ref="BF109" si="1584">BF108/BF105</f>
        <v>9.1358024691358022</v>
      </c>
      <c r="BG109" s="13">
        <f t="shared" ref="BG109:BH109" si="1585">BG108/BG105</f>
        <v>-0.58346030719705699</v>
      </c>
      <c r="BH109" s="165">
        <f t="shared" si="1585"/>
        <v>-0.43098457101694604</v>
      </c>
      <c r="BI109" s="46">
        <f t="shared" ref="BI109" si="1586">BI108/BI105</f>
        <v>-0.10086505554540309</v>
      </c>
      <c r="BJ109" s="13">
        <f t="shared" ref="BJ109:BK109" si="1587">BJ108/BJ105</f>
        <v>-1</v>
      </c>
      <c r="BK109" s="52">
        <f t="shared" si="1587"/>
        <v>-6.494721037051697E-2</v>
      </c>
      <c r="BM109" s="165" t="e">
        <f t="shared" ref="BM109" si="1588">BM108/BM105</f>
        <v>#DIV/0!</v>
      </c>
    </row>
    <row r="110" spans="1:65" ht="15.75" x14ac:dyDescent="0.25">
      <c r="A110" s="130"/>
      <c r="B110" s="5" t="s">
        <v>134</v>
      </c>
      <c r="C110" s="11">
        <f>C107-C106</f>
        <v>27732</v>
      </c>
      <c r="D110" s="11">
        <f t="shared" ref="D110:BK110" si="1589">D107-D106</f>
        <v>4894</v>
      </c>
      <c r="E110" s="11">
        <f t="shared" si="1589"/>
        <v>88</v>
      </c>
      <c r="F110" s="11">
        <f t="shared" si="1589"/>
        <v>5672</v>
      </c>
      <c r="G110" s="11">
        <f t="shared" si="1589"/>
        <v>2717</v>
      </c>
      <c r="H110" s="11">
        <f t="shared" si="1589"/>
        <v>0</v>
      </c>
      <c r="I110" s="11">
        <f t="shared" si="1589"/>
        <v>0</v>
      </c>
      <c r="J110" s="11">
        <f t="shared" si="1589"/>
        <v>20</v>
      </c>
      <c r="K110" s="11">
        <f t="shared" si="1589"/>
        <v>0</v>
      </c>
      <c r="L110" s="11">
        <f t="shared" si="1589"/>
        <v>58</v>
      </c>
      <c r="M110" s="11">
        <f t="shared" si="1589"/>
        <v>901</v>
      </c>
      <c r="N110" s="11">
        <f t="shared" si="1589"/>
        <v>16</v>
      </c>
      <c r="O110" s="11">
        <f t="shared" si="1589"/>
        <v>822</v>
      </c>
      <c r="P110" s="11">
        <f t="shared" si="1589"/>
        <v>16866</v>
      </c>
      <c r="Q110" s="11">
        <f t="shared" si="1589"/>
        <v>0</v>
      </c>
      <c r="R110" s="11">
        <f t="shared" si="1589"/>
        <v>185</v>
      </c>
      <c r="S110" s="11">
        <f t="shared" si="1589"/>
        <v>0</v>
      </c>
      <c r="T110" s="11">
        <f t="shared" si="1589"/>
        <v>0</v>
      </c>
      <c r="U110" s="11">
        <f t="shared" ref="U110" si="1590">U107-U106</f>
        <v>0</v>
      </c>
      <c r="V110" s="9">
        <f t="shared" si="1589"/>
        <v>0</v>
      </c>
      <c r="W110" s="11">
        <f t="shared" si="1589"/>
        <v>0</v>
      </c>
      <c r="X110" s="11">
        <f t="shared" si="1589"/>
        <v>0</v>
      </c>
      <c r="Y110" s="11">
        <f t="shared" si="1589"/>
        <v>-214</v>
      </c>
      <c r="Z110" s="11">
        <f t="shared" si="1589"/>
        <v>-115</v>
      </c>
      <c r="AA110" s="11">
        <f t="shared" si="1589"/>
        <v>372</v>
      </c>
      <c r="AB110" s="11">
        <f t="shared" ref="AB110" si="1591">AB107-AB106</f>
        <v>0</v>
      </c>
      <c r="AC110" s="10">
        <f t="shared" ref="AC110:AD110" si="1592">AC107-AC106</f>
        <v>0</v>
      </c>
      <c r="AD110" s="11">
        <f t="shared" si="1592"/>
        <v>60014</v>
      </c>
      <c r="AE110" s="11">
        <f t="shared" si="1589"/>
        <v>-358</v>
      </c>
      <c r="AF110" s="11">
        <f t="shared" si="1589"/>
        <v>-45</v>
      </c>
      <c r="AG110" s="11">
        <f t="shared" si="1589"/>
        <v>-3036</v>
      </c>
      <c r="AH110" s="11">
        <f t="shared" si="1589"/>
        <v>0</v>
      </c>
      <c r="AI110" s="11">
        <f t="shared" si="1589"/>
        <v>0</v>
      </c>
      <c r="AJ110" s="11">
        <f t="shared" si="1589"/>
        <v>0</v>
      </c>
      <c r="AK110" s="11">
        <f t="shared" si="1589"/>
        <v>1041</v>
      </c>
      <c r="AL110" s="11">
        <f t="shared" si="1589"/>
        <v>-18175</v>
      </c>
      <c r="AM110" s="11">
        <f t="shared" si="1589"/>
        <v>8</v>
      </c>
      <c r="AN110" s="11">
        <f t="shared" si="1589"/>
        <v>0</v>
      </c>
      <c r="AO110" s="9">
        <f t="shared" si="1589"/>
        <v>1059</v>
      </c>
      <c r="AP110" s="11">
        <f t="shared" si="1589"/>
        <v>13204</v>
      </c>
      <c r="AQ110" s="10">
        <f t="shared" si="1589"/>
        <v>0</v>
      </c>
      <c r="AR110" s="11">
        <f t="shared" si="1589"/>
        <v>0</v>
      </c>
      <c r="AS110" s="11">
        <f t="shared" si="1589"/>
        <v>0</v>
      </c>
      <c r="AT110" s="11">
        <f t="shared" si="1589"/>
        <v>0</v>
      </c>
      <c r="AU110" s="11">
        <f t="shared" si="1589"/>
        <v>0</v>
      </c>
      <c r="AV110" s="11">
        <f t="shared" si="1589"/>
        <v>0</v>
      </c>
      <c r="AW110" s="11">
        <f t="shared" si="1589"/>
        <v>-6</v>
      </c>
      <c r="AX110" s="11">
        <f t="shared" si="1589"/>
        <v>76</v>
      </c>
      <c r="AY110" s="11">
        <f t="shared" si="1589"/>
        <v>0</v>
      </c>
      <c r="AZ110" s="11">
        <f t="shared" si="1589"/>
        <v>0</v>
      </c>
      <c r="BA110" s="11">
        <f t="shared" si="1589"/>
        <v>0</v>
      </c>
      <c r="BB110" s="10">
        <f t="shared" si="1589"/>
        <v>0</v>
      </c>
      <c r="BC110" s="11">
        <f t="shared" si="1589"/>
        <v>-1637</v>
      </c>
      <c r="BD110" s="11">
        <f t="shared" si="1589"/>
        <v>-1637</v>
      </c>
      <c r="BE110" s="11">
        <f t="shared" si="1589"/>
        <v>0</v>
      </c>
      <c r="BF110" s="11">
        <f t="shared" si="1589"/>
        <v>1169</v>
      </c>
      <c r="BG110" s="11">
        <f t="shared" si="1589"/>
        <v>24168</v>
      </c>
      <c r="BH110" s="9">
        <f t="shared" si="1589"/>
        <v>15831</v>
      </c>
      <c r="BI110" s="45">
        <f t="shared" si="1589"/>
        <v>75845</v>
      </c>
      <c r="BJ110" s="11">
        <f t="shared" si="1589"/>
        <v>0</v>
      </c>
      <c r="BK110" s="51">
        <f t="shared" si="1589"/>
        <v>75845</v>
      </c>
      <c r="BM110" s="30">
        <f t="shared" si="1477"/>
        <v>15831</v>
      </c>
    </row>
    <row r="111" spans="1:65" ht="15.75" x14ac:dyDescent="0.25">
      <c r="A111" s="130"/>
      <c r="B111" s="5" t="s">
        <v>135</v>
      </c>
      <c r="C111" s="13">
        <f>C110/C106</f>
        <v>0.10760891075662272</v>
      </c>
      <c r="D111" s="13">
        <f t="shared" ref="D111" si="1593">D110/D106</f>
        <v>0.11294714978075236</v>
      </c>
      <c r="E111" s="13">
        <f t="shared" ref="E111" si="1594">E110/E106</f>
        <v>3.2592592592592591</v>
      </c>
      <c r="F111" s="13">
        <f t="shared" ref="F111" si="1595">F110/F106</f>
        <v>0.28482474640956112</v>
      </c>
      <c r="G111" s="13">
        <f t="shared" ref="G111" si="1596">G110/G106</f>
        <v>0.21119315973571706</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19.333333333333332</v>
      </c>
      <c r="M111" s="13">
        <f t="shared" ref="M111" si="1602">M110/M106</f>
        <v>4.3176154878282538E-2</v>
      </c>
      <c r="N111" s="13">
        <f t="shared" ref="N111" si="1603">N110/N106</f>
        <v>0.31372549019607843</v>
      </c>
      <c r="O111" s="13">
        <f t="shared" ref="O111" si="1604">O110/O106</f>
        <v>1.4446397188049209</v>
      </c>
      <c r="P111" s="13">
        <f t="shared" ref="P111" si="1605">P110/P106</f>
        <v>0.49761019649495486</v>
      </c>
      <c r="Q111" s="13" t="e">
        <f t="shared" ref="Q111" si="1606">Q110/Q106</f>
        <v>#DIV/0!</v>
      </c>
      <c r="R111" s="13">
        <f t="shared" ref="R111" si="1607">R110/R106</f>
        <v>0.60655737704918034</v>
      </c>
      <c r="S111" s="13" t="e">
        <f t="shared" ref="S111" si="1608">S110/S106</f>
        <v>#DIV/0!</v>
      </c>
      <c r="T111" s="13" t="e">
        <f t="shared" ref="T111:U111" si="1609">T110/T106</f>
        <v>#DIV/0!</v>
      </c>
      <c r="U111" s="13" t="e">
        <f t="shared" si="1609"/>
        <v>#DIV/0!</v>
      </c>
      <c r="V111" s="165" t="e">
        <f t="shared" ref="V111" si="1610">V110/V106</f>
        <v>#DIV/0!</v>
      </c>
      <c r="W111" s="13" t="e">
        <f t="shared" ref="W111" si="1611">W110/W106</f>
        <v>#DIV/0!</v>
      </c>
      <c r="X111" s="13" t="e">
        <f t="shared" ref="X111" si="1612">X110/X106</f>
        <v>#DIV/0!</v>
      </c>
      <c r="Y111" s="13">
        <f t="shared" ref="Y111" si="1613">Y110/Y106</f>
        <v>-0.20056232427366447</v>
      </c>
      <c r="Z111" s="13">
        <f t="shared" ref="Z111" si="1614">Z110/Z106</f>
        <v>-0.44573643410852715</v>
      </c>
      <c r="AA111" s="13">
        <f t="shared" ref="AA111:AD111" si="1615">AA110/AA106</f>
        <v>2.7555555555555555</v>
      </c>
      <c r="AB111" s="13" t="e">
        <f t="shared" ref="AB111" si="1616">AB110/AB106</f>
        <v>#DIV/0!</v>
      </c>
      <c r="AC111" s="14" t="e">
        <f t="shared" si="1615"/>
        <v>#DIV/0!</v>
      </c>
      <c r="AD111" s="13">
        <f t="shared" si="1615"/>
        <v>0.15348966871868583</v>
      </c>
      <c r="AE111" s="13">
        <f t="shared" ref="AE111" si="1617">AE110/AE106</f>
        <v>-0.37963944856839871</v>
      </c>
      <c r="AF111" s="13">
        <f t="shared" ref="AF111" si="1618">AF110/AF106</f>
        <v>-0.32374100719424459</v>
      </c>
      <c r="AG111" s="13">
        <f t="shared" ref="AG111" si="1619">AG110/AG106</f>
        <v>-0.94022917311861254</v>
      </c>
      <c r="AH111" s="13" t="e">
        <f t="shared" ref="AH111" si="1620">AH110/AH106</f>
        <v>#DIV/0!</v>
      </c>
      <c r="AI111" s="13" t="e">
        <f t="shared" ref="AI111" si="1621">AI110/AI106</f>
        <v>#DIV/0!</v>
      </c>
      <c r="AJ111" s="13" t="e">
        <f t="shared" ref="AJ111" si="1622">AJ110/AJ106</f>
        <v>#DIV/0!</v>
      </c>
      <c r="AK111" s="13">
        <f t="shared" ref="AK111" si="1623">AK110/AK106</f>
        <v>5.5079365079365079</v>
      </c>
      <c r="AL111" s="13">
        <f t="shared" ref="AL111" si="1624">AL110/AL106</f>
        <v>-0.82703858755005466</v>
      </c>
      <c r="AM111" s="13" t="e">
        <f t="shared" ref="AM111" si="1625">AM110/AM106</f>
        <v>#DIV/0!</v>
      </c>
      <c r="AN111" s="13" t="e">
        <f t="shared" ref="AN111" si="1626">AN110/AN106</f>
        <v>#DIV/0!</v>
      </c>
      <c r="AO111" s="165">
        <f t="shared" ref="AO111" si="1627">AO110/AO106</f>
        <v>7.4383648240500103E-2</v>
      </c>
      <c r="AP111" s="13">
        <f t="shared" ref="AP111" si="1628">AP110/AP106</f>
        <v>0.67536187407293746</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-1</v>
      </c>
      <c r="AX111" s="13">
        <f t="shared" ref="AX111" si="1636">AX110/AX106</f>
        <v>0.6785714285714286</v>
      </c>
      <c r="AY111" s="13" t="e">
        <f t="shared" ref="AY111" si="1637">AY110/AY106</f>
        <v>#DIV/0!</v>
      </c>
      <c r="AZ111" s="13" t="e">
        <f t="shared" ref="AZ111" si="1638">AZ110/AZ106</f>
        <v>#DIV/0!</v>
      </c>
      <c r="BA111" s="13" t="e">
        <f t="shared" ref="BA111" si="1639">BA110/BA106</f>
        <v>#DIV/0!</v>
      </c>
      <c r="BB111" s="14" t="e">
        <f t="shared" ref="BB111" si="1640">BB110/BB106</f>
        <v>#DIV/0!</v>
      </c>
      <c r="BC111" s="13">
        <f t="shared" ref="BC111" si="1641">BC110/BC106</f>
        <v>-0.84774728120145004</v>
      </c>
      <c r="BD111" s="13">
        <f t="shared" ref="BD111" si="1642">BD110/BD106</f>
        <v>-0.84774728120145004</v>
      </c>
      <c r="BE111" s="13" t="e">
        <f t="shared" ref="BE111" si="1643">BE110/BE106</f>
        <v>#DIV/0!</v>
      </c>
      <c r="BF111" s="13">
        <f t="shared" ref="BF111" si="1644">BF110/BF106</f>
        <v>2.471458773784355</v>
      </c>
      <c r="BG111" s="13">
        <f t="shared" ref="BG111:BH111" si="1645">BG110/BG106</f>
        <v>0.52686882779969912</v>
      </c>
      <c r="BH111" s="165">
        <f t="shared" si="1645"/>
        <v>0.1431529641552429</v>
      </c>
      <c r="BI111" s="46">
        <f t="shared" ref="BI111" si="1646">BI110/BI106</f>
        <v>0.15121066220082338</v>
      </c>
      <c r="BJ111" s="13" t="e">
        <f t="shared" ref="BJ111:BK111" si="1647">BJ110/BJ106</f>
        <v>#DIV/0!</v>
      </c>
      <c r="BK111" s="52">
        <f t="shared" si="1647"/>
        <v>0.15121066220082338</v>
      </c>
      <c r="BM111" s="14">
        <f t="shared" ref="BM111" si="1648">BM110/BM106</f>
        <v>0.1431529641552429</v>
      </c>
    </row>
    <row r="112" spans="1:65" ht="15.75" x14ac:dyDescent="0.25">
      <c r="A112" s="130"/>
      <c r="B112" s="5" t="s">
        <v>296</v>
      </c>
      <c r="C112" s="128">
        <f>C107/C104</f>
        <v>0.19822664573123433</v>
      </c>
      <c r="D112" s="128">
        <f t="shared" ref="D112:BK112" si="1649">D107/D104</f>
        <v>0.19691865426941563</v>
      </c>
      <c r="E112" s="128">
        <f t="shared" si="1649"/>
        <v>4.9633146309883474E-3</v>
      </c>
      <c r="F112" s="128">
        <f t="shared" si="1649"/>
        <v>0.16086461745455918</v>
      </c>
      <c r="G112" s="128">
        <f t="shared" si="1649"/>
        <v>0.15657154340836013</v>
      </c>
      <c r="H112" s="128" t="e">
        <f t="shared" si="1649"/>
        <v>#DIV/0!</v>
      </c>
      <c r="I112" s="128" t="e">
        <f t="shared" si="1649"/>
        <v>#DIV/0!</v>
      </c>
      <c r="J112" s="128" t="e">
        <f t="shared" si="1649"/>
        <v>#DIV/0!</v>
      </c>
      <c r="K112" s="128">
        <f t="shared" si="1649"/>
        <v>0</v>
      </c>
      <c r="L112" s="128">
        <f t="shared" si="1649"/>
        <v>2.4626564392410174E-2</v>
      </c>
      <c r="M112" s="128">
        <f t="shared" si="1649"/>
        <v>0.11593253556155571</v>
      </c>
      <c r="N112" s="128">
        <f t="shared" si="1649"/>
        <v>6.3327032136105854E-2</v>
      </c>
      <c r="O112" s="128">
        <f t="shared" si="1649"/>
        <v>5.655161198520145E-2</v>
      </c>
      <c r="P112" s="128">
        <f t="shared" si="1649"/>
        <v>0.32177496038034864</v>
      </c>
      <c r="Q112" s="128" t="e">
        <f t="shared" si="1649"/>
        <v>#DIV/0!</v>
      </c>
      <c r="R112" s="128">
        <f t="shared" si="1649"/>
        <v>4.7124447009040199E-2</v>
      </c>
      <c r="S112" s="128" t="e">
        <f t="shared" si="1649"/>
        <v>#DIV/0!</v>
      </c>
      <c r="T112" s="128" t="e">
        <f t="shared" si="1649"/>
        <v>#DIV/0!</v>
      </c>
      <c r="U112" s="128" t="e">
        <f t="shared" si="1649"/>
        <v>#DIV/0!</v>
      </c>
      <c r="V112" s="180" t="e">
        <f t="shared" si="1649"/>
        <v>#DIV/0!</v>
      </c>
      <c r="W112" s="128" t="e">
        <f t="shared" si="1649"/>
        <v>#DIV/0!</v>
      </c>
      <c r="X112" s="128" t="e">
        <f t="shared" si="1649"/>
        <v>#DIV/0!</v>
      </c>
      <c r="Y112" s="128">
        <f t="shared" si="1649"/>
        <v>0.40852490421455939</v>
      </c>
      <c r="Z112" s="128">
        <f t="shared" si="1649"/>
        <v>0.1847545219638243</v>
      </c>
      <c r="AA112" s="128">
        <f t="shared" si="1649"/>
        <v>1.2071428571428571</v>
      </c>
      <c r="AB112" s="128">
        <f t="shared" ref="AB112" si="1650">AB107/AB104</f>
        <v>0</v>
      </c>
      <c r="AC112" s="228" t="e">
        <f t="shared" si="1649"/>
        <v>#DIV/0!</v>
      </c>
      <c r="AD112" s="128">
        <f t="shared" si="1649"/>
        <v>0.19137427992409711</v>
      </c>
      <c r="AE112" s="128">
        <f t="shared" si="1649"/>
        <v>9.0069284064665134E-2</v>
      </c>
      <c r="AF112" s="128">
        <f t="shared" si="1649"/>
        <v>0.45192307692307693</v>
      </c>
      <c r="AG112" s="128">
        <f t="shared" si="1649"/>
        <v>2.0104166666666665</v>
      </c>
      <c r="AH112" s="128" t="e">
        <f t="shared" si="1649"/>
        <v>#DIV/0!</v>
      </c>
      <c r="AI112" s="128" t="e">
        <f t="shared" si="1649"/>
        <v>#DIV/0!</v>
      </c>
      <c r="AJ112" s="128" t="e">
        <f t="shared" si="1649"/>
        <v>#DIV/0!</v>
      </c>
      <c r="AK112" s="128">
        <f t="shared" si="1649"/>
        <v>0.24438704549970197</v>
      </c>
      <c r="AL112" s="128">
        <f t="shared" si="1649"/>
        <v>0.3428958051420839</v>
      </c>
      <c r="AM112" s="128">
        <f t="shared" si="1649"/>
        <v>2.030456852791878E-2</v>
      </c>
      <c r="AN112" s="128">
        <f t="shared" si="1649"/>
        <v>0</v>
      </c>
      <c r="AO112" s="180">
        <f t="shared" si="1649"/>
        <v>0.19388039648135472</v>
      </c>
      <c r="AP112" s="128">
        <f t="shared" si="1649"/>
        <v>0.18488101688792558</v>
      </c>
      <c r="AQ112" s="228" t="e">
        <f t="shared" si="1649"/>
        <v>#DIV/0!</v>
      </c>
      <c r="AR112" s="128" t="e">
        <f t="shared" si="1649"/>
        <v>#DIV/0!</v>
      </c>
      <c r="AS112" s="128" t="e">
        <f t="shared" si="1649"/>
        <v>#DIV/0!</v>
      </c>
      <c r="AT112" s="128" t="e">
        <f t="shared" si="1649"/>
        <v>#DIV/0!</v>
      </c>
      <c r="AU112" s="128" t="e">
        <f t="shared" si="1649"/>
        <v>#DIV/0!</v>
      </c>
      <c r="AV112" s="128" t="e">
        <f t="shared" si="1649"/>
        <v>#DIV/0!</v>
      </c>
      <c r="AW112" s="128">
        <f t="shared" si="1649"/>
        <v>0</v>
      </c>
      <c r="AX112" s="128">
        <f t="shared" si="1649"/>
        <v>0.12433862433862433</v>
      </c>
      <c r="AY112" s="128">
        <f t="shared" si="1649"/>
        <v>0</v>
      </c>
      <c r="AZ112" s="128" t="e">
        <f t="shared" si="1649"/>
        <v>#DIV/0!</v>
      </c>
      <c r="BA112" s="128" t="e">
        <f t="shared" si="1649"/>
        <v>#DIV/0!</v>
      </c>
      <c r="BB112" s="228" t="e">
        <f t="shared" si="1649"/>
        <v>#DIV/0!</v>
      </c>
      <c r="BC112" s="128">
        <f t="shared" si="1649"/>
        <v>4.6364926667718027E-2</v>
      </c>
      <c r="BD112" s="128">
        <f t="shared" si="1649"/>
        <v>4.6364926667718027E-2</v>
      </c>
      <c r="BE112" s="128">
        <f t="shared" si="1649"/>
        <v>0</v>
      </c>
      <c r="BF112" s="128">
        <f t="shared" si="1649"/>
        <v>1.8244444444444445</v>
      </c>
      <c r="BG112" s="128">
        <f t="shared" si="1649"/>
        <v>7.4977144704529736E-2</v>
      </c>
      <c r="BH112" s="180">
        <f t="shared" si="1649"/>
        <v>0.10242277721694971</v>
      </c>
      <c r="BI112" s="128">
        <f t="shared" si="1649"/>
        <v>0.16080002628807386</v>
      </c>
      <c r="BJ112" s="128">
        <f t="shared" si="1649"/>
        <v>0</v>
      </c>
      <c r="BK112" s="128">
        <f t="shared" si="1649"/>
        <v>0.16771280833489932</v>
      </c>
      <c r="BM112" s="128" t="e">
        <f t="shared" ref="BM112" si="1651">BM107/BM104</f>
        <v>#DIV/0!</v>
      </c>
    </row>
    <row r="113" spans="1:69" s="183" customFormat="1" ht="15.75" x14ac:dyDescent="0.25">
      <c r="A113" s="130"/>
      <c r="B113" s="5" t="s">
        <v>297</v>
      </c>
      <c r="C113" s="11">
        <f>C107-C104</f>
        <v>-1154540</v>
      </c>
      <c r="D113" s="11">
        <f t="shared" ref="D113:BM113" si="1652">D107-D104</f>
        <v>-196669</v>
      </c>
      <c r="E113" s="11">
        <f t="shared" si="1652"/>
        <v>-23055</v>
      </c>
      <c r="F113" s="11">
        <f t="shared" si="1652"/>
        <v>-133467</v>
      </c>
      <c r="G113" s="11">
        <f t="shared" si="1652"/>
        <v>-83938</v>
      </c>
      <c r="H113" s="11">
        <f t="shared" si="1652"/>
        <v>0</v>
      </c>
      <c r="I113" s="11">
        <f t="shared" si="1652"/>
        <v>0</v>
      </c>
      <c r="J113" s="11">
        <f t="shared" si="1652"/>
        <v>20</v>
      </c>
      <c r="K113" s="11">
        <f t="shared" si="1652"/>
        <v>-120</v>
      </c>
      <c r="L113" s="11">
        <f t="shared" si="1652"/>
        <v>-2416</v>
      </c>
      <c r="M113" s="11">
        <f t="shared" si="1652"/>
        <v>-166004</v>
      </c>
      <c r="N113" s="11">
        <f t="shared" si="1652"/>
        <v>-991</v>
      </c>
      <c r="O113" s="11">
        <f t="shared" si="1652"/>
        <v>-23206</v>
      </c>
      <c r="P113" s="11">
        <f t="shared" si="1652"/>
        <v>-106990</v>
      </c>
      <c r="Q113" s="11">
        <f t="shared" si="1652"/>
        <v>0</v>
      </c>
      <c r="R113" s="11">
        <f t="shared" si="1652"/>
        <v>-9908</v>
      </c>
      <c r="S113" s="11">
        <f t="shared" si="1652"/>
        <v>0</v>
      </c>
      <c r="T113" s="11">
        <f t="shared" si="1652"/>
        <v>0</v>
      </c>
      <c r="U113" s="11">
        <f t="shared" si="1652"/>
        <v>0</v>
      </c>
      <c r="V113" s="9">
        <f t="shared" si="1652"/>
        <v>0</v>
      </c>
      <c r="W113" s="11">
        <f t="shared" si="1652"/>
        <v>0</v>
      </c>
      <c r="X113" s="11">
        <f t="shared" si="1652"/>
        <v>0</v>
      </c>
      <c r="Y113" s="11">
        <f t="shared" si="1652"/>
        <v>-1235</v>
      </c>
      <c r="Z113" s="11">
        <f t="shared" si="1652"/>
        <v>-631</v>
      </c>
      <c r="AA113" s="11">
        <f t="shared" si="1652"/>
        <v>87</v>
      </c>
      <c r="AB113" s="11">
        <f t="shared" ref="AB113" si="1653">AB107-AB104</f>
        <v>-2622</v>
      </c>
      <c r="AC113" s="10">
        <f t="shared" si="1652"/>
        <v>0</v>
      </c>
      <c r="AD113" s="11">
        <f t="shared" si="1652"/>
        <v>-1905685</v>
      </c>
      <c r="AE113" s="11">
        <f t="shared" si="1652"/>
        <v>-5910</v>
      </c>
      <c r="AF113" s="11">
        <f t="shared" si="1652"/>
        <v>-114</v>
      </c>
      <c r="AG113" s="11">
        <f t="shared" si="1652"/>
        <v>97</v>
      </c>
      <c r="AH113" s="11">
        <f t="shared" si="1652"/>
        <v>0</v>
      </c>
      <c r="AI113" s="11">
        <f t="shared" si="1652"/>
        <v>0</v>
      </c>
      <c r="AJ113" s="11">
        <f t="shared" si="1652"/>
        <v>0</v>
      </c>
      <c r="AK113" s="11">
        <f t="shared" si="1652"/>
        <v>-3803</v>
      </c>
      <c r="AL113" s="11">
        <f t="shared" si="1652"/>
        <v>-7284</v>
      </c>
      <c r="AM113" s="11">
        <f t="shared" si="1652"/>
        <v>-386</v>
      </c>
      <c r="AN113" s="11">
        <f t="shared" si="1652"/>
        <v>-289</v>
      </c>
      <c r="AO113" s="9">
        <f t="shared" si="1652"/>
        <v>-63598</v>
      </c>
      <c r="AP113" s="11">
        <f t="shared" si="1652"/>
        <v>-144413</v>
      </c>
      <c r="AQ113" s="10">
        <f t="shared" si="1652"/>
        <v>0</v>
      </c>
      <c r="AR113" s="11">
        <f t="shared" si="1652"/>
        <v>0</v>
      </c>
      <c r="AS113" s="11">
        <f t="shared" si="1652"/>
        <v>0</v>
      </c>
      <c r="AT113" s="11">
        <f t="shared" si="1652"/>
        <v>0</v>
      </c>
      <c r="AU113" s="11">
        <f t="shared" si="1652"/>
        <v>0</v>
      </c>
      <c r="AV113" s="11">
        <f t="shared" si="1652"/>
        <v>0</v>
      </c>
      <c r="AW113" s="11">
        <f t="shared" si="1652"/>
        <v>-4939</v>
      </c>
      <c r="AX113" s="11">
        <f t="shared" si="1652"/>
        <v>-1324</v>
      </c>
      <c r="AY113" s="11">
        <f t="shared" si="1652"/>
        <v>-388</v>
      </c>
      <c r="AZ113" s="11">
        <f t="shared" si="1652"/>
        <v>0</v>
      </c>
      <c r="BA113" s="11">
        <f t="shared" si="1652"/>
        <v>0</v>
      </c>
      <c r="BB113" s="10">
        <f t="shared" si="1652"/>
        <v>0</v>
      </c>
      <c r="BC113" s="11">
        <f t="shared" si="1652"/>
        <v>-6047</v>
      </c>
      <c r="BD113" s="11">
        <f t="shared" si="1652"/>
        <v>-6047</v>
      </c>
      <c r="BE113" s="11">
        <f t="shared" si="1652"/>
        <v>-65</v>
      </c>
      <c r="BF113" s="11">
        <f t="shared" si="1652"/>
        <v>742</v>
      </c>
      <c r="BG113" s="11">
        <f t="shared" si="1652"/>
        <v>-864099</v>
      </c>
      <c r="BH113" s="11">
        <f t="shared" si="1652"/>
        <v>-1107867</v>
      </c>
      <c r="BI113" s="11">
        <f t="shared" si="1652"/>
        <v>-3013552</v>
      </c>
      <c r="BJ113" s="11">
        <f t="shared" si="1652"/>
        <v>-148013</v>
      </c>
      <c r="BK113" s="11">
        <f t="shared" si="1652"/>
        <v>-2865539</v>
      </c>
      <c r="BL113" s="11">
        <f t="shared" si="1652"/>
        <v>577422</v>
      </c>
      <c r="BM113" s="11">
        <f t="shared" si="1652"/>
        <v>126419</v>
      </c>
    </row>
    <row r="114" spans="1:69" s="183" customFormat="1" ht="15.75" x14ac:dyDescent="0.2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9" ht="15.75" x14ac:dyDescent="0.25">
      <c r="A115" s="15" t="s">
        <v>143</v>
      </c>
      <c r="B115" s="11" t="s">
        <v>301</v>
      </c>
      <c r="C115" s="122">
        <v>0</v>
      </c>
      <c r="D115" s="122">
        <v>0</v>
      </c>
      <c r="E115" s="122">
        <v>0</v>
      </c>
      <c r="F115" s="122">
        <v>0</v>
      </c>
      <c r="G115" s="122">
        <v>0</v>
      </c>
      <c r="H115" s="122">
        <v>2899829</v>
      </c>
      <c r="I115" s="122">
        <v>0</v>
      </c>
      <c r="J115" s="122">
        <v>0</v>
      </c>
      <c r="K115" s="122">
        <v>0</v>
      </c>
      <c r="L115" s="122">
        <v>0</v>
      </c>
      <c r="M115" s="122">
        <v>0</v>
      </c>
      <c r="N115" s="122">
        <v>0</v>
      </c>
      <c r="O115" s="122">
        <v>0</v>
      </c>
      <c r="P115" s="122">
        <v>0</v>
      </c>
      <c r="Q115" s="122">
        <v>0</v>
      </c>
      <c r="R115" s="122">
        <v>0</v>
      </c>
      <c r="S115" s="122">
        <v>0</v>
      </c>
      <c r="T115" s="122">
        <v>0</v>
      </c>
      <c r="U115" s="122"/>
      <c r="V115" s="195">
        <v>0</v>
      </c>
      <c r="W115" s="122">
        <v>0</v>
      </c>
      <c r="X115" s="122">
        <v>0</v>
      </c>
      <c r="Y115" s="122">
        <v>0</v>
      </c>
      <c r="Z115" s="122">
        <v>0</v>
      </c>
      <c r="AA115" s="122">
        <v>0</v>
      </c>
      <c r="AB115" s="122"/>
      <c r="AC115" s="154">
        <v>0</v>
      </c>
      <c r="AD115" s="123">
        <f t="shared" ref="AD115" si="1654">SUM(C115:AC115)</f>
        <v>2899829</v>
      </c>
      <c r="AE115" s="122">
        <v>0</v>
      </c>
      <c r="AF115" s="122">
        <v>0</v>
      </c>
      <c r="AG115" s="122">
        <v>0</v>
      </c>
      <c r="AH115" s="122">
        <v>0</v>
      </c>
      <c r="AI115" s="122">
        <v>0</v>
      </c>
      <c r="AJ115" s="122">
        <v>0</v>
      </c>
      <c r="AK115" s="122">
        <v>0</v>
      </c>
      <c r="AL115" s="122">
        <v>0</v>
      </c>
      <c r="AM115" s="122">
        <v>0</v>
      </c>
      <c r="AN115" s="122">
        <v>0</v>
      </c>
      <c r="AO115" s="195">
        <v>0</v>
      </c>
      <c r="AP115" s="122">
        <v>0</v>
      </c>
      <c r="AQ115" s="154">
        <v>0</v>
      </c>
      <c r="AR115" s="122">
        <v>0</v>
      </c>
      <c r="AS115" s="122"/>
      <c r="AT115" s="122"/>
      <c r="AU115" s="122">
        <v>0</v>
      </c>
      <c r="AV115" s="122"/>
      <c r="AW115" s="122">
        <v>0</v>
      </c>
      <c r="AX115" s="122">
        <v>0</v>
      </c>
      <c r="AY115" s="122">
        <v>0</v>
      </c>
      <c r="AZ115" s="122">
        <v>0</v>
      </c>
      <c r="BA115" s="122">
        <v>0</v>
      </c>
      <c r="BB115" s="154">
        <v>0</v>
      </c>
      <c r="BC115" s="122">
        <v>0</v>
      </c>
      <c r="BD115" s="122">
        <v>0</v>
      </c>
      <c r="BE115" s="122">
        <v>0</v>
      </c>
      <c r="BF115" s="122">
        <v>0</v>
      </c>
      <c r="BG115" s="122">
        <v>72291171</v>
      </c>
      <c r="BH115" s="9">
        <f>SUM(AE115:BG115)</f>
        <v>72291171</v>
      </c>
      <c r="BI115" s="127">
        <f>AD115+BH115</f>
        <v>75191000</v>
      </c>
      <c r="BJ115" s="98">
        <v>72243000</v>
      </c>
      <c r="BK115" s="51">
        <f t="shared" ref="BK115" si="1655">BI115-BJ115</f>
        <v>2948000</v>
      </c>
      <c r="BL115">
        <v>11</v>
      </c>
      <c r="BM115" s="30"/>
      <c r="BP115">
        <f>3496425-53457</f>
        <v>3442968</v>
      </c>
      <c r="BQ115" s="30">
        <f>+BP115-BK104</f>
        <v>-1</v>
      </c>
    </row>
    <row r="116" spans="1:69" s="217" customFormat="1" ht="15.75" x14ac:dyDescent="0.25">
      <c r="A116" s="130" t="s">
        <v>143</v>
      </c>
      <c r="B116" s="196" t="s">
        <v>320</v>
      </c>
      <c r="C116" s="9">
        <v>0</v>
      </c>
      <c r="D116" s="9">
        <v>0</v>
      </c>
      <c r="E116" s="9">
        <v>0</v>
      </c>
      <c r="F116" s="9">
        <v>0</v>
      </c>
      <c r="G116" s="9">
        <v>0</v>
      </c>
      <c r="H116" s="9">
        <v>521969.22000000003</v>
      </c>
      <c r="I116" s="9">
        <v>0</v>
      </c>
      <c r="J116" s="9">
        <v>0</v>
      </c>
      <c r="K116" s="9">
        <v>0</v>
      </c>
      <c r="L116" s="9">
        <v>0</v>
      </c>
      <c r="M116" s="9">
        <v>0</v>
      </c>
      <c r="N116" s="9">
        <v>0</v>
      </c>
      <c r="O116" s="9">
        <v>0</v>
      </c>
      <c r="P116" s="9">
        <v>0</v>
      </c>
      <c r="Q116" s="9">
        <v>0</v>
      </c>
      <c r="R116" s="9">
        <v>0</v>
      </c>
      <c r="S116" s="9">
        <v>0</v>
      </c>
      <c r="T116" s="9">
        <v>0</v>
      </c>
      <c r="U116" s="9"/>
      <c r="V116" s="9">
        <v>0</v>
      </c>
      <c r="W116" s="9">
        <v>0</v>
      </c>
      <c r="X116" s="9">
        <v>0</v>
      </c>
      <c r="Y116" s="9">
        <v>0</v>
      </c>
      <c r="Z116" s="9">
        <v>0</v>
      </c>
      <c r="AA116" s="9">
        <v>0</v>
      </c>
      <c r="AB116" s="9">
        <v>0</v>
      </c>
      <c r="AC116" s="10">
        <v>0</v>
      </c>
      <c r="AD116" s="123">
        <v>521969.22000000003</v>
      </c>
      <c r="AE116" s="9">
        <v>0</v>
      </c>
      <c r="AF116" s="9">
        <v>0</v>
      </c>
      <c r="AG116" s="9">
        <v>0</v>
      </c>
      <c r="AH116" s="9">
        <v>0</v>
      </c>
      <c r="AI116" s="9">
        <v>0</v>
      </c>
      <c r="AJ116" s="9">
        <v>0</v>
      </c>
      <c r="AK116" s="9">
        <v>0</v>
      </c>
      <c r="AL116" s="9">
        <v>0</v>
      </c>
      <c r="AM116" s="9">
        <v>0</v>
      </c>
      <c r="AN116" s="9">
        <v>0</v>
      </c>
      <c r="AO116" s="9">
        <v>0</v>
      </c>
      <c r="AP116" s="9">
        <v>0</v>
      </c>
      <c r="AQ116" s="10">
        <v>0</v>
      </c>
      <c r="AR116" s="9">
        <v>0</v>
      </c>
      <c r="AS116" s="9"/>
      <c r="AT116" s="9"/>
      <c r="AU116" s="9">
        <v>0</v>
      </c>
      <c r="AV116" s="9"/>
      <c r="AW116" s="9">
        <v>0</v>
      </c>
      <c r="AX116" s="9">
        <v>0</v>
      </c>
      <c r="AY116" s="9">
        <v>0</v>
      </c>
      <c r="AZ116" s="9">
        <v>0</v>
      </c>
      <c r="BA116" s="9">
        <v>0</v>
      </c>
      <c r="BB116" s="10">
        <v>0</v>
      </c>
      <c r="BC116" s="9">
        <v>0</v>
      </c>
      <c r="BD116" s="9">
        <v>0</v>
      </c>
      <c r="BE116" s="9">
        <v>0</v>
      </c>
      <c r="BF116" s="9">
        <v>0</v>
      </c>
      <c r="BG116" s="9">
        <v>12048528.5</v>
      </c>
      <c r="BH116" s="9">
        <v>12048528.5</v>
      </c>
      <c r="BI116" s="127">
        <v>12570497.720000001</v>
      </c>
      <c r="BJ116" s="9">
        <v>12040500</v>
      </c>
      <c r="BK116" s="51">
        <v>529997.72000000067</v>
      </c>
      <c r="BM116" s="30"/>
    </row>
    <row r="117" spans="1:69" ht="15.75" x14ac:dyDescent="0.25">
      <c r="A117" s="130"/>
      <c r="B117" s="12" t="s">
        <v>322</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597037</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 t="shared" ref="AD117:AD118" si="1656">SUM(C117:AC117)</f>
        <v>597037</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13253410</v>
      </c>
      <c r="BH117" s="9">
        <f>SUM(AE117:BG117)</f>
        <v>13253410</v>
      </c>
      <c r="BI117" s="127">
        <f>AD117+BH117</f>
        <v>13850447</v>
      </c>
      <c r="BJ117" s="9">
        <f>IF('Upto Month COPPY'!$L$60="",0,'Upto Month COPPY'!$L$60)</f>
        <v>13252440</v>
      </c>
      <c r="BK117" s="51">
        <f t="shared" ref="BK117:BK118" si="1657">BI117-BJ117</f>
        <v>598007</v>
      </c>
      <c r="BL117">
        <f>'Upto Month COPPY'!$L$61</f>
        <v>598007</v>
      </c>
      <c r="BM117" s="30">
        <f t="shared" ref="BM117:BM121" si="1658">BK117-AD117</f>
        <v>970</v>
      </c>
    </row>
    <row r="118" spans="1:69" ht="15.75" x14ac:dyDescent="0.25">
      <c r="A118" s="130"/>
      <c r="B118" s="185" t="s">
        <v>323</v>
      </c>
      <c r="C118" s="9">
        <f>IF('Upto Month Current'!$L$4="",0,'Upto Month Current'!$L$4)</f>
        <v>35</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633871</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 t="shared" si="1656"/>
        <v>633906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14028539</v>
      </c>
      <c r="BH118" s="9">
        <f>SUM(AE118:BG118)</f>
        <v>14028539</v>
      </c>
      <c r="BI118" s="127">
        <f>AD118+BH118</f>
        <v>14662445</v>
      </c>
      <c r="BJ118" s="9">
        <f>IF('Upto Month Current'!$L$60="",0,'Upto Month Current'!$L$60)</f>
        <v>14027083</v>
      </c>
      <c r="BK118" s="51">
        <f t="shared" si="1657"/>
        <v>635362</v>
      </c>
      <c r="BL118">
        <f>'Upto Month Current'!$L$61</f>
        <v>635363</v>
      </c>
      <c r="BM118" s="30">
        <f t="shared" si="1658"/>
        <v>1456</v>
      </c>
    </row>
    <row r="119" spans="1:69" ht="15.75" x14ac:dyDescent="0.25">
      <c r="A119" s="130"/>
      <c r="B119" s="5" t="s">
        <v>132</v>
      </c>
      <c r="C119" s="11">
        <f>C118-C116</f>
        <v>35</v>
      </c>
      <c r="D119" s="11">
        <f t="shared" ref="D119" si="1659">D118-D116</f>
        <v>0</v>
      </c>
      <c r="E119" s="11">
        <f t="shared" ref="E119" si="1660">E118-E116</f>
        <v>0</v>
      </c>
      <c r="F119" s="11">
        <f t="shared" ref="F119" si="1661">F118-F116</f>
        <v>0</v>
      </c>
      <c r="G119" s="11">
        <f t="shared" ref="G119" si="1662">G118-G116</f>
        <v>0</v>
      </c>
      <c r="H119" s="11">
        <f t="shared" ref="H119" si="1663">H118-H116</f>
        <v>111901.77999999997</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11">
        <f t="shared" si="1681"/>
        <v>111936.77999999997</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1980010.5</v>
      </c>
      <c r="BH119" s="9">
        <f t="shared" si="1711"/>
        <v>1980010.5</v>
      </c>
      <c r="BI119" s="45">
        <f t="shared" ref="BI119" si="1712">BI118-BI116</f>
        <v>2091947.2799999993</v>
      </c>
      <c r="BJ119" s="11">
        <f t="shared" ref="BJ119:BK119" si="1713">BJ118-BJ116</f>
        <v>1986583</v>
      </c>
      <c r="BK119" s="51">
        <f t="shared" si="1713"/>
        <v>105364.27999999933</v>
      </c>
      <c r="BM119" s="30">
        <f t="shared" si="1658"/>
        <v>-6572.5000000006403</v>
      </c>
    </row>
    <row r="120" spans="1:69" ht="15.75" x14ac:dyDescent="0.25">
      <c r="A120" s="130"/>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0.21438386730926387</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5"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13">
        <f t="shared" si="1736"/>
        <v>0.21445092107155278</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5"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0.16433629218705006</v>
      </c>
      <c r="BH120" s="165">
        <f t="shared" si="1766"/>
        <v>0.16433629218705006</v>
      </c>
      <c r="BI120" s="46">
        <f t="shared" ref="BI120" si="1767">BI119/BI116</f>
        <v>0.16641721963575515</v>
      </c>
      <c r="BJ120" s="13">
        <f t="shared" ref="BJ120:BK120" si="1768">BJ119/BJ116</f>
        <v>0.16499173622357877</v>
      </c>
      <c r="BK120" s="52">
        <f t="shared" si="1768"/>
        <v>0.19880138352293136</v>
      </c>
      <c r="BM120" s="165" t="e">
        <f t="shared" ref="BM120" si="1769">BM119/BM116</f>
        <v>#DIV/0!</v>
      </c>
    </row>
    <row r="121" spans="1:69" ht="15.75" x14ac:dyDescent="0.25">
      <c r="A121" s="130"/>
      <c r="B121" s="5" t="s">
        <v>134</v>
      </c>
      <c r="C121" s="11">
        <f>C118-C117</f>
        <v>35</v>
      </c>
      <c r="D121" s="11">
        <f t="shared" ref="D121:BK121" si="1770">D118-D117</f>
        <v>0</v>
      </c>
      <c r="E121" s="11">
        <f t="shared" si="1770"/>
        <v>0</v>
      </c>
      <c r="F121" s="11">
        <f t="shared" si="1770"/>
        <v>0</v>
      </c>
      <c r="G121" s="11">
        <f t="shared" si="1770"/>
        <v>0</v>
      </c>
      <c r="H121" s="11">
        <f t="shared" si="1770"/>
        <v>36834</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11">
        <f t="shared" si="1773"/>
        <v>36869</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775129</v>
      </c>
      <c r="BH121" s="9">
        <f t="shared" si="1770"/>
        <v>775129</v>
      </c>
      <c r="BI121" s="45">
        <f t="shared" si="1770"/>
        <v>811998</v>
      </c>
      <c r="BJ121" s="11">
        <f t="shared" si="1770"/>
        <v>774643</v>
      </c>
      <c r="BK121" s="51">
        <f t="shared" si="1770"/>
        <v>37355</v>
      </c>
      <c r="BM121" s="30">
        <f t="shared" si="1658"/>
        <v>486</v>
      </c>
    </row>
    <row r="122" spans="1:69" ht="15.75" x14ac:dyDescent="0.25">
      <c r="A122" s="130"/>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6.1694668839619653E-2</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5"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13">
        <f t="shared" si="1796"/>
        <v>6.1753291672040425E-2</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5"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5.8485250211077755E-2</v>
      </c>
      <c r="BH122" s="165">
        <f t="shared" si="1826"/>
        <v>5.8485250211077755E-2</v>
      </c>
      <c r="BI122" s="46">
        <f t="shared" ref="BI122" si="1827">BI121/BI117</f>
        <v>5.8626122319373516E-2</v>
      </c>
      <c r="BJ122" s="13">
        <f t="shared" ref="BJ122:BK122" si="1828">BJ121/BJ117</f>
        <v>5.8452858492473836E-2</v>
      </c>
      <c r="BK122" s="52">
        <f t="shared" si="1828"/>
        <v>6.2465823978649082E-2</v>
      </c>
      <c r="BM122" s="14">
        <f t="shared" ref="BM122" si="1829">BM121/BM117</f>
        <v>0.50103092783505154</v>
      </c>
    </row>
    <row r="123" spans="1:69" ht="15.75" x14ac:dyDescent="0.25">
      <c r="A123" s="130"/>
      <c r="B123" s="5" t="s">
        <v>296</v>
      </c>
      <c r="C123" s="128" t="e">
        <f>C118/C115</f>
        <v>#DIV/0!</v>
      </c>
      <c r="D123" s="128" t="e">
        <f t="shared" ref="D123:BK123" si="1830">D118/D115</f>
        <v>#DIV/0!</v>
      </c>
      <c r="E123" s="128" t="e">
        <f t="shared" si="1830"/>
        <v>#DIV/0!</v>
      </c>
      <c r="F123" s="128" t="e">
        <f t="shared" si="1830"/>
        <v>#DIV/0!</v>
      </c>
      <c r="G123" s="128" t="e">
        <f t="shared" si="1830"/>
        <v>#DIV/0!</v>
      </c>
      <c r="H123" s="128">
        <f t="shared" si="1830"/>
        <v>0.21858909611566751</v>
      </c>
      <c r="I123" s="128" t="e">
        <f t="shared" si="1830"/>
        <v>#DIV/0!</v>
      </c>
      <c r="J123" s="128" t="e">
        <f t="shared" si="1830"/>
        <v>#DIV/0!</v>
      </c>
      <c r="K123" s="128" t="e">
        <f t="shared" si="1830"/>
        <v>#DIV/0!</v>
      </c>
      <c r="L123" s="128" t="e">
        <f t="shared" si="1830"/>
        <v>#DIV/0!</v>
      </c>
      <c r="M123" s="128" t="e">
        <f t="shared" si="1830"/>
        <v>#DIV/0!</v>
      </c>
      <c r="N123" s="128" t="e">
        <f t="shared" si="1830"/>
        <v>#DIV/0!</v>
      </c>
      <c r="O123" s="128" t="e">
        <f t="shared" si="1830"/>
        <v>#DIV/0!</v>
      </c>
      <c r="P123" s="128" t="e">
        <f t="shared" si="1830"/>
        <v>#DIV/0!</v>
      </c>
      <c r="Q123" s="128" t="e">
        <f t="shared" si="1830"/>
        <v>#DIV/0!</v>
      </c>
      <c r="R123" s="128" t="e">
        <f t="shared" si="1830"/>
        <v>#DIV/0!</v>
      </c>
      <c r="S123" s="128" t="e">
        <f t="shared" si="1830"/>
        <v>#DIV/0!</v>
      </c>
      <c r="T123" s="128" t="e">
        <f t="shared" si="1830"/>
        <v>#DIV/0!</v>
      </c>
      <c r="U123" s="128" t="e">
        <f t="shared" si="1830"/>
        <v>#DIV/0!</v>
      </c>
      <c r="V123" s="180" t="e">
        <f t="shared" si="1830"/>
        <v>#DIV/0!</v>
      </c>
      <c r="W123" s="128" t="e">
        <f t="shared" si="1830"/>
        <v>#DIV/0!</v>
      </c>
      <c r="X123" s="128" t="e">
        <f t="shared" si="1830"/>
        <v>#DIV/0!</v>
      </c>
      <c r="Y123" s="128" t="e">
        <f t="shared" si="1830"/>
        <v>#DIV/0!</v>
      </c>
      <c r="Z123" s="128" t="e">
        <f t="shared" si="1830"/>
        <v>#DIV/0!</v>
      </c>
      <c r="AA123" s="128" t="e">
        <f t="shared" si="1830"/>
        <v>#DIV/0!</v>
      </c>
      <c r="AB123" s="128" t="e">
        <f t="shared" ref="AB123" si="1831">AB118/AB115</f>
        <v>#DIV/0!</v>
      </c>
      <c r="AC123" s="228" t="e">
        <f t="shared" si="1830"/>
        <v>#DIV/0!</v>
      </c>
      <c r="AD123" s="128">
        <f t="shared" si="1830"/>
        <v>0.2186011657928795</v>
      </c>
      <c r="AE123" s="128" t="e">
        <f t="shared" si="1830"/>
        <v>#DIV/0!</v>
      </c>
      <c r="AF123" s="128" t="e">
        <f t="shared" si="1830"/>
        <v>#DIV/0!</v>
      </c>
      <c r="AG123" s="128" t="e">
        <f t="shared" si="1830"/>
        <v>#DIV/0!</v>
      </c>
      <c r="AH123" s="128" t="e">
        <f t="shared" si="1830"/>
        <v>#DIV/0!</v>
      </c>
      <c r="AI123" s="128" t="e">
        <f t="shared" si="1830"/>
        <v>#DIV/0!</v>
      </c>
      <c r="AJ123" s="128" t="e">
        <f t="shared" si="1830"/>
        <v>#DIV/0!</v>
      </c>
      <c r="AK123" s="128" t="e">
        <f t="shared" si="1830"/>
        <v>#DIV/0!</v>
      </c>
      <c r="AL123" s="128" t="e">
        <f t="shared" si="1830"/>
        <v>#DIV/0!</v>
      </c>
      <c r="AM123" s="128" t="e">
        <f t="shared" si="1830"/>
        <v>#DIV/0!</v>
      </c>
      <c r="AN123" s="128" t="e">
        <f t="shared" si="1830"/>
        <v>#DIV/0!</v>
      </c>
      <c r="AO123" s="180" t="e">
        <f t="shared" si="1830"/>
        <v>#DIV/0!</v>
      </c>
      <c r="AP123" s="128" t="e">
        <f t="shared" si="1830"/>
        <v>#DIV/0!</v>
      </c>
      <c r="AQ123" s="228" t="e">
        <f t="shared" si="1830"/>
        <v>#DIV/0!</v>
      </c>
      <c r="AR123" s="128" t="e">
        <f t="shared" si="1830"/>
        <v>#DIV/0!</v>
      </c>
      <c r="AS123" s="128" t="e">
        <f t="shared" si="1830"/>
        <v>#DIV/0!</v>
      </c>
      <c r="AT123" s="128" t="e">
        <f t="shared" si="1830"/>
        <v>#DIV/0!</v>
      </c>
      <c r="AU123" s="128" t="e">
        <f t="shared" si="1830"/>
        <v>#DIV/0!</v>
      </c>
      <c r="AV123" s="128" t="e">
        <f t="shared" si="1830"/>
        <v>#DIV/0!</v>
      </c>
      <c r="AW123" s="128" t="e">
        <f t="shared" si="1830"/>
        <v>#DIV/0!</v>
      </c>
      <c r="AX123" s="128" t="e">
        <f t="shared" si="1830"/>
        <v>#DIV/0!</v>
      </c>
      <c r="AY123" s="128" t="e">
        <f t="shared" si="1830"/>
        <v>#DIV/0!</v>
      </c>
      <c r="AZ123" s="128" t="e">
        <f t="shared" si="1830"/>
        <v>#DIV/0!</v>
      </c>
      <c r="BA123" s="128" t="e">
        <f t="shared" si="1830"/>
        <v>#DIV/0!</v>
      </c>
      <c r="BB123" s="228" t="e">
        <f t="shared" si="1830"/>
        <v>#DIV/0!</v>
      </c>
      <c r="BC123" s="128" t="e">
        <f t="shared" si="1830"/>
        <v>#DIV/0!</v>
      </c>
      <c r="BD123" s="128" t="e">
        <f t="shared" si="1830"/>
        <v>#DIV/0!</v>
      </c>
      <c r="BE123" s="128" t="e">
        <f t="shared" si="1830"/>
        <v>#DIV/0!</v>
      </c>
      <c r="BF123" s="128" t="e">
        <f t="shared" si="1830"/>
        <v>#DIV/0!</v>
      </c>
      <c r="BG123" s="128">
        <f t="shared" si="1830"/>
        <v>0.19405604869784168</v>
      </c>
      <c r="BH123" s="180">
        <f t="shared" si="1830"/>
        <v>0.19405604869784168</v>
      </c>
      <c r="BI123" s="128">
        <f t="shared" si="1830"/>
        <v>0.19500265989280632</v>
      </c>
      <c r="BJ123" s="128">
        <f t="shared" si="1830"/>
        <v>0.19416528937059646</v>
      </c>
      <c r="BK123" s="128">
        <f t="shared" si="1830"/>
        <v>0.21552306648575306</v>
      </c>
      <c r="BM123" s="128" t="e">
        <f t="shared" ref="BM123" si="1832">BM118/BM115</f>
        <v>#DIV/0!</v>
      </c>
    </row>
    <row r="124" spans="1:69" s="183" customFormat="1" ht="15.75" x14ac:dyDescent="0.25">
      <c r="A124" s="130"/>
      <c r="B124" s="5" t="s">
        <v>297</v>
      </c>
      <c r="C124" s="11">
        <f>C118-C115</f>
        <v>35</v>
      </c>
      <c r="D124" s="11">
        <f t="shared" ref="D124:BM124" si="1833">D118-D115</f>
        <v>0</v>
      </c>
      <c r="E124" s="11">
        <f t="shared" si="1833"/>
        <v>0</v>
      </c>
      <c r="F124" s="11">
        <f t="shared" si="1833"/>
        <v>0</v>
      </c>
      <c r="G124" s="11">
        <f t="shared" si="1833"/>
        <v>0</v>
      </c>
      <c r="H124" s="11">
        <f t="shared" si="1833"/>
        <v>-2265958</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11">
        <f t="shared" si="1833"/>
        <v>-2265923</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-58262632</v>
      </c>
      <c r="BH124" s="11">
        <f t="shared" si="1833"/>
        <v>-58262632</v>
      </c>
      <c r="BI124" s="11">
        <f t="shared" si="1833"/>
        <v>-60528555</v>
      </c>
      <c r="BJ124" s="11">
        <f t="shared" si="1833"/>
        <v>-58215917</v>
      </c>
      <c r="BK124" s="11">
        <f t="shared" si="1833"/>
        <v>-2312638</v>
      </c>
      <c r="BL124" s="11">
        <f t="shared" si="1833"/>
        <v>635352</v>
      </c>
      <c r="BM124" s="11">
        <f t="shared" si="1833"/>
        <v>1456</v>
      </c>
    </row>
    <row r="125" spans="1:69" ht="15.75" x14ac:dyDescent="0.2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9" ht="15.75" x14ac:dyDescent="0.25">
      <c r="A126" s="130" t="s">
        <v>130</v>
      </c>
      <c r="B126" s="11" t="s">
        <v>301</v>
      </c>
      <c r="C126" s="5">
        <f>C5+C16+C27+C38+C49+C60+C71+C82+C93+C104+C115</f>
        <v>25094501</v>
      </c>
      <c r="D126" s="5">
        <f>D5+D16+D27+D38+D49+D60+D71+D82+D93+D104+D115</f>
        <v>4519818</v>
      </c>
      <c r="E126" s="5">
        <f>E5+E16+E27+E38+E49+E60+E71+E82+E93+E104+E115</f>
        <v>991281</v>
      </c>
      <c r="F126" s="5">
        <f>F5+F16+F27+F38+F49+F60+F71+F82+F93+F104+F115</f>
        <v>2860481</v>
      </c>
      <c r="G126" s="5">
        <f>G5+G16+G27+G38+G49+G60+G71+G82+G93+G104+G115</f>
        <v>1482068</v>
      </c>
      <c r="H126" s="5">
        <f>H5+H16+H27+H38+H49+H60+H71+H82+H93+H104+H115</f>
        <v>2899829</v>
      </c>
      <c r="I126" s="5">
        <f>I5+I16+I27+I38+I49+I60+I71+I82+I93+I104+I115</f>
        <v>0</v>
      </c>
      <c r="J126" s="5">
        <f>J5+J16+J27+J38+J49+J60+J71+J82+J93+J104+J115</f>
        <v>1982650</v>
      </c>
      <c r="K126" s="5">
        <f>K5+K16+K27+K38+K49+K60+K71+K82+K93+K104+K115</f>
        <v>117456</v>
      </c>
      <c r="L126" s="5">
        <f>L5+L16+L27+L38+L49+L60+L71+L82+L93+L104+L115</f>
        <v>529809</v>
      </c>
      <c r="M126" s="5">
        <f>M5+M16+M27+M38+M49+M60+M71+M82+M93+M104+M115</f>
        <v>1499479</v>
      </c>
      <c r="N126" s="5">
        <f>N5+N16+N27+N38+N49+N60+N71+N82+N93+N104+N115</f>
        <v>26092</v>
      </c>
      <c r="O126" s="5">
        <f>O5+O16+O27+O38+O49+O60+O71+O82+O93+O104+O115</f>
        <v>93065</v>
      </c>
      <c r="P126" s="5">
        <f>P5+P16+P27+P38+P49+P60+P71+P82+P93+P104+P115</f>
        <v>922915</v>
      </c>
      <c r="Q126" s="5">
        <f>Q5+Q16+Q27+Q38+Q49+Q60+Q71+Q82+Q93+Q104+Q115</f>
        <v>0</v>
      </c>
      <c r="R126" s="5">
        <f>R5+R16+R27+R38+R49+R60+R71+R82+R93+R104+R115</f>
        <v>80835</v>
      </c>
      <c r="S126" s="5">
        <f>S5+S16+S27+S38+S49+S60+S71+S82+S93+S104+S115</f>
        <v>890316</v>
      </c>
      <c r="T126" s="5">
        <f>T5+T16+T27+T38+T49+T60+T71+T82+T93+T104+T115</f>
        <v>831482</v>
      </c>
      <c r="U126" s="5">
        <f>U5+U16+U27+U38+U49+U60+U71+U82+U93+U104+U115</f>
        <v>0</v>
      </c>
      <c r="V126" s="16">
        <f>V5+V16+V27+V38+V49+V60+V71+V82+V93+V104+V115</f>
        <v>344986</v>
      </c>
      <c r="W126" s="5">
        <f>W5+W16+W27+W38+W49+W60+W71+W82+W93+W104+W115</f>
        <v>1004</v>
      </c>
      <c r="X126" s="5">
        <f>X5+X16+X27+X38+X49+X60+X71+X82+X93+X104+X115</f>
        <v>406</v>
      </c>
      <c r="Y126" s="5">
        <f>Y5+Y16+Y27+Y38+Y49+Y60+Y71+Y82+Y93+Y104+Y115</f>
        <v>26497</v>
      </c>
      <c r="Z126" s="5">
        <f>Z5+Z16+Z27+Z38+Z49+Z60+Z71+Z82+Z93+Z104+Z115</f>
        <v>3049</v>
      </c>
      <c r="AA126" s="5">
        <f>AA5+AA16+AA27+AA38+AA49+AA60+AA71+AA82+AA93+AA104+AA115</f>
        <v>7424</v>
      </c>
      <c r="AB126" s="5">
        <f>AB5+AB16+AB27+AB38+AB49+AB60+AB71+AB82+AB93+AB104+AB115</f>
        <v>45460</v>
      </c>
      <c r="AC126" s="6">
        <f>AC5+AC16+AC27+AC38+AC49+AC60+AC71+AC82+AC93+AC104+AC115</f>
        <v>1331801</v>
      </c>
      <c r="AD126" s="123">
        <f t="shared" ref="AD126:AD129" si="1835">SUM(C126:AC126)</f>
        <v>46582704</v>
      </c>
      <c r="AE126" s="5">
        <f>AE5+AE16+AE27+AE38+AE49+AE60+AE71+AE82+AE93+AE104+AE115</f>
        <v>56229</v>
      </c>
      <c r="AF126" s="5">
        <f>AF5+AF16+AF27+AF38+AF49+AF60+AF71+AF82+AF93+AF104+AF115</f>
        <v>39351</v>
      </c>
      <c r="AG126" s="5">
        <f>AG5+AG16+AG27+AG38+AG49+AG60+AG71+AG82+AG93+AG104+AG115</f>
        <v>71546</v>
      </c>
      <c r="AH126" s="5">
        <f>AH5+AH16+AH27+AH38+AH49+AH60+AH71+AH82+AH93+AH104+AH115</f>
        <v>0</v>
      </c>
      <c r="AI126" s="5">
        <f>AI5+AI16+AI27+AI38+AI49+AI60+AI71+AI82+AI93+AI104+AI115</f>
        <v>0</v>
      </c>
      <c r="AJ126" s="5">
        <f>AJ5+AJ16+AJ27+AJ38+AJ49+AJ60+AJ71+AJ82+AJ93+AJ104+AJ115</f>
        <v>22250</v>
      </c>
      <c r="AK126" s="5">
        <f>AK5+AK16+AK27+AK38+AK49+AK60+AK71+AK82+AK93+AK104+AK115</f>
        <v>1360731</v>
      </c>
      <c r="AL126" s="5">
        <f>AL5+AL16+AL27+AL38+AL49+AL60+AL71+AL82+AL93+AL104+AL115</f>
        <v>1095813</v>
      </c>
      <c r="AM126" s="5">
        <f>AM5+AM16+AM27+AM38+AM49+AM60+AM71+AM82+AM93+AM104+AM115</f>
        <v>7695054</v>
      </c>
      <c r="AN126" s="5">
        <f>AN5+AN16+AN27+AN38+AN49+AN60+AN71+AN82+AN93+AN104+AN115</f>
        <v>131472</v>
      </c>
      <c r="AO126" s="16">
        <f>AO5+AO16+AO27+AO38+AO49+AO60+AO71+AO82+AO93+AO104+AO115</f>
        <v>3045430</v>
      </c>
      <c r="AP126" s="5">
        <f>AP5+AP16+AP27+AP38+AP49+AP60+AP71+AP82+AP93+AP104+AP115</f>
        <v>15785368</v>
      </c>
      <c r="AQ126" s="6">
        <f>AQ5+AQ16+AQ27+AQ38+AQ49+AQ60+AQ71+AQ82+AQ93+AQ104+AQ115</f>
        <v>145980</v>
      </c>
      <c r="AR126" s="5">
        <f>AR5+AR16+AR27+AR38+AR49+AR60+AR71+AR82+AR93+AR104+AR115</f>
        <v>789456</v>
      </c>
      <c r="AS126" s="5">
        <f>AS5+AS16+AS27+AS38+AS49+AS60+AS71+AS82+AS93+AS104+AS115</f>
        <v>0</v>
      </c>
      <c r="AT126" s="5">
        <f>AT5+AT16+AT27+AT38+AT49+AT60+AT71+AT82+AT93+AT104+AT115</f>
        <v>0</v>
      </c>
      <c r="AU126" s="5">
        <f>AU5+AU16+AU27+AU38+AU49+AU60+AU71+AU82+AU93+AU104+AU115</f>
        <v>348261</v>
      </c>
      <c r="AV126" s="5">
        <f>AV5+AV16+AV27+AV38+AV49+AV60+AV71+AV82+AV93+AV104+AV115</f>
        <v>0</v>
      </c>
      <c r="AW126" s="5">
        <f>AW5+AW16+AW27+AW38+AW49+AW60+AW71+AW82+AW93+AW104+AW115</f>
        <v>26546</v>
      </c>
      <c r="AX126" s="5">
        <f>AX5+AX16+AX27+AX38+AX49+AX60+AX71+AX82+AX93+AX104+AX115</f>
        <v>18138</v>
      </c>
      <c r="AY126" s="5">
        <f>AY5+AY16+AY27+AY38+AY49+AY60+AY71+AY82+AY93+AY104+AY115</f>
        <v>7897</v>
      </c>
      <c r="AZ126" s="5">
        <f>AZ5+AZ16+AZ27+AZ38+AZ49+AZ60+AZ71+AZ82+AZ93+AZ104+AZ115</f>
        <v>317324</v>
      </c>
      <c r="BA126" s="5">
        <f>BA5+BA16+BA27+BA38+BA49+BA60+BA71+BA82+BA93+BA104+BA115</f>
        <v>541110</v>
      </c>
      <c r="BB126" s="6">
        <f>BB5+BB16+BB27+BB38+BB49+BB60+BB71+BB82+BB93+BB104+BB115</f>
        <v>761999</v>
      </c>
      <c r="BC126" s="5">
        <f>BC5+BC16+BC27+BC38+BC49+BC60+BC71+BC82+BC93+BC104+BC115</f>
        <v>148811</v>
      </c>
      <c r="BD126" s="5">
        <f>BD5+BD16+BD27+BD38+BD49+BD60+BD71+BD82+BD93+BD104+BD115</f>
        <v>148813</v>
      </c>
      <c r="BE126" s="5">
        <f>BE5+BE16+BE27+BE38+BE49+BE60+BE71+BE82+BE93+BE104+BE115</f>
        <v>259</v>
      </c>
      <c r="BF126" s="5">
        <f>BF5+BF16+BF27+BF38+BF49+BF60+BF71+BF82+BF93+BF104+BF115</f>
        <v>129563</v>
      </c>
      <c r="BG126" s="11">
        <f>BG5+BG16+BG27+BG38+BG49+BG60+BG71+BG82+BG93+BG104+BG115</f>
        <v>73562050</v>
      </c>
      <c r="BH126" s="16">
        <f>BH5+BH16+BH27+BH38+BH49+BH60+BH71+BH82+BH93+BH104+BH115</f>
        <v>106249451</v>
      </c>
      <c r="BI126" s="125">
        <f>AD126+BH126</f>
        <v>152832155</v>
      </c>
      <c r="BJ126" s="5">
        <f>BJ5+BJ16+BJ27+BJ38+BJ49+BJ60+BJ71+BJ82+BJ93+BJ104+BJ115</f>
        <v>73162155</v>
      </c>
      <c r="BK126" s="51">
        <f>BK5+BK16+BK27+BK38+BK49+BK60+BK71+BK82+BK93+BK104+BK115</f>
        <v>79670000</v>
      </c>
      <c r="BM126" s="30">
        <f>BK126-AD126</f>
        <v>33087296</v>
      </c>
    </row>
    <row r="127" spans="1:69" ht="15.75" x14ac:dyDescent="0.25">
      <c r="A127" s="130"/>
      <c r="B127" s="196" t="s">
        <v>324</v>
      </c>
      <c r="C127" s="11">
        <f>C6+C17+C28+C39+C50+C61+C72+C83+C94+C105+C116</f>
        <v>4517010.18</v>
      </c>
      <c r="D127" s="11">
        <f>D6+D17+D28+D39+D50+D61+D72+D83+D94+D105+D116</f>
        <v>813567.24</v>
      </c>
      <c r="E127" s="11">
        <f>E6+E17+E28+E39+E50+E61+E72+E83+E94+E105+E116</f>
        <v>0</v>
      </c>
      <c r="F127" s="11">
        <f>F6+F17+F28+F39+F50+F61+F72+F83+F94+F105+F116</f>
        <v>514886.58</v>
      </c>
      <c r="G127" s="11">
        <f>G6+G17+G28+G39+G50+G61+G72+G83+G94+G105+G116</f>
        <v>266772.24</v>
      </c>
      <c r="H127" s="11">
        <f>H6+H17+H28+H39+H50+H61+H72+H83+H94+H105+H116</f>
        <v>521969.22000000003</v>
      </c>
      <c r="I127" s="11">
        <f>I6+I17+I28+I39+I50+I61+I72+I83+I94+I105+I116</f>
        <v>0</v>
      </c>
      <c r="J127" s="11">
        <f>J6+J17+J28+J39+J50+J61+J72+J83+J94+J105+J116</f>
        <v>356877.00000000006</v>
      </c>
      <c r="K127" s="11">
        <f>K6+K17+K28+K39+K50+K61+K72+K83+K94+K105+K116</f>
        <v>21142.079999999998</v>
      </c>
      <c r="L127" s="11">
        <f>L6+L17+L28+L39+L50+L61+L72+L83+L94+L105+L116</f>
        <v>95365.62</v>
      </c>
      <c r="M127" s="11">
        <f>M6+M17+M28+M39+M50+M61+M72+M83+M94+M105+M116</f>
        <v>269906.21999999997</v>
      </c>
      <c r="N127" s="11">
        <f>N6+N17+N28+N39+N50+N61+N72+N83+N94+N105+N116</f>
        <v>4696.5599999999995</v>
      </c>
      <c r="O127" s="11">
        <f>O6+O17+O28+O39+O50+O61+O72+O83+O94+O105+O116</f>
        <v>16751.7</v>
      </c>
      <c r="P127" s="11">
        <f>P6+P17+P28+P39+P50+P61+P72+P83+P94+P105+P116</f>
        <v>166124.70000000001</v>
      </c>
      <c r="Q127" s="11">
        <f>Q6+Q17+Q28+Q39+Q50+Q61+Q72+Q83+Q94+Q105+Q116</f>
        <v>0</v>
      </c>
      <c r="R127" s="11">
        <f>R6+R17+R28+R39+R50+R61+R72+R83+R94+R105+R116</f>
        <v>14550.300000000001</v>
      </c>
      <c r="S127" s="11">
        <f>S6+S17+S28+S39+S50+S61+S72+S83+S94+S105+S116</f>
        <v>356126.4</v>
      </c>
      <c r="T127" s="11">
        <f>T6+T17+T28+T39+T50+T61+T72+T83+T94+T105+T116</f>
        <v>149666.76</v>
      </c>
      <c r="U127" s="11">
        <f>U6+U17+U28+U39+U50+U61+U72+U83+U94+U105+U116</f>
        <v>0</v>
      </c>
      <c r="V127" s="9">
        <f>V6+V17+V28+V39+V50+V61+V72+V83+V94+V105+V116</f>
        <v>62097.48</v>
      </c>
      <c r="W127" s="11">
        <f>W6+W17+W28+W39+W50+W61+W72+W83+W94+W105+W116</f>
        <v>180.72000000000003</v>
      </c>
      <c r="X127" s="11">
        <f>X6+X17+X28+X39+X50+X61+X72+X83+X94+X105+X116</f>
        <v>73.080000000000013</v>
      </c>
      <c r="Y127" s="11">
        <f>Y6+Y17+Y28+Y39+Y50+Y61+Y72+Y83+Y94+Y105+Y116</f>
        <v>4769.46</v>
      </c>
      <c r="Z127" s="11">
        <f>Z6+Z17+Z28+Z39+Z50+Z61+Z72+Z83+Z94+Z105+Z116</f>
        <v>548.81999999999994</v>
      </c>
      <c r="AA127" s="11">
        <f>AA6+AA17+AA28+AA39+AA50+AA61+AA72+AA83+AA94+AA105+AA116</f>
        <v>1336.3200000000002</v>
      </c>
      <c r="AB127" s="11">
        <f>AB6+AB17+AB28+AB39+AB50+AB61+AB72+AB83+AB94+AB105+AB116</f>
        <v>8231.4</v>
      </c>
      <c r="AC127" s="10">
        <f>AC6+AC17+AC28+AC39+AC50+AC61+AC72+AC83+AC94+AC105+AC116</f>
        <v>239724.18000000002</v>
      </c>
      <c r="AD127" s="123">
        <f t="shared" si="1835"/>
        <v>8402374.2600000016</v>
      </c>
      <c r="AE127" s="5">
        <f>AE6+AE17+AE28+AE39+AE50+AE61+AE72+AE83+AE94+AE105+AE116</f>
        <v>10121.219999999999</v>
      </c>
      <c r="AF127" s="5">
        <f>AF6+AF17+AF28+AF39+AF50+AF61+AF72+AF83+AF94+AF105+AF116</f>
        <v>7083.1800000000012</v>
      </c>
      <c r="AG127" s="5">
        <f>AG6+AG17+AG28+AG39+AG50+AG61+AG72+AG83+AG94+AG105+AG116</f>
        <v>12878.279999999997</v>
      </c>
      <c r="AH127" s="5">
        <f>AH6+AH17+AH28+AH39+AH50+AH61+AH72+AH83+AH94+AH105+AH116</f>
        <v>0</v>
      </c>
      <c r="AI127" s="5">
        <f>AI6+AI17+AI28+AI39+AI50+AI61+AI72+AI83+AI94+AI105+AI116</f>
        <v>0</v>
      </c>
      <c r="AJ127" s="5">
        <f>AJ6+AJ17+AJ28+AJ39+AJ50+AJ61+AJ72+AJ83+AJ94+AJ105+AJ116</f>
        <v>4005.0000000000009</v>
      </c>
      <c r="AK127" s="5">
        <f>AK6+AK17+AK28+AK39+AK50+AK61+AK72+AK83+AK94+AK105+AK116</f>
        <v>244931.58000000002</v>
      </c>
      <c r="AL127" s="5">
        <f>AL6+AL17+AL28+AL39+AL50+AL61+AL72+AL83+AL94+AL105+AL116</f>
        <v>197246.34000000003</v>
      </c>
      <c r="AM127" s="5">
        <f>AM6+AM17+AM28+AM39+AM50+AM61+AM72+AM83+AM94+AM105+AM116</f>
        <v>1385109.7200000002</v>
      </c>
      <c r="AN127" s="5">
        <f>AN6+AN17+AN28+AN39+AN50+AN61+AN72+AN83+AN94+AN105+AN116</f>
        <v>23664.959999999999</v>
      </c>
      <c r="AO127" s="16">
        <f>AO6+AO17+AO28+AO39+AO50+AO61+AO72+AO83+AO94+AO105+AO116</f>
        <v>548177.4</v>
      </c>
      <c r="AP127" s="5">
        <f>AP6+AP17+AP28+AP39+AP50+AP61+AP72+AP83+AP94+AP105+AP116</f>
        <v>5006166.2399999993</v>
      </c>
      <c r="AQ127" s="6">
        <f>AQ6+AQ17+AQ28+AQ39+AQ50+AQ61+AQ72+AQ83+AQ94+AQ105+AQ116</f>
        <v>26276.399999999998</v>
      </c>
      <c r="AR127" s="5">
        <f>AR6+AR17+AR28+AR39+AR50+AR61+AR72+AR83+AR94+AR105+AR116</f>
        <v>142102.08000000002</v>
      </c>
      <c r="AS127" s="5">
        <f>AS6+AS17+AS28+AS39+AS50+AS61+AS72+AS83+AS94+AS105+AS116</f>
        <v>0</v>
      </c>
      <c r="AT127" s="5">
        <f>AT6+AT17+AT28+AT39+AT50+AT61+AT72+AT83+AT94+AT105+AT116</f>
        <v>0</v>
      </c>
      <c r="AU127" s="5">
        <f>AU6+AU17+AU28+AU39+AU50+AU61+AU72+AU83+AU94+AU105+AU116</f>
        <v>62686.979999999996</v>
      </c>
      <c r="AV127" s="5">
        <f>AV6+AV17+AV28+AV39+AV50+AV61+AV72+AV83+AV94+AV105+AV116</f>
        <v>0</v>
      </c>
      <c r="AW127" s="5">
        <f>AW6+AW17+AW28+AW39+AW50+AW61+AW72+AW83+AW94+AW105+AW116</f>
        <v>4778.2800000000007</v>
      </c>
      <c r="AX127" s="5">
        <f>AX6+AX17+AX28+AX39+AX50+AX61+AX72+AX83+AX94+AX105+AX116</f>
        <v>3264.84</v>
      </c>
      <c r="AY127" s="5">
        <f>AY6+AY17+AY28+AY39+AY50+AY61+AY72+AY83+AY94+AY105+AY116</f>
        <v>1421.46</v>
      </c>
      <c r="AZ127" s="11">
        <f>AZ6+AZ17+AZ28+AZ39+AZ50+AZ61+AZ72+AZ83+AZ94+AZ105+AZ116</f>
        <v>57118.320000000007</v>
      </c>
      <c r="BA127" s="5">
        <f>BA6+BA17+BA28+BA39+BA50+BA61+BA72+BA83+BA94+BA105+BA116</f>
        <v>97399.8</v>
      </c>
      <c r="BB127" s="6">
        <f>BB6+BB17+BB28+BB39+BB50+BB61+BB72+BB83+BB94+BB105+BB116</f>
        <v>137159.82</v>
      </c>
      <c r="BC127" s="5">
        <f>BC6+BC17+BC28+BC39+BC50+BC61+BC72+BC83+BC94+BC105+BC116</f>
        <v>26785.980000000007</v>
      </c>
      <c r="BD127" s="5">
        <f>BD6+BD17+BD28+BD39+BD50+BD61+BD72+BD83+BD94+BD105+BD116</f>
        <v>26786.340000000007</v>
      </c>
      <c r="BE127" s="5">
        <f>BE6+BE17+BE28+BE39+BE50+BE61+BE72+BE83+BE94+BE105+BE116</f>
        <v>46.620000000000005</v>
      </c>
      <c r="BF127" s="5">
        <f>BF6+BF17+BF28+BF39+BF50+BF61+BF72+BF83+BF94+BF105+BF116</f>
        <v>23321.34</v>
      </c>
      <c r="BG127" s="11">
        <f>BG6+BG17+BG28+BG39+BG50+BG61+BG72+BG83+BG94+BG105+BG116</f>
        <v>12277238.119999999</v>
      </c>
      <c r="BH127" s="9">
        <f>BH6+BH17+BH28+BH39+BH50+BH61+BH72+BH83+BH94+BH105+BH116</f>
        <v>20325770.300000001</v>
      </c>
      <c r="BI127" s="125">
        <f>AD127+BH127</f>
        <v>28728144.560000002</v>
      </c>
      <c r="BJ127" s="11">
        <f>BJ6+BJ17+BJ28+BJ39+BJ50+BJ61+BJ72+BJ83+BJ94+BJ105+BJ116</f>
        <v>12193692.5</v>
      </c>
      <c r="BK127" s="51">
        <f>BK6+BK17+BK28+BK39+BK50+BK61+BK72+BK83+BK94+BK105+BK116</f>
        <v>16534452.060000001</v>
      </c>
      <c r="BM127" s="30">
        <f t="shared" ref="BM127:BM132" si="1836">BK127-AD127</f>
        <v>8132077.7999999989</v>
      </c>
    </row>
    <row r="128" spans="1:69" ht="15.75" x14ac:dyDescent="0.25">
      <c r="B128" s="12" t="s">
        <v>322</v>
      </c>
      <c r="C128" s="5">
        <f>C7+C18+C29+C40+C51+C62+C73+C84+C95+C106+C117</f>
        <v>4246941</v>
      </c>
      <c r="D128" s="5">
        <f>D7+D18+D29+D40+D51+D62+D73+D84+D95+D106+D117</f>
        <v>741165</v>
      </c>
      <c r="E128" s="5">
        <f>E7+E18+E29+E40+E51+E62+E73+E84+E95+E106+E117</f>
        <v>2997</v>
      </c>
      <c r="F128" s="5">
        <f>F7+F18+F29+F40+F51+F62+F73+F84+F95+F106+F117</f>
        <v>437408</v>
      </c>
      <c r="G128" s="5">
        <f>G7+G18+G29+G40+G51+G62+G73+G84+G95+G106+G117</f>
        <v>226929</v>
      </c>
      <c r="H128" s="5">
        <f>H7+H18+H29+H40+H51+H62+H73+H84+H95+H106+H117</f>
        <v>597037</v>
      </c>
      <c r="I128" s="5">
        <f>I7+I18+I29+I40+I51+I62+I73+I84+I95+I106+I117</f>
        <v>0</v>
      </c>
      <c r="J128" s="5">
        <f>J7+J18+J29+J40+J51+J62+J73+J84+J95+J106+J117</f>
        <v>308892</v>
      </c>
      <c r="K128" s="5">
        <f>K7+K18+K29+K40+K51+K62+K73+K84+K95+K106+K117</f>
        <v>4360</v>
      </c>
      <c r="L128" s="5">
        <f>L7+L18+L29+L40+L51+L62+L73+L84+L95+L106+L117</f>
        <v>91520</v>
      </c>
      <c r="M128" s="5">
        <f>M7+M18+M29+M40+M51+M62+M73+M84+M95+M106+M117</f>
        <v>170226</v>
      </c>
      <c r="N128" s="5">
        <f>N7+N18+N29+N40+N51+N62+N73+N84+N95+N106+N117</f>
        <v>2674</v>
      </c>
      <c r="O128" s="5">
        <f>O7+O18+O29+O40+O51+O62+O73+O84+O95+O106+O117</f>
        <v>7770</v>
      </c>
      <c r="P128" s="5">
        <f>P7+P18+P29+P40+P51+P62+P73+P84+P95+P106+P117</f>
        <v>165583</v>
      </c>
      <c r="Q128" s="5">
        <f>Q7+Q18+Q29+Q40+Q51+Q62+Q73+Q84+Q95+Q106+Q117</f>
        <v>0</v>
      </c>
      <c r="R128" s="5">
        <f>R7+R18+R29+R40+R51+R62+R73+R84+R95+R106+R117</f>
        <v>2401</v>
      </c>
      <c r="S128" s="5">
        <f>S7+S18+S29+S40+S51+S62+S73+S84+S95+S106+S117</f>
        <v>38352</v>
      </c>
      <c r="T128" s="5">
        <f>T7+T18+T29+T40+T51+T62+T73+T84+T95+T106+T117</f>
        <v>132178</v>
      </c>
      <c r="U128" s="5">
        <f>U7+U18+U29+U40+U51+U62+U73+U84+U95+U106+U117</f>
        <v>244</v>
      </c>
      <c r="V128" s="16">
        <f>V7+V18+V29+V40+V51+V62+V73+V84+V95+V106+V117</f>
        <v>59560</v>
      </c>
      <c r="W128" s="5">
        <f>W7+W18+W29+W40+W51+W62+W73+W84+W95+W106+W117</f>
        <v>314</v>
      </c>
      <c r="X128" s="5">
        <f>X7+X18+X29+X40+X51+X62+X73+X84+X95+X106+X117</f>
        <v>0</v>
      </c>
      <c r="Y128" s="5">
        <f>Y7+Y18+Y29+Y40+Y51+Y62+Y73+Y84+Y95+Y106+Y117</f>
        <v>9593</v>
      </c>
      <c r="Z128" s="5">
        <f>Z7+Z18+Z29+Z40+Z51+Z62+Z73+Z84+Z95+Z106+Z117</f>
        <v>1964</v>
      </c>
      <c r="AA128" s="5">
        <f>AA7+AA18+AA29+AA40+AA51+AA62+AA73+AA84+AA95+AA106+AA117</f>
        <v>867</v>
      </c>
      <c r="AB128" s="5">
        <f>AB7+AB18+AB29+AB40+AB51+AB62+AB73+AB84+AB95+AB106+AB117</f>
        <v>0</v>
      </c>
      <c r="AC128" s="6">
        <f>AC7+AC18+AC29+AC40+AC51+AC62+AC73+AC84+AC95+AC106+AC117</f>
        <v>104468</v>
      </c>
      <c r="AD128" s="123">
        <f t="shared" si="1835"/>
        <v>7353443</v>
      </c>
      <c r="AE128" s="5">
        <f>AE7+AE18+AE29+AE40+AE51+AE62+AE73+AE84+AE95+AE106+AE117</f>
        <v>7157</v>
      </c>
      <c r="AF128" s="5">
        <f>AF7+AF18+AF29+AF40+AF51+AF62+AF73+AF84+AF95+AF106+AF117</f>
        <v>8594</v>
      </c>
      <c r="AG128" s="5">
        <f>AG7+AG18+AG29+AG40+AG51+AG62+AG73+AG84+AG95+AG106+AG117</f>
        <v>49517</v>
      </c>
      <c r="AH128" s="5">
        <f>AH7+AH18+AH29+AH40+AH51+AH62+AH73+AH84+AH95+AH106+AH117</f>
        <v>18</v>
      </c>
      <c r="AI128" s="5">
        <f>AI7+AI18+AI29+AI40+AI51+AI62+AI73+AI84+AI95+AI106+AI117</f>
        <v>0</v>
      </c>
      <c r="AJ128" s="5">
        <f>AJ7+AJ18+AJ29+AJ40+AJ51+AJ62+AJ73+AJ84+AJ95+AJ106+AJ117</f>
        <v>5102</v>
      </c>
      <c r="AK128" s="5">
        <f>AK7+AK18+AK29+AK40+AK51+AK62+AK73+AK84+AK95+AK106+AK117</f>
        <v>237050</v>
      </c>
      <c r="AL128" s="5">
        <f>AL7+AL18+AL29+AL40+AL51+AL62+AL73+AL84+AL95+AL106+AL117</f>
        <v>235579</v>
      </c>
      <c r="AM128" s="5">
        <f>AM7+AM18+AM29+AM40+AM51+AM62+AM73+AM84+AM95+AM106+AM117</f>
        <v>1102302</v>
      </c>
      <c r="AN128" s="5">
        <f>AN7+AN18+AN29+AN40+AN51+AN62+AN73+AN84+AN95+AN106+AN117</f>
        <v>59022</v>
      </c>
      <c r="AO128" s="16">
        <f>AO7+AO18+AO29+AO40+AO51+AO62+AO73+AO84+AO95+AO106+AO117</f>
        <v>667554</v>
      </c>
      <c r="AP128" s="5">
        <f>AP7+AP18+AP29+AP40+AP51+AP62+AP73+AP84+AP95+AP106+AP117</f>
        <v>4047141</v>
      </c>
      <c r="AQ128" s="6">
        <f>AQ7+AQ18+AQ29+AQ40+AQ51+AQ62+AQ73+AQ84+AQ95+AQ106+AQ117</f>
        <v>13058</v>
      </c>
      <c r="AR128" s="5">
        <f>AR7+AR18+AR29+AR40+AR51+AR62+AR73+AR84+AR95+AR106+AR117</f>
        <v>194859</v>
      </c>
      <c r="AS128" s="5">
        <f>AS7+AS18+AS29+AS40+AS51+AS62+AS73+AS84+AS95+AS106+AS117</f>
        <v>0</v>
      </c>
      <c r="AT128" s="5">
        <f>AT7+AT18+AT29+AT40+AT51+AT62+AT73+AT84+AT95+AT106+AT117</f>
        <v>0</v>
      </c>
      <c r="AU128" s="5">
        <f>AU7+AU18+AU29+AU40+AU51+AU62+AU73+AU84+AU95+AU106+AU117</f>
        <v>89788</v>
      </c>
      <c r="AV128" s="5">
        <f>AV7+AV18+AV29+AV40+AV51+AV62+AV73+AV84+AV95+AV106+AV117</f>
        <v>0</v>
      </c>
      <c r="AW128" s="5">
        <f>AW7+AW18+AW29+AW40+AW51+AW62+AW73+AW84+AW95+AW106+AW117</f>
        <v>3692</v>
      </c>
      <c r="AX128" s="5">
        <f>AX7+AX18+AX29+AX40+AX51+AX62+AX73+AX84+AX95+AX106+AX117</f>
        <v>2731</v>
      </c>
      <c r="AY128" s="5">
        <f>AY7+AY18+AY29+AY40+AY51+AY62+AY73+AY84+AY95+AY106+AY117</f>
        <v>565</v>
      </c>
      <c r="AZ128" s="5">
        <f>AZ7+AZ18+AZ29+AZ40+AZ51+AZ62+AZ73+AZ84+AZ95+AZ106+AZ117</f>
        <v>44129</v>
      </c>
      <c r="BA128" s="5">
        <f>BA7+BA18+BA29+BA40+BA51+BA62+BA73+BA84+BA95+BA106+BA117</f>
        <v>243458</v>
      </c>
      <c r="BB128" s="6">
        <f>BB7+BB18+BB29+BB40+BB51+BB62+BB73+BB84+BB95+BB106+BB117</f>
        <v>86943</v>
      </c>
      <c r="BC128" s="5">
        <f>BC7+BC18+BC29+BC40+BC51+BC62+BC73+BC84+BC95+BC106+BC117</f>
        <v>32240</v>
      </c>
      <c r="BD128" s="5">
        <f>BD7+BD18+BD29+BD40+BD51+BD62+BD73+BD84+BD95+BD106+BD117</f>
        <v>30762</v>
      </c>
      <c r="BE128" s="5">
        <f>BE7+BE18+BE29+BE40+BE51+BE62+BE73+BE84+BE95+BE106+BE117</f>
        <v>0</v>
      </c>
      <c r="BF128" s="5">
        <f>BF7+BF18+BF29+BF40+BF51+BF62+BF73+BF84+BF95+BF106+BF117</f>
        <v>35517</v>
      </c>
      <c r="BG128" s="11">
        <f>BG7+BG18+BG29+BG40+BG51+BG62+BG73+BG84+BG95+BG106+BG117</f>
        <v>13374753</v>
      </c>
      <c r="BH128" s="9">
        <f>BH7+BH18+BH29+BH40+BH51+BH62+BH73+BH84+BH95+BH106+BH117</f>
        <v>20571531</v>
      </c>
      <c r="BI128" s="127">
        <f>AD128+BH128</f>
        <v>27924974</v>
      </c>
      <c r="BJ128" s="5">
        <f>BJ7+BJ18+BJ29+BJ40+BJ51+BJ62+BJ73+BJ84+BJ95+BJ106+BJ117</f>
        <v>13303470</v>
      </c>
      <c r="BK128" s="51">
        <f>BK7+BK18+BK29+BK40+BK51+BK62+BK73+BK84+BK95+BK106+BK117</f>
        <v>14621504</v>
      </c>
      <c r="BL128" s="30">
        <f>'Upto Month COPPY'!N61-'Upto Month COPPY'!M61</f>
        <v>14621505</v>
      </c>
      <c r="BM128" s="30">
        <f t="shared" si="1836"/>
        <v>7268061</v>
      </c>
    </row>
    <row r="129" spans="1:65" ht="15.75" x14ac:dyDescent="0.25">
      <c r="A129" s="130"/>
      <c r="B129" s="185" t="s">
        <v>323</v>
      </c>
      <c r="C129" s="5">
        <f>C8+C19+C30+C41+C52+C63+C74+C85+C96+C107+C118</f>
        <v>4323271</v>
      </c>
      <c r="D129" s="5">
        <f>D8+D19+D30+D41+D52+D63+D74+D85+D96+D107+D118</f>
        <v>763751</v>
      </c>
      <c r="E129" s="5">
        <f>E8+E19+E30+E41+E52+E63+E74+E85+E96+E107+E118</f>
        <v>1457</v>
      </c>
      <c r="F129" s="5">
        <f>F8+F19+F30+F41+F52+F63+F74+F85+F96+F107+F118</f>
        <v>457203</v>
      </c>
      <c r="G129" s="5">
        <f>G8+G19+G30+G41+G52+G63+G74+G85+G96+G107+G118</f>
        <v>230854</v>
      </c>
      <c r="H129" s="5">
        <f>H8+H19+H30+H41+H52+H63+H74+H85+H96+H107+H118</f>
        <v>633871</v>
      </c>
      <c r="I129" s="5">
        <f>I8+I19+I30+I41+I52+I63+I74+I85+I96+I107+I118</f>
        <v>0</v>
      </c>
      <c r="J129" s="5">
        <f>J8+J19+J30+J41+J52+J63+J74+J85+J96+J107+J118</f>
        <v>354317</v>
      </c>
      <c r="K129" s="5">
        <f>K8+K19+K30+K41+K52+K63+K74+K85+K96+K107+K118</f>
        <v>2095</v>
      </c>
      <c r="L129" s="5">
        <f>L8+L19+L30+L41+L52+L63+L74+L85+L96+L107+L118</f>
        <v>54506</v>
      </c>
      <c r="M129" s="5">
        <f>M8+M19+M30+M41+M52+M63+M74+M85+M96+M107+M118</f>
        <v>198441</v>
      </c>
      <c r="N129" s="5">
        <f>N8+N19+N30+N41+N52+N63+N74+N85+N96+N107+N118</f>
        <v>2016</v>
      </c>
      <c r="O129" s="5">
        <f>O8+O19+O30+O41+O52+O63+O74+O85+O96+O107+O118</f>
        <v>7706</v>
      </c>
      <c r="P129" s="5">
        <f>P8+P19+P30+P41+P52+P63+P74+P85+P96+P107+P118</f>
        <v>223879</v>
      </c>
      <c r="Q129" s="5">
        <f>Q8+Q19+Q30+Q41+Q52+Q63+Q74+Q85+Q96+Q107+Q118</f>
        <v>0</v>
      </c>
      <c r="R129" s="5">
        <f>R8+R19+R30+R41+R52+R63+R74+R85+R96+R107+R118</f>
        <v>6755</v>
      </c>
      <c r="S129" s="5">
        <f>S8+S19+S30+S41+S52+S63+S74+S85+S96+S107+S118</f>
        <v>163549</v>
      </c>
      <c r="T129" s="5">
        <f>T8+T19+T30+T41+T52+T63+T74+T85+T96+T107+T118</f>
        <v>129918</v>
      </c>
      <c r="U129" s="5">
        <f>U8+U19+U30+U41+U52+U63+U74+U85+U96+U107+U118</f>
        <v>0</v>
      </c>
      <c r="V129" s="16">
        <f>V8+V19+V30+V41+V52+V63+V74+V85+V96+V107+V118</f>
        <v>57201</v>
      </c>
      <c r="W129" s="5">
        <f>W8+W19+W30+W41+W52+W63+W74+W85+W96+W107+W118</f>
        <v>0</v>
      </c>
      <c r="X129" s="5">
        <f>X8+X19+X30+X41+X52+X63+X74+X85+X96+X107+X118</f>
        <v>0</v>
      </c>
      <c r="Y129" s="5">
        <f>Y8+Y19+Y30+Y41+Y52+Y63+Y74+Y85+Y96+Y107+Y118</f>
        <v>20624</v>
      </c>
      <c r="Z129" s="5">
        <f>Z8+Z19+Z30+Z41+Z52+Z63+Z74+Z85+Z96+Z107+Z118</f>
        <v>2135</v>
      </c>
      <c r="AA129" s="5">
        <f>AA8+AA19+AA30+AA41+AA52+AA63+AA74+AA85+AA96+AA107+AA118</f>
        <v>2835</v>
      </c>
      <c r="AB129" s="5">
        <f>AB8+AB19+AB30+AB41+AB52+AB63+AB74+AB85+AB96+AB107+AB118</f>
        <v>1486</v>
      </c>
      <c r="AC129" s="6">
        <f>AC8+AC19+AC30+AC41+AC52+AC63+AC74+AC85+AC96+AC107+AC118</f>
        <v>224124</v>
      </c>
      <c r="AD129" s="123">
        <f t="shared" si="1835"/>
        <v>7861994</v>
      </c>
      <c r="AE129" s="5">
        <f>AE8+AE19+AE30+AE41+AE52+AE63+AE74+AE85+AE96+AE107+AE118</f>
        <v>5106</v>
      </c>
      <c r="AF129" s="5">
        <f>AF8+AF19+AF30+AF41+AF52+AF63+AF74+AF85+AF96+AF107+AF118</f>
        <v>2623</v>
      </c>
      <c r="AG129" s="5">
        <f>AG8+AG19+AG30+AG41+AG52+AG63+AG74+AG85+AG96+AG107+AG118</f>
        <v>48990</v>
      </c>
      <c r="AH129" s="5">
        <f>AH8+AH19+AH30+AH41+AH52+AH63+AH74+AH85+AH96+AH107+AH118</f>
        <v>0</v>
      </c>
      <c r="AI129" s="5">
        <f>AI8+AI19+AI30+AI41+AI52+AI63+AI74+AI85+AI96+AI107+AI118</f>
        <v>0</v>
      </c>
      <c r="AJ129" s="5">
        <f>AJ8+AJ19+AJ30+AJ41+AJ52+AJ63+AJ74+AJ85+AJ96+AJ107+AJ118</f>
        <v>1524</v>
      </c>
      <c r="AK129" s="5">
        <f>AK8+AK19+AK30+AK41+AK52+AK63+AK74+AK85+AK96+AK107+AK118</f>
        <v>382013</v>
      </c>
      <c r="AL129" s="5">
        <f>AL8+AL19+AL30+AL41+AL52+AL63+AL74+AL85+AL96+AL107+AL118</f>
        <v>103174</v>
      </c>
      <c r="AM129" s="5">
        <f>AM8+AM19+AM30+AM41+AM52+AM63+AM74+AM85+AM96+AM107+AM118</f>
        <v>1458895</v>
      </c>
      <c r="AN129" s="5">
        <f>AN8+AN19+AN30+AN41+AN52+AN63+AN74+AN85+AN96+AN107+AN118</f>
        <v>37923</v>
      </c>
      <c r="AO129" s="16">
        <f>AO8+AO19+AO30+AO41+AO52+AO63+AO74+AO85+AO96+AO107+AO118</f>
        <v>417274</v>
      </c>
      <c r="AP129" s="5">
        <f>AP8+AP19+AP30+AP41+AP52+AP63+AP74+AP85+AP96+AP107+AP118</f>
        <v>4538715</v>
      </c>
      <c r="AQ129" s="6">
        <f>AQ8+AQ19+AQ30+AQ41+AQ52+AQ63+AQ74+AQ85+AQ96+AQ107+AQ118</f>
        <v>58959</v>
      </c>
      <c r="AR129" s="5">
        <f>AR8+AR19+AR30+AR41+AR52+AR63+AR74+AR85+AR96+AR107+AR118</f>
        <v>338211</v>
      </c>
      <c r="AS129" s="5">
        <f>AS8+AS19+AS30+AS41+AS52+AS63+AS74+AS85+AS96+AS107+AS118</f>
        <v>0</v>
      </c>
      <c r="AT129" s="5">
        <f>AT8+AT19+AT30+AT41+AT52+AT63+AT74+AT85+AT96+AT107+AT118</f>
        <v>0</v>
      </c>
      <c r="AU129" s="5">
        <f>AU8+AU19+AU30+AU41+AU52+AU63+AU74+AU85+AU96+AU107+AU118</f>
        <v>140459</v>
      </c>
      <c r="AV129" s="5">
        <f>AV8+AV19+AV30+AV41+AV52+AV63+AV74+AV85+AV96+AV107+AV118</f>
        <v>0</v>
      </c>
      <c r="AW129" s="5">
        <f>AW8+AW19+AW30+AW41+AW52+AW63+AW74+AW85+AW96+AW107+AW118</f>
        <v>2421</v>
      </c>
      <c r="AX129" s="5">
        <f>AX8+AX19+AX30+AX41+AX52+AX63+AX74+AX85+AX96+AX107+AX118</f>
        <v>2238</v>
      </c>
      <c r="AY129" s="5">
        <f>AY8+AY19+AY30+AY41+AY52+AY63+AY74+AY85+AY96+AY107+AY118</f>
        <v>1408</v>
      </c>
      <c r="AZ129" s="5">
        <f>AZ8+AZ19+AZ30+AZ41+AZ52+AZ63+AZ74+AZ85+AZ96+AZ107+AZ118</f>
        <v>243459</v>
      </c>
      <c r="BA129" s="5">
        <f>BA8+BA19+BA30+BA41+BA52+BA63+BA74+BA85+BA96+BA107+BA118</f>
        <v>123997</v>
      </c>
      <c r="BB129" s="6">
        <f>BB8+BB19+BB30+BB41+BB52+BB63+BB74+BB85+BB96+BB107+BB118</f>
        <v>199351</v>
      </c>
      <c r="BC129" s="5">
        <f>BC8+BC19+BC30+BC41+BC52+BC63+BC74+BC85+BC96+BC107+BC118</f>
        <v>21167</v>
      </c>
      <c r="BD129" s="5">
        <f>BD8+BD19+BD30+BD41+BD52+BD63+BD74+BD85+BD96+BD107+BD118</f>
        <v>21167</v>
      </c>
      <c r="BE129" s="5">
        <f>BE8+BE19+BE30+BE41+BE52+BE63+BE74+BE85+BE96+BE107+BE118</f>
        <v>0</v>
      </c>
      <c r="BF129" s="5">
        <f>BF8+BF19+BF30+BF41+BF52+BF63+BF74+BF85+BF96+BF107+BF118</f>
        <v>19212</v>
      </c>
      <c r="BG129" s="5">
        <f>BG8+BG19+BG30+BG41+BG52+BG63+BG74+BG85+BG96+BG107+BG118</f>
        <v>14132502</v>
      </c>
      <c r="BH129" s="16">
        <f>BH8+BH19+BH30+BH41+BH52+BH63+BH74+BH85+BH96+BH107+BH118</f>
        <v>22300788</v>
      </c>
      <c r="BI129" s="127">
        <f>AD129+BH129</f>
        <v>30162782</v>
      </c>
      <c r="BJ129" s="5">
        <f>BJ8+BJ19+BJ30+BJ41+BJ52+BJ63+BJ74+BJ85+BJ96+BJ107+BJ118</f>
        <v>14034240</v>
      </c>
      <c r="BK129" s="51">
        <f>BK8+BK19+BK30+BK41+BK52+BK63+BK74+BK85+BK96+BK107+BK118</f>
        <v>16128542</v>
      </c>
      <c r="BL129" s="30">
        <f>'Upto Month Current'!N61-'Upto Month Current'!M61</f>
        <v>16128546</v>
      </c>
      <c r="BM129" s="30">
        <f t="shared" si="1836"/>
        <v>8266548</v>
      </c>
    </row>
    <row r="130" spans="1:65" ht="15.75" x14ac:dyDescent="0.25">
      <c r="A130" s="130"/>
      <c r="B130" s="5" t="s">
        <v>132</v>
      </c>
      <c r="C130" s="11">
        <f>C129-C127</f>
        <v>-193739.1799999997</v>
      </c>
      <c r="D130" s="11">
        <f t="shared" ref="D130" si="1837">D129-D127</f>
        <v>-49816.239999999991</v>
      </c>
      <c r="E130" s="11">
        <f t="shared" ref="E130" si="1838">E129-E127</f>
        <v>1457</v>
      </c>
      <c r="F130" s="11">
        <f t="shared" ref="F130" si="1839">F129-F127</f>
        <v>-57683.580000000016</v>
      </c>
      <c r="G130" s="11">
        <f t="shared" ref="G130" si="1840">G129-G127</f>
        <v>-35918.239999999991</v>
      </c>
      <c r="H130" s="11">
        <f t="shared" ref="H130" si="1841">H129-H127</f>
        <v>111901.77999999997</v>
      </c>
      <c r="I130" s="11">
        <f t="shared" ref="I130" si="1842">I129-I127</f>
        <v>0</v>
      </c>
      <c r="J130" s="11">
        <f t="shared" ref="J130" si="1843">J129-J127</f>
        <v>-2560.0000000000582</v>
      </c>
      <c r="K130" s="11">
        <f t="shared" ref="K130" si="1844">K129-K127</f>
        <v>-19047.079999999998</v>
      </c>
      <c r="L130" s="11">
        <f t="shared" ref="L130" si="1845">L129-L127</f>
        <v>-40859.619999999995</v>
      </c>
      <c r="M130" s="11">
        <f t="shared" ref="M130" si="1846">M129-M127</f>
        <v>-71465.219999999972</v>
      </c>
      <c r="N130" s="11">
        <f t="shared" ref="N130" si="1847">N129-N127</f>
        <v>-2680.5599999999995</v>
      </c>
      <c r="O130" s="11">
        <f t="shared" ref="O130" si="1848">O129-O127</f>
        <v>-9045.7000000000007</v>
      </c>
      <c r="P130" s="11">
        <f t="shared" ref="P130" si="1849">P129-P127</f>
        <v>57754.299999999988</v>
      </c>
      <c r="Q130" s="11">
        <f t="shared" ref="Q130" si="1850">Q129-Q127</f>
        <v>0</v>
      </c>
      <c r="R130" s="11">
        <f t="shared" ref="R130" si="1851">R129-R127</f>
        <v>-7795.3000000000011</v>
      </c>
      <c r="S130" s="11">
        <f t="shared" ref="S130" si="1852">S129-S127</f>
        <v>-192577.40000000002</v>
      </c>
      <c r="T130" s="11">
        <f t="shared" ref="T130:U130" si="1853">T129-T127</f>
        <v>-19748.760000000009</v>
      </c>
      <c r="U130" s="11">
        <f t="shared" si="1853"/>
        <v>0</v>
      </c>
      <c r="V130" s="9">
        <f t="shared" ref="V130" si="1854">V129-V127</f>
        <v>-4896.4800000000032</v>
      </c>
      <c r="W130" s="11">
        <f t="shared" ref="W130" si="1855">W129-W127</f>
        <v>-180.72000000000003</v>
      </c>
      <c r="X130" s="11">
        <f t="shared" ref="X130" si="1856">X129-X127</f>
        <v>-73.080000000000013</v>
      </c>
      <c r="Y130" s="11">
        <f t="shared" ref="Y130" si="1857">Y129-Y127</f>
        <v>15854.54</v>
      </c>
      <c r="Z130" s="11">
        <f t="shared" ref="Z130" si="1858">Z129-Z127</f>
        <v>1586.18</v>
      </c>
      <c r="AA130" s="11">
        <f t="shared" ref="AA130:AD130" si="1859">AA129-AA127</f>
        <v>1498.6799999999998</v>
      </c>
      <c r="AB130" s="11">
        <f t="shared" ref="AB130" si="1860">AB129-AB127</f>
        <v>-6745.4</v>
      </c>
      <c r="AC130" s="10">
        <f t="shared" si="1859"/>
        <v>-15600.180000000022</v>
      </c>
      <c r="AD130" s="11">
        <f t="shared" si="1859"/>
        <v>-540380.26000000164</v>
      </c>
      <c r="AE130" s="11">
        <f t="shared" ref="AE130" si="1861">AE129-AE127</f>
        <v>-5015.2199999999993</v>
      </c>
      <c r="AF130" s="11">
        <f t="shared" ref="AF130" si="1862">AF129-AF127</f>
        <v>-4460.1800000000012</v>
      </c>
      <c r="AG130" s="11">
        <f t="shared" ref="AG130" si="1863">AG129-AG127</f>
        <v>36111.72</v>
      </c>
      <c r="AH130" s="11">
        <f t="shared" ref="AH130" si="1864">AH129-AH127</f>
        <v>0</v>
      </c>
      <c r="AI130" s="11">
        <f t="shared" ref="AI130" si="1865">AI129-AI127</f>
        <v>0</v>
      </c>
      <c r="AJ130" s="11">
        <f t="shared" ref="AJ130" si="1866">AJ129-AJ127</f>
        <v>-2481.0000000000009</v>
      </c>
      <c r="AK130" s="11">
        <f t="shared" ref="AK130" si="1867">AK129-AK127</f>
        <v>137081.41999999998</v>
      </c>
      <c r="AL130" s="11">
        <f t="shared" ref="AL130" si="1868">AL129-AL127</f>
        <v>-94072.340000000026</v>
      </c>
      <c r="AM130" s="11">
        <f t="shared" ref="AM130" si="1869">AM129-AM127</f>
        <v>73785.279999999795</v>
      </c>
      <c r="AN130" s="11">
        <f t="shared" ref="AN130" si="1870">AN129-AN127</f>
        <v>14258.04</v>
      </c>
      <c r="AO130" s="9">
        <f t="shared" ref="AO130" si="1871">AO129-AO127</f>
        <v>-130903.40000000002</v>
      </c>
      <c r="AP130" s="11">
        <f t="shared" ref="AP130" si="1872">AP129-AP127</f>
        <v>-467451.23999999929</v>
      </c>
      <c r="AQ130" s="10">
        <f t="shared" ref="AQ130" si="1873">AQ129-AQ127</f>
        <v>32682.600000000002</v>
      </c>
      <c r="AR130" s="11">
        <f t="shared" ref="AR130" si="1874">AR129-AR127</f>
        <v>196108.91999999998</v>
      </c>
      <c r="AS130" s="11">
        <f t="shared" ref="AS130" si="1875">AS129-AS127</f>
        <v>0</v>
      </c>
      <c r="AT130" s="11">
        <f t="shared" ref="AT130" si="1876">AT129-AT127</f>
        <v>0</v>
      </c>
      <c r="AU130" s="11">
        <f t="shared" ref="AU130" si="1877">AU129-AU127</f>
        <v>77772.02</v>
      </c>
      <c r="AV130" s="11">
        <f t="shared" ref="AV130" si="1878">AV129-AV127</f>
        <v>0</v>
      </c>
      <c r="AW130" s="11">
        <f t="shared" ref="AW130" si="1879">AW129-AW127</f>
        <v>-2357.2800000000007</v>
      </c>
      <c r="AX130" s="11">
        <f t="shared" ref="AX130" si="1880">AX129-AX127</f>
        <v>-1026.8400000000001</v>
      </c>
      <c r="AY130" s="11">
        <f t="shared" ref="AY130" si="1881">AY129-AY127</f>
        <v>-13.460000000000036</v>
      </c>
      <c r="AZ130" s="11">
        <f t="shared" ref="AZ130" si="1882">AZ129-AZ127</f>
        <v>186340.68</v>
      </c>
      <c r="BA130" s="11">
        <f t="shared" ref="BA130" si="1883">BA129-BA127</f>
        <v>26597.199999999997</v>
      </c>
      <c r="BB130" s="10">
        <f t="shared" ref="BB130" si="1884">BB129-BB127</f>
        <v>62191.179999999993</v>
      </c>
      <c r="BC130" s="11">
        <f t="shared" ref="BC130" si="1885">BC129-BC127</f>
        <v>-5618.9800000000068</v>
      </c>
      <c r="BD130" s="11">
        <f t="shared" ref="BD130" si="1886">BD129-BD127</f>
        <v>-5619.3400000000074</v>
      </c>
      <c r="BE130" s="11">
        <f t="shared" ref="BE130" si="1887">BE129-BE127</f>
        <v>-46.620000000000005</v>
      </c>
      <c r="BF130" s="11">
        <f t="shared" ref="BF130" si="1888">BF129-BF127</f>
        <v>-4109.34</v>
      </c>
      <c r="BG130" s="11">
        <f t="shared" ref="BG130" si="1889">BG129-BG127</f>
        <v>1855263.8800000008</v>
      </c>
      <c r="BH130" s="9">
        <f t="shared" ref="BH130:BI130" si="1890">BH129-BH127</f>
        <v>1975017.6999999993</v>
      </c>
      <c r="BI130" s="45">
        <f t="shared" si="1890"/>
        <v>1434637.4399999976</v>
      </c>
      <c r="BJ130" s="11">
        <f t="shared" ref="BJ130" si="1891">BJ129-BJ127</f>
        <v>1840547.5</v>
      </c>
      <c r="BK130" s="51">
        <f t="shared" ref="BK130" si="1892">BK129-BK127</f>
        <v>-405910.06000000052</v>
      </c>
      <c r="BM130" s="30">
        <f t="shared" si="1836"/>
        <v>134470.20000000112</v>
      </c>
    </row>
    <row r="131" spans="1:65" ht="15.75" x14ac:dyDescent="0.25">
      <c r="A131" s="130"/>
      <c r="B131" s="5" t="s">
        <v>133</v>
      </c>
      <c r="C131" s="13">
        <f>C130/C127</f>
        <v>-4.2891021334824558E-2</v>
      </c>
      <c r="D131" s="13">
        <f t="shared" ref="D131" si="1893">D130/D127</f>
        <v>-6.123186572753346E-2</v>
      </c>
      <c r="E131" s="13" t="e">
        <f t="shared" ref="E131" si="1894">E130/E127</f>
        <v>#DIV/0!</v>
      </c>
      <c r="F131" s="13">
        <f t="shared" ref="F131" si="1895">F130/F127</f>
        <v>-0.1120316245181609</v>
      </c>
      <c r="G131" s="13">
        <f t="shared" ref="G131" si="1896">G130/G127</f>
        <v>-0.1346400959859991</v>
      </c>
      <c r="H131" s="13">
        <f t="shared" ref="H131" si="1897">H130/H127</f>
        <v>0.21438386730926387</v>
      </c>
      <c r="I131" s="13" t="e">
        <f t="shared" ref="I131" si="1898">I130/I127</f>
        <v>#DIV/0!</v>
      </c>
      <c r="J131" s="13">
        <f t="shared" ref="J131" si="1899">J130/J127</f>
        <v>-7.1733398341727204E-3</v>
      </c>
      <c r="K131" s="13">
        <f t="shared" ref="K131" si="1900">K130/K127</f>
        <v>-0.90090851988073073</v>
      </c>
      <c r="L131" s="13">
        <f t="shared" ref="L131" si="1901">L130/L127</f>
        <v>-0.42845230807496454</v>
      </c>
      <c r="M131" s="13">
        <f t="shared" ref="M131" si="1902">M130/M127</f>
        <v>-0.26477796621359811</v>
      </c>
      <c r="N131" s="13">
        <f t="shared" ref="N131" si="1903">N130/N127</f>
        <v>-0.57074965506668707</v>
      </c>
      <c r="O131" s="13">
        <f t="shared" ref="O131" si="1904">O130/O127</f>
        <v>-0.53998698639541065</v>
      </c>
      <c r="P131" s="13">
        <f t="shared" ref="P131" si="1905">P130/P127</f>
        <v>0.34765630878490666</v>
      </c>
      <c r="Q131" s="13" t="e">
        <f t="shared" ref="Q131" si="1906">Q130/Q127</f>
        <v>#DIV/0!</v>
      </c>
      <c r="R131" s="13">
        <f t="shared" ref="R131" si="1907">R130/R127</f>
        <v>-0.53574840381297983</v>
      </c>
      <c r="S131" s="13">
        <f t="shared" ref="S131" si="1908">S130/S127</f>
        <v>-0.54075575413673349</v>
      </c>
      <c r="T131" s="13">
        <f t="shared" ref="T131:U131" si="1909">T130/T127</f>
        <v>-0.13195154354914884</v>
      </c>
      <c r="U131" s="13" t="e">
        <f t="shared" si="1909"/>
        <v>#DIV/0!</v>
      </c>
      <c r="V131" s="165">
        <f t="shared" ref="V131" si="1910">V130/V127</f>
        <v>-7.885150895012169E-2</v>
      </c>
      <c r="W131" s="13">
        <f t="shared" ref="W131" si="1911">W130/W127</f>
        <v>-1</v>
      </c>
      <c r="X131" s="13">
        <f t="shared" ref="X131" si="1912">X130/X127</f>
        <v>-1</v>
      </c>
      <c r="Y131" s="13">
        <f t="shared" ref="Y131" si="1913">Y130/Y127</f>
        <v>3.3241792571905417</v>
      </c>
      <c r="Z131" s="13">
        <f t="shared" ref="Z131" si="1914">Z130/Z127</f>
        <v>2.8901643526110568</v>
      </c>
      <c r="AA131" s="13">
        <f t="shared" ref="AA131:AD131" si="1915">AA130/AA127</f>
        <v>1.1214978448275859</v>
      </c>
      <c r="AB131" s="13">
        <f t="shared" ref="AB131" si="1916">AB130/AB127</f>
        <v>-0.81947177879826028</v>
      </c>
      <c r="AC131" s="14">
        <f t="shared" si="1915"/>
        <v>-6.507553806211798E-2</v>
      </c>
      <c r="AD131" s="13">
        <f t="shared" si="1915"/>
        <v>-6.4312805318910121E-2</v>
      </c>
      <c r="AE131" s="13">
        <f t="shared" ref="AE131" si="1917">AE130/AE127</f>
        <v>-0.49551536277247205</v>
      </c>
      <c r="AF131" s="13">
        <f t="shared" ref="AF131" si="1918">AF130/AF127</f>
        <v>-0.62968610144031356</v>
      </c>
      <c r="AG131" s="13">
        <f t="shared" ref="AG131" si="1919">AG130/AG127</f>
        <v>2.8040794267557478</v>
      </c>
      <c r="AH131" s="13" t="e">
        <f t="shared" ref="AH131" si="1920">AH130/AH127</f>
        <v>#DIV/0!</v>
      </c>
      <c r="AI131" s="13" t="e">
        <f t="shared" ref="AI131" si="1921">AI130/AI127</f>
        <v>#DIV/0!</v>
      </c>
      <c r="AJ131" s="13">
        <f t="shared" ref="AJ131" si="1922">AJ130/AJ127</f>
        <v>-0.6194756554307117</v>
      </c>
      <c r="AK131" s="13">
        <f t="shared" ref="AK131" si="1923">AK130/AK127</f>
        <v>0.55967229705536536</v>
      </c>
      <c r="AL131" s="13">
        <f t="shared" ref="AL131" si="1924">AL130/AL127</f>
        <v>-0.47692819040393863</v>
      </c>
      <c r="AM131" s="13">
        <f t="shared" ref="AM131" si="1925">AM130/AM127</f>
        <v>5.3270350308421623E-2</v>
      </c>
      <c r="AN131" s="13">
        <f t="shared" ref="AN131" si="1926">AN130/AN127</f>
        <v>0.60249584195367334</v>
      </c>
      <c r="AO131" s="165">
        <f t="shared" ref="AO131" si="1927">AO130/AO127</f>
        <v>-0.23879751335972629</v>
      </c>
      <c r="AP131" s="13">
        <f t="shared" ref="AP131" si="1928">AP130/AP127</f>
        <v>-9.3375093352872626E-2</v>
      </c>
      <c r="AQ131" s="14">
        <f t="shared" ref="AQ131" si="1929">AQ130/AQ127</f>
        <v>1.2438005206192631</v>
      </c>
      <c r="AR131" s="13">
        <f t="shared" ref="AR131" si="1930">AR130/AR127</f>
        <v>1.3800566466022171</v>
      </c>
      <c r="AS131" s="13" t="e">
        <f t="shared" ref="AS131" si="1931">AS130/AS127</f>
        <v>#DIV/0!</v>
      </c>
      <c r="AT131" s="13" t="e">
        <f t="shared" ref="AT131" si="1932">AT130/AT127</f>
        <v>#DIV/0!</v>
      </c>
      <c r="AU131" s="13">
        <f t="shared" ref="AU131" si="1933">AU130/AU127</f>
        <v>1.2406407199708778</v>
      </c>
      <c r="AV131" s="13" t="e">
        <f t="shared" ref="AV131" si="1934">AV130/AV127</f>
        <v>#DIV/0!</v>
      </c>
      <c r="AW131" s="13">
        <f t="shared" ref="AW131" si="1935">AW130/AW127</f>
        <v>-0.49333232878776473</v>
      </c>
      <c r="AX131" s="13">
        <f t="shared" ref="AX131" si="1936">AX130/AX127</f>
        <v>-0.31451464696585441</v>
      </c>
      <c r="AY131" s="13">
        <f t="shared" ref="AY131" si="1937">AY130/AY127</f>
        <v>-9.4691373658070122E-3</v>
      </c>
      <c r="AZ131" s="13">
        <f t="shared" ref="AZ131" si="1938">AZ130/AZ127</f>
        <v>3.2623627585685289</v>
      </c>
      <c r="BA131" s="13">
        <f t="shared" ref="BA131" si="1939">BA130/BA127</f>
        <v>0.27307242930683634</v>
      </c>
      <c r="BB131" s="14">
        <f t="shared" ref="BB131" si="1940">BB130/BB127</f>
        <v>0.45342127162313273</v>
      </c>
      <c r="BC131" s="13">
        <f t="shared" ref="BC131" si="1941">BC130/BC127</f>
        <v>-0.20977317238346349</v>
      </c>
      <c r="BD131" s="13">
        <f t="shared" ref="BD131" si="1942">BD130/BD127</f>
        <v>-0.20978379278393411</v>
      </c>
      <c r="BE131" s="13">
        <f t="shared" ref="BE131" si="1943">BE130/BE127</f>
        <v>-1</v>
      </c>
      <c r="BF131" s="13">
        <f t="shared" ref="BF131" si="1944">BF130/BF127</f>
        <v>-0.1762051408709791</v>
      </c>
      <c r="BG131" s="13">
        <f t="shared" ref="BG131" si="1945">BG130/BG127</f>
        <v>0.15111410741294648</v>
      </c>
      <c r="BH131" s="165">
        <f t="shared" ref="BH131:BI131" si="1946">BH130/BH127</f>
        <v>9.7168159968825343E-2</v>
      </c>
      <c r="BI131" s="46">
        <f t="shared" si="1946"/>
        <v>4.9938395325312211E-2</v>
      </c>
      <c r="BJ131" s="13">
        <f t="shared" ref="BJ131" si="1947">BJ130/BJ127</f>
        <v>0.15094258773542141</v>
      </c>
      <c r="BK131" s="52">
        <f t="shared" ref="BK131" si="1948">BK130/BK127</f>
        <v>-2.4549350563722309E-2</v>
      </c>
      <c r="BM131" s="165">
        <f t="shared" ref="BM131" si="1949">BM130/BM127</f>
        <v>1.6535773919920088E-2</v>
      </c>
    </row>
    <row r="132" spans="1:65" ht="15.75" x14ac:dyDescent="0.25">
      <c r="A132" s="130"/>
      <c r="B132" s="5" t="s">
        <v>134</v>
      </c>
      <c r="C132" s="11">
        <f>C129-C128</f>
        <v>76330</v>
      </c>
      <c r="D132" s="11">
        <f t="shared" ref="D132:BK132" si="1950">D129-D128</f>
        <v>22586</v>
      </c>
      <c r="E132" s="11">
        <f t="shared" si="1950"/>
        <v>-1540</v>
      </c>
      <c r="F132" s="11">
        <f t="shared" si="1950"/>
        <v>19795</v>
      </c>
      <c r="G132" s="11">
        <f t="shared" si="1950"/>
        <v>3925</v>
      </c>
      <c r="H132" s="11">
        <f t="shared" si="1950"/>
        <v>36834</v>
      </c>
      <c r="I132" s="11">
        <f t="shared" si="1950"/>
        <v>0</v>
      </c>
      <c r="J132" s="11">
        <f t="shared" si="1950"/>
        <v>45425</v>
      </c>
      <c r="K132" s="11">
        <f t="shared" si="1950"/>
        <v>-2265</v>
      </c>
      <c r="L132" s="11">
        <f t="shared" si="1950"/>
        <v>-37014</v>
      </c>
      <c r="M132" s="11">
        <f t="shared" si="1950"/>
        <v>28215</v>
      </c>
      <c r="N132" s="11">
        <f t="shared" si="1950"/>
        <v>-658</v>
      </c>
      <c r="O132" s="11">
        <f t="shared" si="1950"/>
        <v>-64</v>
      </c>
      <c r="P132" s="11">
        <f t="shared" si="1950"/>
        <v>58296</v>
      </c>
      <c r="Q132" s="11">
        <f t="shared" si="1950"/>
        <v>0</v>
      </c>
      <c r="R132" s="11">
        <f t="shared" si="1950"/>
        <v>4354</v>
      </c>
      <c r="S132" s="11">
        <f t="shared" si="1950"/>
        <v>125197</v>
      </c>
      <c r="T132" s="11">
        <f t="shared" si="1950"/>
        <v>-2260</v>
      </c>
      <c r="U132" s="11">
        <f t="shared" ref="U132" si="1951">U129-U128</f>
        <v>-244</v>
      </c>
      <c r="V132" s="9">
        <f t="shared" si="1950"/>
        <v>-2359</v>
      </c>
      <c r="W132" s="11">
        <f t="shared" si="1950"/>
        <v>-314</v>
      </c>
      <c r="X132" s="11">
        <f t="shared" si="1950"/>
        <v>0</v>
      </c>
      <c r="Y132" s="11">
        <f t="shared" si="1950"/>
        <v>11031</v>
      </c>
      <c r="Z132" s="11">
        <f t="shared" si="1950"/>
        <v>171</v>
      </c>
      <c r="AA132" s="11">
        <f t="shared" si="1950"/>
        <v>1968</v>
      </c>
      <c r="AB132" s="11">
        <f t="shared" ref="AB132" si="1952">AB129-AB128</f>
        <v>1486</v>
      </c>
      <c r="AC132" s="10">
        <f t="shared" ref="AC132:AD132" si="1953">AC129-AC128</f>
        <v>119656</v>
      </c>
      <c r="AD132" s="11">
        <f t="shared" si="1953"/>
        <v>508551</v>
      </c>
      <c r="AE132" s="11">
        <f t="shared" si="1950"/>
        <v>-2051</v>
      </c>
      <c r="AF132" s="11">
        <f t="shared" si="1950"/>
        <v>-5971</v>
      </c>
      <c r="AG132" s="11">
        <f t="shared" si="1950"/>
        <v>-527</v>
      </c>
      <c r="AH132" s="11">
        <f t="shared" si="1950"/>
        <v>-18</v>
      </c>
      <c r="AI132" s="11">
        <f t="shared" si="1950"/>
        <v>0</v>
      </c>
      <c r="AJ132" s="11">
        <f t="shared" si="1950"/>
        <v>-3578</v>
      </c>
      <c r="AK132" s="11">
        <f t="shared" si="1950"/>
        <v>144963</v>
      </c>
      <c r="AL132" s="11">
        <f t="shared" si="1950"/>
        <v>-132405</v>
      </c>
      <c r="AM132" s="11">
        <f t="shared" si="1950"/>
        <v>356593</v>
      </c>
      <c r="AN132" s="11">
        <f t="shared" si="1950"/>
        <v>-21099</v>
      </c>
      <c r="AO132" s="9">
        <f t="shared" si="1950"/>
        <v>-250280</v>
      </c>
      <c r="AP132" s="11">
        <f t="shared" si="1950"/>
        <v>491574</v>
      </c>
      <c r="AQ132" s="10">
        <f t="shared" si="1950"/>
        <v>45901</v>
      </c>
      <c r="AR132" s="11">
        <f t="shared" si="1950"/>
        <v>143352</v>
      </c>
      <c r="AS132" s="11">
        <f t="shared" si="1950"/>
        <v>0</v>
      </c>
      <c r="AT132" s="11">
        <f t="shared" si="1950"/>
        <v>0</v>
      </c>
      <c r="AU132" s="11">
        <f t="shared" si="1950"/>
        <v>50671</v>
      </c>
      <c r="AV132" s="11">
        <f t="shared" si="1950"/>
        <v>0</v>
      </c>
      <c r="AW132" s="11">
        <f t="shared" si="1950"/>
        <v>-1271</v>
      </c>
      <c r="AX132" s="11">
        <f t="shared" si="1950"/>
        <v>-493</v>
      </c>
      <c r="AY132" s="11">
        <f t="shared" si="1950"/>
        <v>843</v>
      </c>
      <c r="AZ132" s="11">
        <f t="shared" si="1950"/>
        <v>199330</v>
      </c>
      <c r="BA132" s="11">
        <f t="shared" si="1950"/>
        <v>-119461</v>
      </c>
      <c r="BB132" s="10">
        <f t="shared" si="1950"/>
        <v>112408</v>
      </c>
      <c r="BC132" s="11">
        <f t="shared" si="1950"/>
        <v>-11073</v>
      </c>
      <c r="BD132" s="11">
        <f t="shared" si="1950"/>
        <v>-9595</v>
      </c>
      <c r="BE132" s="11">
        <f t="shared" si="1950"/>
        <v>0</v>
      </c>
      <c r="BF132" s="11">
        <f t="shared" si="1950"/>
        <v>-16305</v>
      </c>
      <c r="BG132" s="11">
        <f t="shared" si="1950"/>
        <v>757749</v>
      </c>
      <c r="BH132" s="9">
        <f t="shared" si="1950"/>
        <v>1729257</v>
      </c>
      <c r="BI132" s="45">
        <f t="shared" si="1950"/>
        <v>2237808</v>
      </c>
      <c r="BJ132" s="11">
        <f t="shared" si="1950"/>
        <v>730770</v>
      </c>
      <c r="BK132" s="51">
        <f t="shared" si="1950"/>
        <v>1507038</v>
      </c>
      <c r="BM132" s="30">
        <f t="shared" si="1836"/>
        <v>998487</v>
      </c>
    </row>
    <row r="133" spans="1:65" ht="15.75" x14ac:dyDescent="0.25">
      <c r="A133" s="130"/>
      <c r="B133" s="5" t="s">
        <v>135</v>
      </c>
      <c r="C133" s="13">
        <f>C132/C128</f>
        <v>1.7972936285199158E-2</v>
      </c>
      <c r="D133" s="13">
        <f t="shared" ref="D133" si="1954">D132/D128</f>
        <v>3.0473646219127994E-2</v>
      </c>
      <c r="E133" s="13">
        <f t="shared" ref="E133" si="1955">E132/E128</f>
        <v>-0.51384718051384715</v>
      </c>
      <c r="F133" s="13">
        <f t="shared" ref="F133" si="1956">F132/F128</f>
        <v>4.5255230814251222E-2</v>
      </c>
      <c r="G133" s="13">
        <f t="shared" ref="G133" si="1957">G132/G128</f>
        <v>1.7296158710433659E-2</v>
      </c>
      <c r="H133" s="13">
        <f t="shared" ref="H133" si="1958">H132/H128</f>
        <v>6.1694668839619653E-2</v>
      </c>
      <c r="I133" s="13" t="e">
        <f t="shared" ref="I133" si="1959">I132/I128</f>
        <v>#DIV/0!</v>
      </c>
      <c r="J133" s="13">
        <f t="shared" ref="J133" si="1960">J132/J128</f>
        <v>0.14705787135956905</v>
      </c>
      <c r="K133" s="13">
        <f t="shared" ref="K133" si="1961">K132/K128</f>
        <v>-0.51949541284403666</v>
      </c>
      <c r="L133" s="13">
        <f t="shared" ref="L133" si="1962">L132/L128</f>
        <v>-0.40443618881118881</v>
      </c>
      <c r="M133" s="13">
        <f t="shared" ref="M133" si="1963">M132/M128</f>
        <v>0.16575023791900179</v>
      </c>
      <c r="N133" s="13">
        <f t="shared" ref="N133" si="1964">N132/N128</f>
        <v>-0.24607329842931938</v>
      </c>
      <c r="O133" s="13">
        <f t="shared" ref="O133" si="1965">O132/O128</f>
        <v>-8.2368082368082362E-3</v>
      </c>
      <c r="P133" s="13">
        <f t="shared" ref="P133" si="1966">P132/P128</f>
        <v>0.35206512745873669</v>
      </c>
      <c r="Q133" s="13" t="e">
        <f t="shared" ref="Q133" si="1967">Q132/Q128</f>
        <v>#DIV/0!</v>
      </c>
      <c r="R133" s="13">
        <f t="shared" ref="R133" si="1968">R132/R128</f>
        <v>1.8134110787172011</v>
      </c>
      <c r="S133" s="13">
        <f t="shared" ref="S133" si="1969">S132/S128</f>
        <v>3.2644190654985397</v>
      </c>
      <c r="T133" s="13">
        <f t="shared" ref="T133:U133" si="1970">T132/T128</f>
        <v>-1.7098155517559655E-2</v>
      </c>
      <c r="U133" s="13">
        <f t="shared" si="1970"/>
        <v>-1</v>
      </c>
      <c r="V133" s="165">
        <f t="shared" ref="V133" si="1971">V132/V128</f>
        <v>-3.9607118871725994E-2</v>
      </c>
      <c r="W133" s="13">
        <f t="shared" ref="W133" si="1972">W132/W128</f>
        <v>-1</v>
      </c>
      <c r="X133" s="13" t="e">
        <f t="shared" ref="X133" si="1973">X132/X128</f>
        <v>#DIV/0!</v>
      </c>
      <c r="Y133" s="13">
        <f t="shared" ref="Y133" si="1974">Y132/Y128</f>
        <v>1.1499009694568956</v>
      </c>
      <c r="Z133" s="13">
        <f t="shared" ref="Z133" si="1975">Z132/Z128</f>
        <v>8.7067209775967408E-2</v>
      </c>
      <c r="AA133" s="13">
        <f t="shared" ref="AA133:AD133" si="1976">AA132/AA128</f>
        <v>2.2698961937716264</v>
      </c>
      <c r="AB133" s="13" t="e">
        <f t="shared" ref="AB133" si="1977">AB132/AB128</f>
        <v>#DIV/0!</v>
      </c>
      <c r="AC133" s="14">
        <f t="shared" si="1976"/>
        <v>1.1453842324922465</v>
      </c>
      <c r="AD133" s="13">
        <f t="shared" si="1976"/>
        <v>6.9158216090068281E-2</v>
      </c>
      <c r="AE133" s="13">
        <f t="shared" ref="AE133" si="1978">AE132/AE128</f>
        <v>-0.28657258627916726</v>
      </c>
      <c r="AF133" s="13">
        <f t="shared" ref="AF133" si="1979">AF132/AF128</f>
        <v>-0.69478706074005114</v>
      </c>
      <c r="AG133" s="13">
        <f t="shared" ref="AG133" si="1980">AG132/AG128</f>
        <v>-1.0642809540157925E-2</v>
      </c>
      <c r="AH133" s="13">
        <f t="shared" ref="AH133" si="1981">AH132/AH128</f>
        <v>-1</v>
      </c>
      <c r="AI133" s="13" t="e">
        <f t="shared" ref="AI133" si="1982">AI132/AI128</f>
        <v>#DIV/0!</v>
      </c>
      <c r="AJ133" s="13">
        <f t="shared" ref="AJ133" si="1983">AJ132/AJ128</f>
        <v>-0.70129361034888282</v>
      </c>
      <c r="AK133" s="13">
        <f t="shared" ref="AK133" si="1984">AK132/AK128</f>
        <v>0.61152921324615062</v>
      </c>
      <c r="AL133" s="13">
        <f t="shared" ref="AL133" si="1985">AL132/AL128</f>
        <v>-0.56204075915085805</v>
      </c>
      <c r="AM133" s="13">
        <f t="shared" ref="AM133" si="1986">AM132/AM128</f>
        <v>0.32349846049449243</v>
      </c>
      <c r="AN133" s="13">
        <f t="shared" ref="AN133" si="1987">AN132/AN128</f>
        <v>-0.35747687303039544</v>
      </c>
      <c r="AO133" s="165">
        <f t="shared" ref="AO133" si="1988">AO132/AO128</f>
        <v>-0.37492098017538655</v>
      </c>
      <c r="AP133" s="13">
        <f t="shared" ref="AP133" si="1989">AP132/AP128</f>
        <v>0.12146203949899448</v>
      </c>
      <c r="AQ133" s="14">
        <f t="shared" ref="AQ133" si="1990">AQ132/AQ128</f>
        <v>3.5151631183948537</v>
      </c>
      <c r="AR133" s="13">
        <f t="shared" ref="AR133" si="1991">AR132/AR128</f>
        <v>0.73567040783335647</v>
      </c>
      <c r="AS133" s="13" t="e">
        <f t="shared" ref="AS133" si="1992">AS132/AS128</f>
        <v>#DIV/0!</v>
      </c>
      <c r="AT133" s="13" t="e">
        <f t="shared" ref="AT133" si="1993">AT132/AT128</f>
        <v>#DIV/0!</v>
      </c>
      <c r="AU133" s="13">
        <f t="shared" ref="AU133" si="1994">AU132/AU128</f>
        <v>0.56434044638481762</v>
      </c>
      <c r="AV133" s="13" t="e">
        <f t="shared" ref="AV133" si="1995">AV132/AV128</f>
        <v>#DIV/0!</v>
      </c>
      <c r="AW133" s="13">
        <f t="shared" ref="AW133" si="1996">AW132/AW128</f>
        <v>-0.34425785482123511</v>
      </c>
      <c r="AX133" s="13">
        <f t="shared" ref="AX133" si="1997">AX132/AX128</f>
        <v>-0.18051995606005125</v>
      </c>
      <c r="AY133" s="13">
        <f t="shared" ref="AY133" si="1998">AY132/AY128</f>
        <v>1.4920353982300885</v>
      </c>
      <c r="AZ133" s="13">
        <f t="shared" ref="AZ133" si="1999">AZ132/AZ128</f>
        <v>4.5169842960411524</v>
      </c>
      <c r="BA133" s="13">
        <f t="shared" ref="BA133" si="2000">BA132/BA128</f>
        <v>-0.49068422479442042</v>
      </c>
      <c r="BB133" s="14">
        <f t="shared" ref="BB133" si="2001">BB132/BB128</f>
        <v>1.292893044868477</v>
      </c>
      <c r="BC133" s="13">
        <f t="shared" ref="BC133" si="2002">BC132/BC128</f>
        <v>-0.34345533498759306</v>
      </c>
      <c r="BD133" s="13">
        <f t="shared" ref="BD133" si="2003">BD132/BD128</f>
        <v>-0.31191079903777386</v>
      </c>
      <c r="BE133" s="13" t="e">
        <f t="shared" ref="BE133" si="2004">BE132/BE128</f>
        <v>#DIV/0!</v>
      </c>
      <c r="BF133" s="13">
        <f t="shared" ref="BF133" si="2005">BF132/BF128</f>
        <v>-0.45907593546752262</v>
      </c>
      <c r="BG133" s="13">
        <f t="shared" ref="BG133" si="2006">BG132/BG128</f>
        <v>5.6655177108691279E-2</v>
      </c>
      <c r="BH133" s="165">
        <f t="shared" ref="BH133:BI133" si="2007">BH132/BH128</f>
        <v>8.4060685614502875E-2</v>
      </c>
      <c r="BI133" s="46">
        <f t="shared" si="2007"/>
        <v>8.0136439876363E-2</v>
      </c>
      <c r="BJ133" s="13">
        <f t="shared" ref="BJ133" si="2008">BJ132/BJ128</f>
        <v>5.4930781217231293E-2</v>
      </c>
      <c r="BK133" s="52">
        <f t="shared" ref="BK133" si="2009">BK132/BK128</f>
        <v>0.1030699714612122</v>
      </c>
      <c r="BM133" s="14">
        <f t="shared" ref="BM133" si="2010">BM132/BM128</f>
        <v>0.13738010729409122</v>
      </c>
    </row>
    <row r="134" spans="1:65" ht="15.75" x14ac:dyDescent="0.25">
      <c r="A134" s="130"/>
      <c r="B134" s="5" t="s">
        <v>296</v>
      </c>
      <c r="C134" s="128">
        <f>C129/C126</f>
        <v>0.17227961615973156</v>
      </c>
      <c r="D134" s="128">
        <f t="shared" ref="D134:BK134" si="2011">D129/D126</f>
        <v>0.16897826416904396</v>
      </c>
      <c r="E134" s="128">
        <f t="shared" si="2011"/>
        <v>1.4698153197731016E-3</v>
      </c>
      <c r="F134" s="128">
        <f t="shared" si="2011"/>
        <v>0.15983430758673103</v>
      </c>
      <c r="G134" s="128">
        <f t="shared" si="2011"/>
        <v>0.15576478272252015</v>
      </c>
      <c r="H134" s="128">
        <f t="shared" si="2011"/>
        <v>0.21858909611566751</v>
      </c>
      <c r="I134" s="128" t="e">
        <f t="shared" si="2011"/>
        <v>#DIV/0!</v>
      </c>
      <c r="J134" s="128">
        <f t="shared" si="2011"/>
        <v>0.17870879882984894</v>
      </c>
      <c r="K134" s="128">
        <f t="shared" si="2011"/>
        <v>1.7836466421468467E-2</v>
      </c>
      <c r="L134" s="128">
        <f t="shared" si="2011"/>
        <v>0.10287858454650638</v>
      </c>
      <c r="M134" s="128">
        <f t="shared" si="2011"/>
        <v>0.13233996608155232</v>
      </c>
      <c r="N134" s="128">
        <f t="shared" si="2011"/>
        <v>7.7265062087996314E-2</v>
      </c>
      <c r="O134" s="128">
        <f t="shared" si="2011"/>
        <v>8.2802342448826088E-2</v>
      </c>
      <c r="P134" s="128">
        <f t="shared" si="2011"/>
        <v>0.24257813558128322</v>
      </c>
      <c r="Q134" s="128" t="e">
        <f t="shared" si="2011"/>
        <v>#DIV/0!</v>
      </c>
      <c r="R134" s="128">
        <f t="shared" si="2011"/>
        <v>8.3565287313663639E-2</v>
      </c>
      <c r="S134" s="128">
        <f t="shared" si="2011"/>
        <v>0.18369769834530661</v>
      </c>
      <c r="T134" s="128">
        <f t="shared" si="2011"/>
        <v>0.15624872216115321</v>
      </c>
      <c r="U134" s="128" t="e">
        <f t="shared" si="2011"/>
        <v>#DIV/0!</v>
      </c>
      <c r="V134" s="180">
        <f t="shared" si="2011"/>
        <v>0.16580672838897811</v>
      </c>
      <c r="W134" s="128">
        <f t="shared" si="2011"/>
        <v>0</v>
      </c>
      <c r="X134" s="128">
        <f t="shared" si="2011"/>
        <v>0</v>
      </c>
      <c r="Y134" s="128">
        <f t="shared" si="2011"/>
        <v>0.77835226629429743</v>
      </c>
      <c r="Z134" s="128">
        <f t="shared" si="2011"/>
        <v>0.7002295834699902</v>
      </c>
      <c r="AA134" s="128">
        <f t="shared" si="2011"/>
        <v>0.38186961206896552</v>
      </c>
      <c r="AB134" s="128">
        <f t="shared" ref="AB134" si="2012">AB129/AB126</f>
        <v>3.2688077430708312E-2</v>
      </c>
      <c r="AC134" s="228">
        <f t="shared" si="2011"/>
        <v>0.16828640314881879</v>
      </c>
      <c r="AD134" s="128">
        <f t="shared" si="2011"/>
        <v>0.16877495990786623</v>
      </c>
      <c r="AE134" s="128">
        <f t="shared" si="2011"/>
        <v>9.0807234700955017E-2</v>
      </c>
      <c r="AF134" s="128">
        <f t="shared" si="2011"/>
        <v>6.6656501740743571E-2</v>
      </c>
      <c r="AG134" s="128">
        <f t="shared" si="2011"/>
        <v>0.68473429681603448</v>
      </c>
      <c r="AH134" s="128" t="e">
        <f t="shared" si="2011"/>
        <v>#DIV/0!</v>
      </c>
      <c r="AI134" s="128" t="e">
        <f t="shared" si="2011"/>
        <v>#DIV/0!</v>
      </c>
      <c r="AJ134" s="128">
        <f t="shared" si="2011"/>
        <v>6.8494382022471906E-2</v>
      </c>
      <c r="AK134" s="128">
        <f t="shared" si="2011"/>
        <v>0.28074101346996577</v>
      </c>
      <c r="AL134" s="128">
        <f t="shared" si="2011"/>
        <v>9.4152925727291059E-2</v>
      </c>
      <c r="AM134" s="128">
        <f t="shared" si="2011"/>
        <v>0.18958866305551592</v>
      </c>
      <c r="AN134" s="128">
        <f t="shared" si="2011"/>
        <v>0.28844925155166118</v>
      </c>
      <c r="AO134" s="180">
        <f t="shared" si="2011"/>
        <v>0.13701644759524928</v>
      </c>
      <c r="AP134" s="128">
        <f t="shared" si="2011"/>
        <v>0.28752671461317847</v>
      </c>
      <c r="AQ134" s="228">
        <f t="shared" si="2011"/>
        <v>0.40388409371146733</v>
      </c>
      <c r="AR134" s="128">
        <f t="shared" si="2011"/>
        <v>0.42841019638839911</v>
      </c>
      <c r="AS134" s="128" t="e">
        <f t="shared" si="2011"/>
        <v>#DIV/0!</v>
      </c>
      <c r="AT134" s="128" t="e">
        <f t="shared" si="2011"/>
        <v>#DIV/0!</v>
      </c>
      <c r="AU134" s="128">
        <f t="shared" si="2011"/>
        <v>0.40331532959475797</v>
      </c>
      <c r="AV134" s="128" t="e">
        <f t="shared" si="2011"/>
        <v>#DIV/0!</v>
      </c>
      <c r="AW134" s="128">
        <f t="shared" si="2011"/>
        <v>9.1200180818202359E-2</v>
      </c>
      <c r="AX134" s="128">
        <f t="shared" si="2011"/>
        <v>0.12338736354614621</v>
      </c>
      <c r="AY134" s="128">
        <f t="shared" si="2011"/>
        <v>0.17829555527415475</v>
      </c>
      <c r="AZ134" s="128">
        <f t="shared" si="2011"/>
        <v>0.76722529654233529</v>
      </c>
      <c r="BA134" s="128">
        <f t="shared" si="2011"/>
        <v>0.22915303727523054</v>
      </c>
      <c r="BB134" s="228">
        <f t="shared" si="2011"/>
        <v>0.26161582889216389</v>
      </c>
      <c r="BC134" s="128">
        <f t="shared" si="2011"/>
        <v>0.14224082897097662</v>
      </c>
      <c r="BD134" s="128">
        <f t="shared" si="2011"/>
        <v>0.1422389172988919</v>
      </c>
      <c r="BE134" s="128">
        <f t="shared" si="2011"/>
        <v>0</v>
      </c>
      <c r="BF134" s="128">
        <f t="shared" si="2011"/>
        <v>0.14828307464322377</v>
      </c>
      <c r="BG134" s="128">
        <f t="shared" si="2011"/>
        <v>0.19211675041682497</v>
      </c>
      <c r="BH134" s="180">
        <f t="shared" si="2011"/>
        <v>0.20989085393015347</v>
      </c>
      <c r="BI134" s="128">
        <f t="shared" si="2011"/>
        <v>0.19735887385740258</v>
      </c>
      <c r="BJ134" s="128">
        <f t="shared" si="2011"/>
        <v>0.19182376462257023</v>
      </c>
      <c r="BK134" s="128">
        <f t="shared" si="2011"/>
        <v>0.20244184762143844</v>
      </c>
      <c r="BM134" s="128">
        <f t="shared" ref="BM134" si="2013">BM129/BM126</f>
        <v>0.24984054302896194</v>
      </c>
    </row>
    <row r="135" spans="1:65" x14ac:dyDescent="0.25">
      <c r="BG135" s="30">
        <f>BG129-BG118</f>
        <v>103963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3"/>
  <sheetViews>
    <sheetView view="pageBreakPreview" zoomScaleNormal="100" zoomScaleSheetLayoutView="100" workbookViewId="0">
      <selection activeCell="M91" sqref="M91"/>
    </sheetView>
  </sheetViews>
  <sheetFormatPr defaultRowHeight="15" x14ac:dyDescent="0.25"/>
  <cols>
    <col min="2" max="2" width="27" customWidth="1"/>
    <col min="3" max="3" width="10" style="187" customWidth="1"/>
    <col min="4" max="4" width="12.42578125" customWidth="1"/>
    <col min="5" max="5" width="0.5703125" customWidth="1"/>
    <col min="6" max="6" width="9.85546875" customWidth="1"/>
    <col min="7" max="7" width="10.140625" customWidth="1"/>
    <col min="8" max="8" width="11.7109375" style="71"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7" customWidth="1"/>
  </cols>
  <sheetData>
    <row r="1" spans="1:17" x14ac:dyDescent="0.25">
      <c r="B1" s="36" t="s">
        <v>299</v>
      </c>
      <c r="C1" s="36"/>
    </row>
    <row r="2" spans="1:17" x14ac:dyDescent="0.25">
      <c r="M2" s="36" t="s">
        <v>150</v>
      </c>
    </row>
    <row r="3" spans="1:17" s="36" customFormat="1" ht="15" customHeight="1" x14ac:dyDescent="0.25">
      <c r="B3" s="266" t="s">
        <v>151</v>
      </c>
      <c r="C3" s="270" t="s">
        <v>303</v>
      </c>
      <c r="D3" s="270" t="s">
        <v>331</v>
      </c>
      <c r="E3" s="270"/>
      <c r="F3" s="272" t="str">
        <f>'PU Wise OWE'!$B$5</f>
        <v xml:space="preserve">OBG(SL) 2021-22 </v>
      </c>
      <c r="G3" s="270" t="s">
        <v>302</v>
      </c>
      <c r="H3" s="272" t="str">
        <f>'PU Wise OWE'!$B$7</f>
        <v>Actuals upto May' 20</v>
      </c>
      <c r="I3" s="272" t="str">
        <f>'PU Wise OWE'!$B$6</f>
        <v>BP to end  May-2021</v>
      </c>
      <c r="J3" s="272" t="str">
        <f>'PU Wise OWE'!$B$8</f>
        <v>Actuals upto May' 21</v>
      </c>
      <c r="K3" s="273" t="s">
        <v>207</v>
      </c>
      <c r="L3" s="273"/>
      <c r="M3" s="273" t="s">
        <v>147</v>
      </c>
      <c r="N3" s="273"/>
      <c r="O3" s="248" t="s">
        <v>315</v>
      </c>
    </row>
    <row r="4" spans="1:17" ht="15.6" customHeight="1" x14ac:dyDescent="0.25">
      <c r="A4" s="31"/>
      <c r="B4" s="267"/>
      <c r="C4" s="271"/>
      <c r="D4" s="271"/>
      <c r="E4" s="271"/>
      <c r="F4" s="271"/>
      <c r="G4" s="271"/>
      <c r="H4" s="271"/>
      <c r="I4" s="271"/>
      <c r="J4" s="271"/>
      <c r="K4" s="19" t="s">
        <v>145</v>
      </c>
      <c r="L4" s="18" t="s">
        <v>146</v>
      </c>
      <c r="M4" s="19" t="s">
        <v>145</v>
      </c>
      <c r="N4" s="18" t="s">
        <v>146</v>
      </c>
      <c r="O4" s="248"/>
    </row>
    <row r="5" spans="1:17" x14ac:dyDescent="0.25">
      <c r="A5" s="31"/>
      <c r="B5" s="63" t="s">
        <v>148</v>
      </c>
      <c r="C5" s="22">
        <v>4575.6000000000004</v>
      </c>
      <c r="D5" s="68">
        <f>C5/C7</f>
        <v>0.5852640249884562</v>
      </c>
      <c r="E5" s="68"/>
      <c r="F5" s="22">
        <f>ROUND('PU Wise OWE'!$AD$126/10000,2)</f>
        <v>4658.2700000000004</v>
      </c>
      <c r="G5" s="68">
        <f>F5/F7</f>
        <v>0.58469561943014947</v>
      </c>
      <c r="H5" s="72">
        <f>ROUND('PU Wise OWE'!$AD$128/10000,2)</f>
        <v>735.34</v>
      </c>
      <c r="I5" s="22">
        <f>ROUND('PU Wise OWE'!$AD$127/10000,2)</f>
        <v>840.24</v>
      </c>
      <c r="J5" s="23">
        <f>ROUND('PU Wise OWE'!$AD$129/10000,2)</f>
        <v>786.2</v>
      </c>
      <c r="K5" s="22">
        <f>J5-I5</f>
        <v>-54.039999999999964</v>
      </c>
      <c r="L5" s="24">
        <f>K5/I5</f>
        <v>-6.4314957631152955E-2</v>
      </c>
      <c r="M5" s="22">
        <f>J5-H5</f>
        <v>50.860000000000014</v>
      </c>
      <c r="N5" s="54">
        <f>M5/H5</f>
        <v>6.9165284086273038E-2</v>
      </c>
      <c r="O5" s="54">
        <f>J5/F5</f>
        <v>0.1687751032035498</v>
      </c>
    </row>
    <row r="6" spans="1:17" x14ac:dyDescent="0.25">
      <c r="A6" s="31"/>
      <c r="B6" s="80" t="s">
        <v>144</v>
      </c>
      <c r="C6" s="21">
        <v>3242.41</v>
      </c>
      <c r="D6" s="68">
        <f>C6/C7</f>
        <v>0.4147359750115438</v>
      </c>
      <c r="E6" s="68"/>
      <c r="F6" s="21">
        <f t="shared" ref="F6:J6" si="0">F7-F5</f>
        <v>3308.7299999999996</v>
      </c>
      <c r="G6" s="68">
        <f>F6/F7</f>
        <v>0.41530438056985058</v>
      </c>
      <c r="H6" s="72">
        <f>H7-H5</f>
        <v>726.81000000000006</v>
      </c>
      <c r="I6" s="21">
        <f t="shared" si="0"/>
        <v>813.21</v>
      </c>
      <c r="J6" s="21">
        <f t="shared" si="0"/>
        <v>826.64999999999986</v>
      </c>
      <c r="K6" s="22">
        <f t="shared" ref="K6:K7" si="1">J6-I6</f>
        <v>13.439999999999827</v>
      </c>
      <c r="L6" s="24">
        <f t="shared" ref="L6:L7" si="2">K6/I6</f>
        <v>1.6527096321983039E-2</v>
      </c>
      <c r="M6" s="22">
        <f t="shared" ref="M6:M7" si="3">J6-H6</f>
        <v>99.839999999999804</v>
      </c>
      <c r="N6" s="54">
        <f t="shared" ref="N6:N7" si="4">M6/H6</f>
        <v>0.13736740000825498</v>
      </c>
      <c r="O6" s="54">
        <f t="shared" ref="O6:O7" si="5">J6/F6</f>
        <v>0.24983906211748919</v>
      </c>
    </row>
    <row r="7" spans="1:17" x14ac:dyDescent="0.25">
      <c r="A7" s="31"/>
      <c r="B7" s="27" t="s">
        <v>171</v>
      </c>
      <c r="C7" s="106">
        <f>SUM(C5:C6)</f>
        <v>7818.01</v>
      </c>
      <c r="D7" s="69">
        <f>SUM(D5:D6)</f>
        <v>1</v>
      </c>
      <c r="E7" s="69"/>
      <c r="F7" s="26">
        <f>ROUND('PU Wise OWE'!BK126/10000,2)</f>
        <v>7967</v>
      </c>
      <c r="G7" s="69">
        <f>SUM(G5:G6)</f>
        <v>1</v>
      </c>
      <c r="H7" s="73">
        <f>ROUND('PU Wise OWE'!BK128/10000,2)</f>
        <v>1462.15</v>
      </c>
      <c r="I7" s="26">
        <f>ROUND('PU Wise OWE'!BK127/10000,2)</f>
        <v>1653.45</v>
      </c>
      <c r="J7" s="25">
        <f>ROUND('PU Wise OWE'!BK129/10000,2)</f>
        <v>1612.85</v>
      </c>
      <c r="K7" s="26">
        <f t="shared" si="1"/>
        <v>-40.600000000000136</v>
      </c>
      <c r="L7" s="56">
        <f t="shared" si="2"/>
        <v>-2.455471892104396E-2</v>
      </c>
      <c r="M7" s="26">
        <f t="shared" si="3"/>
        <v>150.69999999999982</v>
      </c>
      <c r="N7" s="57">
        <f t="shared" si="4"/>
        <v>0.10306740074547742</v>
      </c>
      <c r="O7" s="57">
        <f t="shared" si="5"/>
        <v>0.20244132044684321</v>
      </c>
    </row>
    <row r="8" spans="1:17" x14ac:dyDescent="0.25">
      <c r="A8" s="31"/>
      <c r="B8" s="32"/>
      <c r="C8" s="32"/>
      <c r="D8" s="33"/>
      <c r="E8" s="33"/>
      <c r="F8" s="34"/>
      <c r="G8" s="34"/>
      <c r="H8" s="74"/>
      <c r="I8" s="34"/>
      <c r="J8" s="31"/>
      <c r="K8" s="31"/>
      <c r="L8" s="35"/>
      <c r="M8" s="34"/>
      <c r="N8" s="31"/>
      <c r="Q8">
        <f>638.61/7972.35</f>
        <v>8.0103106361361448E-2</v>
      </c>
    </row>
    <row r="9" spans="1:17" ht="14.45" customHeight="1" x14ac:dyDescent="0.25">
      <c r="A9" s="31"/>
      <c r="D9" s="33"/>
      <c r="E9" s="33"/>
      <c r="F9" s="34"/>
      <c r="G9" s="34"/>
      <c r="H9" s="74"/>
      <c r="I9" s="34"/>
      <c r="J9" s="31"/>
      <c r="K9" s="31"/>
      <c r="L9" s="35"/>
      <c r="M9" s="34"/>
      <c r="N9" s="31"/>
    </row>
    <row r="10" spans="1:17" x14ac:dyDescent="0.25">
      <c r="A10" s="31"/>
      <c r="B10" s="64" t="s">
        <v>172</v>
      </c>
      <c r="C10" s="64"/>
      <c r="D10" s="65"/>
      <c r="E10" s="65"/>
      <c r="F10" s="65"/>
      <c r="G10" s="65"/>
      <c r="H10" s="75"/>
      <c r="I10" s="65"/>
      <c r="J10" s="65"/>
      <c r="M10" s="36" t="s">
        <v>150</v>
      </c>
    </row>
    <row r="11" spans="1:17" ht="15" customHeight="1" x14ac:dyDescent="0.25">
      <c r="A11" s="31"/>
      <c r="B11" s="268" t="s">
        <v>151</v>
      </c>
      <c r="C11" s="265" t="s">
        <v>303</v>
      </c>
      <c r="D11" s="265" t="s">
        <v>173</v>
      </c>
      <c r="E11" s="265"/>
      <c r="F11" s="260" t="str">
        <f>'PU Wise OWE'!$B$5</f>
        <v xml:space="preserve">OBG(SL) 2021-22 </v>
      </c>
      <c r="G11" s="265" t="s">
        <v>302</v>
      </c>
      <c r="H11" s="260" t="str">
        <f>'PU Wise OWE'!$B$7</f>
        <v>Actuals upto May' 20</v>
      </c>
      <c r="I11" s="260" t="str">
        <f>'PU Wise OWE'!$B$6</f>
        <v>BP to end  May-2021</v>
      </c>
      <c r="J11" s="260" t="str">
        <f>'PU Wise OWE'!$B$8</f>
        <v>Actuals upto May' 21</v>
      </c>
      <c r="K11" s="262" t="s">
        <v>207</v>
      </c>
      <c r="L11" s="262"/>
      <c r="M11" s="262" t="s">
        <v>147</v>
      </c>
      <c r="N11" s="262"/>
      <c r="O11" s="249" t="s">
        <v>315</v>
      </c>
    </row>
    <row r="12" spans="1:17" ht="15" customHeight="1" x14ac:dyDescent="0.25">
      <c r="A12" s="31"/>
      <c r="B12" s="269"/>
      <c r="C12" s="261"/>
      <c r="D12" s="261"/>
      <c r="E12" s="261"/>
      <c r="F12" s="261"/>
      <c r="G12" s="261"/>
      <c r="H12" s="261"/>
      <c r="I12" s="261"/>
      <c r="J12" s="261"/>
      <c r="K12" s="66" t="s">
        <v>145</v>
      </c>
      <c r="L12" s="67" t="s">
        <v>146</v>
      </c>
      <c r="M12" s="66" t="s">
        <v>145</v>
      </c>
      <c r="N12" s="67" t="s">
        <v>146</v>
      </c>
      <c r="O12" s="249"/>
    </row>
    <row r="13" spans="1:17" x14ac:dyDescent="0.25">
      <c r="A13" s="31"/>
      <c r="B13" s="20" t="s">
        <v>152</v>
      </c>
      <c r="C13" s="107">
        <v>2522.8000000000002</v>
      </c>
      <c r="D13" s="68">
        <f>C13/$C$7</f>
        <v>0.32269081262367277</v>
      </c>
      <c r="E13" s="21"/>
      <c r="F13" s="22">
        <f>ROUND('PU Wise OWE'!$C$126/10000,2)</f>
        <v>2509.4499999999998</v>
      </c>
      <c r="G13" s="24">
        <f>F13/$F$7</f>
        <v>0.3149805447470817</v>
      </c>
      <c r="H13" s="72">
        <f>ROUND('PU Wise OWE'!$C$128/10000,2)</f>
        <v>424.69</v>
      </c>
      <c r="I13" s="22">
        <f>ROUND('PU Wise OWE'!$C$127/10000,2)</f>
        <v>451.7</v>
      </c>
      <c r="J13" s="23">
        <f>ROUND('PU Wise OWE'!$C$129/10000,2)</f>
        <v>432.33</v>
      </c>
      <c r="K13" s="22">
        <f>J13-I13</f>
        <v>-19.370000000000005</v>
      </c>
      <c r="L13" s="24">
        <f>K13/I13</f>
        <v>-4.2882444100066426E-2</v>
      </c>
      <c r="M13" s="22">
        <f>J13-H13</f>
        <v>7.6399999999999864</v>
      </c>
      <c r="N13" s="54">
        <f>M13/H13</f>
        <v>1.7989592408580345E-2</v>
      </c>
      <c r="O13" s="54">
        <f t="shared" ref="O13:O28" si="6">J13/F13</f>
        <v>0.17228077865667776</v>
      </c>
    </row>
    <row r="14" spans="1:17" x14ac:dyDescent="0.25">
      <c r="A14" s="31"/>
      <c r="B14" s="20" t="s">
        <v>153</v>
      </c>
      <c r="C14" s="107">
        <v>441.91</v>
      </c>
      <c r="D14" s="68">
        <f t="shared" ref="D14:D27" si="7">C14/$C$7</f>
        <v>5.6524614320012385E-2</v>
      </c>
      <c r="E14" s="21"/>
      <c r="F14" s="22">
        <f>ROUND('PU Wise OWE'!$D$126/10000,2)</f>
        <v>451.98</v>
      </c>
      <c r="G14" s="24">
        <f t="shared" ref="G14:G27" si="8">F14/$F$7</f>
        <v>5.673151750972763E-2</v>
      </c>
      <c r="H14" s="72">
        <f>ROUND('PU Wise OWE'!$D$128/10000,2)</f>
        <v>74.12</v>
      </c>
      <c r="I14" s="22">
        <f>ROUND('PU Wise OWE'!$D$127/10000,2)</f>
        <v>81.36</v>
      </c>
      <c r="J14" s="23">
        <f>ROUND('PU Wise OWE'!$D$129/10000,2)</f>
        <v>76.38</v>
      </c>
      <c r="K14" s="22">
        <f t="shared" ref="K14:K17" si="9">J14-I14</f>
        <v>-4.980000000000004</v>
      </c>
      <c r="L14" s="24">
        <f t="shared" ref="L14:L17" si="10">K14/I14</f>
        <v>-6.120943952802365E-2</v>
      </c>
      <c r="M14" s="22">
        <f t="shared" ref="M14:M27" si="11">J14-H14</f>
        <v>2.2599999999999909</v>
      </c>
      <c r="N14" s="54">
        <f t="shared" ref="N14:N27" si="12">M14/H14</f>
        <v>3.0491095520776994E-2</v>
      </c>
      <c r="O14" s="54">
        <f t="shared" si="6"/>
        <v>0.16898977830877471</v>
      </c>
    </row>
    <row r="15" spans="1:17" x14ac:dyDescent="0.25">
      <c r="B15" s="23" t="s">
        <v>174</v>
      </c>
      <c r="C15" s="22">
        <v>98.2</v>
      </c>
      <c r="D15" s="68">
        <f t="shared" si="7"/>
        <v>1.2560741160474341E-2</v>
      </c>
      <c r="E15" s="21"/>
      <c r="F15" s="22">
        <f>ROUND('PU Wise OWE'!$E$126/10000,2)</f>
        <v>99.13</v>
      </c>
      <c r="G15" s="24">
        <f t="shared" si="8"/>
        <v>1.244257562445086E-2</v>
      </c>
      <c r="H15" s="72">
        <f>ROUND('PU Wise OWE'!$E$128/10000,2)</f>
        <v>0.3</v>
      </c>
      <c r="I15" s="22">
        <f>ROUND('PU Wise OWE'!$E$127/10000,2)</f>
        <v>0</v>
      </c>
      <c r="J15" s="23">
        <f>ROUND('PU Wise OWE'!$E$129/10000,2)</f>
        <v>0.15</v>
      </c>
      <c r="K15" s="22">
        <f t="shared" si="9"/>
        <v>0.15</v>
      </c>
      <c r="L15" s="24" t="e">
        <f t="shared" si="10"/>
        <v>#DIV/0!</v>
      </c>
      <c r="M15" s="22">
        <f t="shared" si="11"/>
        <v>-0.15</v>
      </c>
      <c r="N15" s="54">
        <f t="shared" si="12"/>
        <v>-0.5</v>
      </c>
      <c r="O15" s="54">
        <f t="shared" si="6"/>
        <v>1.5131645314233834E-3</v>
      </c>
    </row>
    <row r="16" spans="1:17" x14ac:dyDescent="0.25">
      <c r="B16" s="23" t="s">
        <v>175</v>
      </c>
      <c r="C16" s="22">
        <v>264.85000000000002</v>
      </c>
      <c r="D16" s="68">
        <f t="shared" si="7"/>
        <v>3.3876907294823108E-2</v>
      </c>
      <c r="E16" s="21"/>
      <c r="F16" s="22">
        <f>ROUND('PU Wise OWE'!$F$126/10000,2)</f>
        <v>286.05</v>
      </c>
      <c r="G16" s="24">
        <f t="shared" si="8"/>
        <v>3.5904355466298485E-2</v>
      </c>
      <c r="H16" s="72">
        <f>ROUND('PU Wise OWE'!$F$128/10000,2)</f>
        <v>43.74</v>
      </c>
      <c r="I16" s="22">
        <f>ROUND('PU Wise OWE'!$F$127/10000,2)</f>
        <v>51.49</v>
      </c>
      <c r="J16" s="23">
        <f>ROUND('PU Wise OWE'!$F$129/10000,2)</f>
        <v>45.72</v>
      </c>
      <c r="K16" s="22">
        <f t="shared" si="9"/>
        <v>-5.7700000000000031</v>
      </c>
      <c r="L16" s="24">
        <f t="shared" si="10"/>
        <v>-0.11206059429015348</v>
      </c>
      <c r="M16" s="22">
        <f t="shared" si="11"/>
        <v>1.9799999999999969</v>
      </c>
      <c r="N16" s="54">
        <f t="shared" si="12"/>
        <v>4.5267489711934082E-2</v>
      </c>
      <c r="O16" s="54">
        <f t="shared" si="6"/>
        <v>0.15983219716832719</v>
      </c>
    </row>
    <row r="17" spans="1:15" x14ac:dyDescent="0.25">
      <c r="B17" s="23" t="s">
        <v>176</v>
      </c>
      <c r="C17" s="22">
        <v>134.78</v>
      </c>
      <c r="D17" s="68">
        <f t="shared" si="7"/>
        <v>1.7239681197644924E-2</v>
      </c>
      <c r="E17" s="21"/>
      <c r="F17" s="22">
        <f>ROUND('PU Wise OWE'!$G$126/10000,2)</f>
        <v>148.21</v>
      </c>
      <c r="G17" s="24">
        <f t="shared" si="8"/>
        <v>1.8602987322706165E-2</v>
      </c>
      <c r="H17" s="72">
        <f>ROUND('PU Wise OWE'!$G$128/10000,2)</f>
        <v>22.69</v>
      </c>
      <c r="I17" s="22">
        <f>ROUND('PU Wise OWE'!$G$127/10000,2)</f>
        <v>26.68</v>
      </c>
      <c r="J17" s="23">
        <f>ROUND('PU Wise OWE'!$G$129/10000,2)</f>
        <v>23.09</v>
      </c>
      <c r="K17" s="22">
        <f t="shared" si="9"/>
        <v>-3.59</v>
      </c>
      <c r="L17" s="24">
        <f t="shared" si="10"/>
        <v>-0.13455772113943029</v>
      </c>
      <c r="M17" s="22">
        <f t="shared" si="11"/>
        <v>0.39999999999999858</v>
      </c>
      <c r="N17" s="54">
        <f t="shared" si="12"/>
        <v>1.7628911414720078E-2</v>
      </c>
      <c r="O17" s="54">
        <f t="shared" si="6"/>
        <v>0.15579245664934888</v>
      </c>
    </row>
    <row r="18" spans="1:15" x14ac:dyDescent="0.25">
      <c r="A18" s="31"/>
      <c r="B18" s="20" t="s">
        <v>154</v>
      </c>
      <c r="C18" s="107">
        <v>247.05</v>
      </c>
      <c r="D18" s="68">
        <f t="shared" si="7"/>
        <v>3.1600113072252405E-2</v>
      </c>
      <c r="E18" s="21"/>
      <c r="F18" s="22">
        <f>ROUND('PU Wise OWE'!$H$126/10000,2)</f>
        <v>289.98</v>
      </c>
      <c r="G18" s="24">
        <f t="shared" si="8"/>
        <v>3.6397640266097653E-2</v>
      </c>
      <c r="H18" s="72">
        <f>ROUND('PU Wise OWE'!$H$128/10000,2)</f>
        <v>59.7</v>
      </c>
      <c r="I18" s="22">
        <f>ROUND('PU Wise OWE'!$H$127/10000,2)</f>
        <v>52.2</v>
      </c>
      <c r="J18" s="23">
        <f>ROUND('PU Wise OWE'!$H$129/10000,2)</f>
        <v>63.39</v>
      </c>
      <c r="K18" s="22">
        <f t="shared" ref="K18:K28" si="13">J18-I18</f>
        <v>11.189999999999998</v>
      </c>
      <c r="L18" s="24">
        <f t="shared" ref="L18:L28" si="14">K18/I18</f>
        <v>0.21436781609195396</v>
      </c>
      <c r="M18" s="22">
        <f t="shared" si="11"/>
        <v>3.6899999999999977</v>
      </c>
      <c r="N18" s="54">
        <f t="shared" si="12"/>
        <v>6.1809045226130614E-2</v>
      </c>
      <c r="O18" s="54">
        <f t="shared" si="6"/>
        <v>0.2186012828470929</v>
      </c>
    </row>
    <row r="19" spans="1:15" x14ac:dyDescent="0.25">
      <c r="A19" s="31"/>
      <c r="B19" s="58" t="s">
        <v>155</v>
      </c>
      <c r="C19" s="108">
        <v>188.24</v>
      </c>
      <c r="D19" s="68">
        <f t="shared" si="7"/>
        <v>2.4077738452624134E-2</v>
      </c>
      <c r="E19" s="21"/>
      <c r="F19" s="22">
        <f>ROUND('PU Wise OWE'!$J$126/10000,2)</f>
        <v>198.27</v>
      </c>
      <c r="G19" s="24">
        <f t="shared" si="8"/>
        <v>2.4886406426509352E-2</v>
      </c>
      <c r="H19" s="72">
        <f>ROUND('PU Wise OWE'!$J$128/10000,2)</f>
        <v>30.89</v>
      </c>
      <c r="I19" s="22">
        <f>ROUND('PU Wise OWE'!$J$127/10000,2)</f>
        <v>35.69</v>
      </c>
      <c r="J19" s="23">
        <f>ROUND('PU Wise OWE'!$J$129/10000,2)</f>
        <v>35.43</v>
      </c>
      <c r="K19" s="22">
        <f t="shared" si="13"/>
        <v>-0.25999999999999801</v>
      </c>
      <c r="L19" s="24">
        <f t="shared" si="14"/>
        <v>-7.2849537685625671E-3</v>
      </c>
      <c r="M19" s="22">
        <f t="shared" si="11"/>
        <v>4.5399999999999991</v>
      </c>
      <c r="N19" s="54">
        <f t="shared" si="12"/>
        <v>0.14697313046293295</v>
      </c>
      <c r="O19" s="54">
        <f t="shared" si="6"/>
        <v>0.17869571796035708</v>
      </c>
    </row>
    <row r="20" spans="1:15" x14ac:dyDescent="0.25">
      <c r="A20" s="31"/>
      <c r="B20" s="20" t="s">
        <v>156</v>
      </c>
      <c r="C20" s="107">
        <v>12.03</v>
      </c>
      <c r="D20" s="68">
        <f t="shared" si="7"/>
        <v>1.5387547470519991E-3</v>
      </c>
      <c r="E20" s="21"/>
      <c r="F20" s="22">
        <f>ROUND('PU Wise OWE'!$K$126/10000,2)</f>
        <v>11.75</v>
      </c>
      <c r="G20" s="24">
        <f t="shared" si="8"/>
        <v>1.4748336889669888E-3</v>
      </c>
      <c r="H20" s="72">
        <f>ROUND('PU Wise OWE'!$K$128/10000,2)</f>
        <v>0.44</v>
      </c>
      <c r="I20" s="22">
        <f>ROUND('PU Wise OWE'!$K$127/10000,2)</f>
        <v>2.11</v>
      </c>
      <c r="J20" s="23">
        <f>ROUND('PU Wise OWE'!$K$129/10000,2)</f>
        <v>0.21</v>
      </c>
      <c r="K20" s="22">
        <f t="shared" si="13"/>
        <v>-1.9</v>
      </c>
      <c r="L20" s="24">
        <f t="shared" si="14"/>
        <v>-0.90047393364928907</v>
      </c>
      <c r="M20" s="22">
        <f t="shared" si="11"/>
        <v>-0.23</v>
      </c>
      <c r="N20" s="54">
        <f t="shared" si="12"/>
        <v>-0.52272727272727271</v>
      </c>
      <c r="O20" s="54">
        <f t="shared" si="6"/>
        <v>1.7872340425531916E-2</v>
      </c>
    </row>
    <row r="21" spans="1:15" x14ac:dyDescent="0.25">
      <c r="A21" s="31"/>
      <c r="B21" s="20" t="s">
        <v>157</v>
      </c>
      <c r="C21" s="107">
        <v>48.93</v>
      </c>
      <c r="D21" s="68">
        <f t="shared" si="7"/>
        <v>6.2586259163137422E-3</v>
      </c>
      <c r="E21" s="21"/>
      <c r="F21" s="22">
        <f>ROUND('PU Wise OWE'!$L$126/10000,2)</f>
        <v>52.98</v>
      </c>
      <c r="G21" s="24">
        <f t="shared" si="8"/>
        <v>6.6499309652315796E-3</v>
      </c>
      <c r="H21" s="72">
        <f>ROUND('PU Wise OWE'!$L$128/10000,2)</f>
        <v>9.15</v>
      </c>
      <c r="I21" s="22">
        <f>ROUND('PU Wise OWE'!$L$127/10000,2)</f>
        <v>9.5399999999999991</v>
      </c>
      <c r="J21" s="23">
        <f>ROUND('PU Wise OWE'!$L$129/10000,2)</f>
        <v>5.45</v>
      </c>
      <c r="K21" s="22">
        <f t="shared" si="13"/>
        <v>-4.089999999999999</v>
      </c>
      <c r="L21" s="24">
        <f t="shared" si="14"/>
        <v>-0.4287211740041928</v>
      </c>
      <c r="M21" s="22">
        <f t="shared" si="11"/>
        <v>-3.7</v>
      </c>
      <c r="N21" s="54">
        <f t="shared" si="12"/>
        <v>-0.40437158469945356</v>
      </c>
      <c r="O21" s="54">
        <f t="shared" si="6"/>
        <v>0.10286900717251794</v>
      </c>
    </row>
    <row r="22" spans="1:15" x14ac:dyDescent="0.25">
      <c r="A22" s="31"/>
      <c r="B22" s="20" t="s">
        <v>179</v>
      </c>
      <c r="C22" s="107">
        <v>120.4</v>
      </c>
      <c r="D22" s="68">
        <f t="shared" si="7"/>
        <v>1.540033844929848E-2</v>
      </c>
      <c r="E22" s="21"/>
      <c r="F22" s="22">
        <f>ROUND('PU Wise OWE'!$M$126/10000,2)</f>
        <v>149.94999999999999</v>
      </c>
      <c r="G22" s="24">
        <f t="shared" si="8"/>
        <v>1.882138822643404E-2</v>
      </c>
      <c r="H22" s="72">
        <f>ROUND('PU Wise OWE'!$M$128/10000,2)</f>
        <v>17.02</v>
      </c>
      <c r="I22" s="22">
        <f>ROUND('PU Wise OWE'!$M$127/10000,2)</f>
        <v>26.99</v>
      </c>
      <c r="J22" s="23">
        <f>ROUND('PU Wise OWE'!$M$129/10000,2)</f>
        <v>19.84</v>
      </c>
      <c r="K22" s="22">
        <f t="shared" ref="K22" si="15">J22-I22</f>
        <v>-7.1499999999999986</v>
      </c>
      <c r="L22" s="24">
        <f t="shared" ref="L22" si="16">K22/I22</f>
        <v>-0.2649129307150796</v>
      </c>
      <c r="M22" s="22">
        <f t="shared" si="11"/>
        <v>2.8200000000000003</v>
      </c>
      <c r="N22" s="54">
        <f t="shared" si="12"/>
        <v>0.16568742655699178</v>
      </c>
      <c r="O22" s="54">
        <f t="shared" si="6"/>
        <v>0.13231077025675225</v>
      </c>
    </row>
    <row r="23" spans="1:15" x14ac:dyDescent="0.25">
      <c r="A23" s="31"/>
      <c r="B23" s="58" t="s">
        <v>158</v>
      </c>
      <c r="C23" s="108">
        <v>88.73</v>
      </c>
      <c r="D23" s="68">
        <f t="shared" si="7"/>
        <v>1.1349435470151612E-2</v>
      </c>
      <c r="E23" s="21"/>
      <c r="F23" s="22">
        <f>ROUND('PU Wise OWE'!$P$126/10000,2)</f>
        <v>92.29</v>
      </c>
      <c r="G23" s="24">
        <f t="shared" si="8"/>
        <v>1.1584034140830929E-2</v>
      </c>
      <c r="H23" s="72">
        <f>ROUND('PU Wise OWE'!$P$128/10000,2)</f>
        <v>16.559999999999999</v>
      </c>
      <c r="I23" s="22">
        <f>ROUND('PU Wise OWE'!$P$127/10000,2)</f>
        <v>16.61</v>
      </c>
      <c r="J23" s="23">
        <f>ROUND('PU Wise OWE'!$P$129/10000,2)</f>
        <v>22.39</v>
      </c>
      <c r="K23" s="22">
        <f t="shared" si="13"/>
        <v>5.7800000000000011</v>
      </c>
      <c r="L23" s="24">
        <f t="shared" si="14"/>
        <v>0.34798314268512953</v>
      </c>
      <c r="M23" s="22">
        <f t="shared" si="11"/>
        <v>5.8300000000000018</v>
      </c>
      <c r="N23" s="54">
        <f t="shared" si="12"/>
        <v>0.35205314009661848</v>
      </c>
      <c r="O23" s="54">
        <f t="shared" si="6"/>
        <v>0.24260483259291363</v>
      </c>
    </row>
    <row r="24" spans="1:15" x14ac:dyDescent="0.25">
      <c r="B24" s="58" t="s">
        <v>159</v>
      </c>
      <c r="C24" s="108">
        <v>81.78</v>
      </c>
      <c r="D24" s="68">
        <f t="shared" si="7"/>
        <v>1.0460462445046757E-2</v>
      </c>
      <c r="E24" s="21"/>
      <c r="F24" s="22">
        <f>ROUND('PU Wise OWE'!$S$126/10000,2)</f>
        <v>89.03</v>
      </c>
      <c r="G24" s="24">
        <f t="shared" si="8"/>
        <v>1.1174846240743065E-2</v>
      </c>
      <c r="H24" s="72">
        <f>ROUND('PU Wise OWE'!$S$128/10000,2)</f>
        <v>3.84</v>
      </c>
      <c r="I24" s="22">
        <f>ROUND('PU Wise OWE'!$S$127/10000,2)</f>
        <v>35.61</v>
      </c>
      <c r="J24" s="23">
        <f>ROUND('PU Wise OWE'!$S$129/10000,2)</f>
        <v>16.350000000000001</v>
      </c>
      <c r="K24" s="22">
        <f t="shared" si="13"/>
        <v>-19.259999999999998</v>
      </c>
      <c r="L24" s="24">
        <f t="shared" si="14"/>
        <v>-0.54085930918281377</v>
      </c>
      <c r="M24" s="22">
        <f t="shared" si="11"/>
        <v>12.510000000000002</v>
      </c>
      <c r="N24" s="54">
        <f t="shared" si="12"/>
        <v>3.2578125000000004</v>
      </c>
      <c r="O24" s="54">
        <f t="shared" si="6"/>
        <v>0.18364596203526903</v>
      </c>
    </row>
    <row r="25" spans="1:15" x14ac:dyDescent="0.25">
      <c r="B25" s="58" t="s">
        <v>160</v>
      </c>
      <c r="C25" s="108">
        <v>90.5</v>
      </c>
      <c r="D25" s="68">
        <f t="shared" si="7"/>
        <v>1.1575835794530833E-2</v>
      </c>
      <c r="E25" s="21"/>
      <c r="F25" s="22">
        <f>ROUND('PU Wise OWE'!$T$126/10000,2)</f>
        <v>83.15</v>
      </c>
      <c r="G25" s="24">
        <f t="shared" si="8"/>
        <v>1.0436801807455756E-2</v>
      </c>
      <c r="H25" s="72">
        <f>ROUND('PU Wise OWE'!$T$128/10000,2)</f>
        <v>13.22</v>
      </c>
      <c r="I25" s="22">
        <f>ROUND('PU Wise OWE'!$T$127/10000,2)</f>
        <v>14.97</v>
      </c>
      <c r="J25" s="23">
        <f>ROUND('PU Wise OWE'!$T$129/10000,2)</f>
        <v>12.99</v>
      </c>
      <c r="K25" s="22">
        <f t="shared" si="13"/>
        <v>-1.9800000000000004</v>
      </c>
      <c r="L25" s="24">
        <f t="shared" si="14"/>
        <v>-0.13226452905811625</v>
      </c>
      <c r="M25" s="22">
        <f t="shared" si="11"/>
        <v>-0.23000000000000043</v>
      </c>
      <c r="N25" s="54">
        <f t="shared" si="12"/>
        <v>-1.7397881996974313E-2</v>
      </c>
      <c r="O25" s="54">
        <f t="shared" si="6"/>
        <v>0.15622369212266987</v>
      </c>
    </row>
    <row r="26" spans="1:15" x14ac:dyDescent="0.25">
      <c r="B26" s="58" t="s">
        <v>178</v>
      </c>
      <c r="C26" s="108">
        <v>41.07</v>
      </c>
      <c r="D26" s="68">
        <f t="shared" si="7"/>
        <v>5.2532549843246554E-3</v>
      </c>
      <c r="E26" s="22"/>
      <c r="F26" s="22">
        <f>ROUND('PU Wise OWE'!$V$126/10000,2)</f>
        <v>34.5</v>
      </c>
      <c r="G26" s="24">
        <f t="shared" si="8"/>
        <v>4.3303627463286056E-3</v>
      </c>
      <c r="H26" s="72">
        <f>ROUND('PU Wise OWE'!$V$128/10000,2)</f>
        <v>5.96</v>
      </c>
      <c r="I26" s="22">
        <f>ROUND('PU Wise OWE'!$V$127/10000,2)</f>
        <v>6.21</v>
      </c>
      <c r="J26" s="23">
        <f>ROUND('PU Wise OWE'!$V$129/10000,2)</f>
        <v>5.72</v>
      </c>
      <c r="K26" s="22">
        <f t="shared" si="13"/>
        <v>-0.49000000000000021</v>
      </c>
      <c r="L26" s="24">
        <f t="shared" si="14"/>
        <v>-7.8904991948470241E-2</v>
      </c>
      <c r="M26" s="22">
        <f t="shared" si="11"/>
        <v>-0.24000000000000021</v>
      </c>
      <c r="N26" s="54">
        <f t="shared" si="12"/>
        <v>-4.0268456375838965E-2</v>
      </c>
      <c r="O26" s="54">
        <f t="shared" si="6"/>
        <v>0.16579710144927534</v>
      </c>
    </row>
    <row r="27" spans="1:15" x14ac:dyDescent="0.25">
      <c r="B27" s="58" t="s">
        <v>177</v>
      </c>
      <c r="C27" s="108">
        <v>169.78</v>
      </c>
      <c r="D27" s="68">
        <f t="shared" si="7"/>
        <v>2.1716523770115414E-2</v>
      </c>
      <c r="E27" s="22"/>
      <c r="F27" s="22">
        <f>ROUND('PU Wise OWE'!$AC$126/10000,2)</f>
        <v>133.18</v>
      </c>
      <c r="G27" s="24">
        <f t="shared" si="8"/>
        <v>1.6716455378436048E-2</v>
      </c>
      <c r="H27" s="72">
        <f>ROUND('PU Wise OWE'!$AC$128/10000,2)</f>
        <v>10.45</v>
      </c>
      <c r="I27" s="22">
        <f>ROUND('PU Wise OWE'!$AC$127/10000,2)</f>
        <v>23.97</v>
      </c>
      <c r="J27" s="23">
        <f>ROUND('PU Wise OWE'!$AC$129/10000,2)</f>
        <v>22.41</v>
      </c>
      <c r="K27" s="22">
        <f t="shared" ref="K27" si="17">J27-I27</f>
        <v>-1.5599999999999987</v>
      </c>
      <c r="L27" s="24">
        <f t="shared" ref="L27" si="18">K27/I27</f>
        <v>-6.508135168961196E-2</v>
      </c>
      <c r="M27" s="22">
        <f t="shared" si="11"/>
        <v>11.96</v>
      </c>
      <c r="N27" s="54">
        <f t="shared" si="12"/>
        <v>1.1444976076555025</v>
      </c>
      <c r="O27" s="54">
        <f t="shared" si="6"/>
        <v>0.16826850878510285</v>
      </c>
    </row>
    <row r="28" spans="1:15" x14ac:dyDescent="0.25">
      <c r="B28" s="212" t="s">
        <v>149</v>
      </c>
      <c r="C28" s="213">
        <f>SUM(C13:C27)</f>
        <v>4551.0499999999993</v>
      </c>
      <c r="D28" s="215">
        <f>SUM(D13:D27)</f>
        <v>0.58212383969833748</v>
      </c>
      <c r="E28" s="213"/>
      <c r="F28" s="213">
        <f>F5</f>
        <v>4658.2700000000004</v>
      </c>
      <c r="G28" s="215">
        <f t="shared" ref="G28:J28" si="19">SUM(G13:G27)</f>
        <v>0.58113468055729889</v>
      </c>
      <c r="H28" s="214">
        <f>SUM(H13:H27)</f>
        <v>732.77000000000021</v>
      </c>
      <c r="I28" s="213">
        <f t="shared" si="19"/>
        <v>835.13</v>
      </c>
      <c r="J28" s="213">
        <f t="shared" si="19"/>
        <v>781.85</v>
      </c>
      <c r="K28" s="213">
        <f t="shared" si="13"/>
        <v>-53.279999999999973</v>
      </c>
      <c r="L28" s="215">
        <f t="shared" si="14"/>
        <v>-6.3798450540634363E-2</v>
      </c>
      <c r="M28" s="213">
        <f>J28-H28</f>
        <v>49.079999999999814</v>
      </c>
      <c r="N28" s="216">
        <f>M28/H28</f>
        <v>6.6978724565688819E-2</v>
      </c>
      <c r="O28" s="216">
        <f t="shared" si="6"/>
        <v>0.16784128013189445</v>
      </c>
    </row>
    <row r="29" spans="1:15" x14ac:dyDescent="0.25">
      <c r="J29" s="70"/>
    </row>
    <row r="31" spans="1:15" x14ac:dyDescent="0.25">
      <c r="B31" s="77" t="s">
        <v>180</v>
      </c>
      <c r="C31" s="77"/>
      <c r="D31" s="79"/>
      <c r="H31" s="78"/>
      <c r="M31" s="36" t="s">
        <v>150</v>
      </c>
    </row>
    <row r="32" spans="1:15" ht="15" customHeight="1" x14ac:dyDescent="0.25">
      <c r="B32" s="263" t="s">
        <v>151</v>
      </c>
      <c r="C32" s="256" t="s">
        <v>303</v>
      </c>
      <c r="D32" s="256" t="s">
        <v>173</v>
      </c>
      <c r="E32" s="256"/>
      <c r="F32" s="234" t="str">
        <f>'PU Wise OWE'!$B$5</f>
        <v xml:space="preserve">OBG(SL) 2021-22 </v>
      </c>
      <c r="G32" s="256" t="s">
        <v>206</v>
      </c>
      <c r="H32" s="234" t="str">
        <f>'PU Wise OWE'!$B$7</f>
        <v>Actuals upto May' 20</v>
      </c>
      <c r="I32" s="234" t="str">
        <f>'PU Wise OWE'!$B$6</f>
        <v>BP to end  May-2021</v>
      </c>
      <c r="J32" s="234" t="str">
        <f>'PU Wise OWE'!$B$8</f>
        <v>Actuals upto May' 21</v>
      </c>
      <c r="K32" s="240" t="s">
        <v>207</v>
      </c>
      <c r="L32" s="240"/>
      <c r="M32" s="240" t="s">
        <v>147</v>
      </c>
      <c r="N32" s="240"/>
      <c r="O32" s="237" t="s">
        <v>315</v>
      </c>
    </row>
    <row r="33" spans="2:15" ht="18" customHeight="1" x14ac:dyDescent="0.25">
      <c r="B33" s="264"/>
      <c r="C33" s="235"/>
      <c r="D33" s="235"/>
      <c r="E33" s="235"/>
      <c r="F33" s="235"/>
      <c r="G33" s="235"/>
      <c r="H33" s="235"/>
      <c r="I33" s="235"/>
      <c r="J33" s="235"/>
      <c r="K33" s="81" t="s">
        <v>145</v>
      </c>
      <c r="L33" s="82" t="s">
        <v>146</v>
      </c>
      <c r="M33" s="81" t="s">
        <v>145</v>
      </c>
      <c r="N33" s="82" t="s">
        <v>146</v>
      </c>
      <c r="O33" s="237"/>
    </row>
    <row r="34" spans="2:15" x14ac:dyDescent="0.25">
      <c r="B34" s="86" t="s">
        <v>181</v>
      </c>
      <c r="C34" s="109">
        <v>10.44</v>
      </c>
      <c r="D34" s="68">
        <f t="shared" ref="D34:D37" si="20">C34/$C$7</f>
        <v>1.335378184474054E-3</v>
      </c>
      <c r="E34" s="21"/>
      <c r="F34" s="22">
        <f>ROUND(('PU Wise OWE'!$AE$126+'PU Wise OWE'!$AF$126)/10000,2)</f>
        <v>9.56</v>
      </c>
      <c r="G34" s="24">
        <f t="shared" ref="G34:G37" si="21">F34/$F$7</f>
        <v>1.1999497928956947E-3</v>
      </c>
      <c r="H34" s="72">
        <f>ROUND(('PU Wise OWE'!$AE$128+'PU Wise OWE'!$AF$128)/10000,2)</f>
        <v>1.58</v>
      </c>
      <c r="I34" s="22">
        <f>ROUND(('PU Wise OWE'!$AE$127+'PU Wise OWE'!$AF$127)/10000,2)</f>
        <v>1.72</v>
      </c>
      <c r="J34" s="23">
        <f>ROUND(('PU Wise OWE'!$AE$129+'PU Wise OWE'!$AF$129)/10000,2)</f>
        <v>0.77</v>
      </c>
      <c r="K34" s="22">
        <f t="shared" ref="K34:K36" si="22">J34-I34</f>
        <v>-0.95</v>
      </c>
      <c r="L34" s="24">
        <f t="shared" ref="L34:L36" si="23">K34/I34</f>
        <v>-0.55232558139534882</v>
      </c>
      <c r="M34" s="22">
        <f t="shared" ref="M34" si="24">J34-H34</f>
        <v>-0.81</v>
      </c>
      <c r="N34" s="54">
        <f t="shared" ref="N34" si="25">M34/H34</f>
        <v>-0.51265822784810122</v>
      </c>
      <c r="O34" s="54">
        <f t="shared" ref="O34:O37" si="26">J34/F34</f>
        <v>8.0543933054393307E-2</v>
      </c>
    </row>
    <row r="35" spans="2:15" ht="16.5" customHeight="1" x14ac:dyDescent="0.25">
      <c r="B35" s="86" t="s">
        <v>182</v>
      </c>
      <c r="C35" s="109">
        <v>21.76</v>
      </c>
      <c r="D35" s="68">
        <f t="shared" si="20"/>
        <v>2.783316982198795E-3</v>
      </c>
      <c r="E35" s="21"/>
      <c r="F35" s="22">
        <f>ROUND('PU Wise OWE'!$AG$126/10000,2)</f>
        <v>7.15</v>
      </c>
      <c r="G35" s="24">
        <f t="shared" si="21"/>
        <v>8.9745198945650811E-4</v>
      </c>
      <c r="H35" s="72">
        <f>ROUND('PU Wise OWE'!$AG$128/10000,2)</f>
        <v>4.95</v>
      </c>
      <c r="I35" s="22">
        <f>ROUND('PU Wise OWE'!$AG$127/10000,2)</f>
        <v>1.29</v>
      </c>
      <c r="J35" s="23">
        <f>ROUND('PU Wise OWE'!$AG$129/10000,2)</f>
        <v>4.9000000000000004</v>
      </c>
      <c r="K35" s="22">
        <f t="shared" si="22"/>
        <v>3.6100000000000003</v>
      </c>
      <c r="L35" s="24">
        <f t="shared" si="23"/>
        <v>2.7984496124031009</v>
      </c>
      <c r="M35" s="22">
        <f t="shared" ref="M35:M37" si="27">J35-H35</f>
        <v>-4.9999999999999822E-2</v>
      </c>
      <c r="N35" s="54">
        <f t="shared" ref="N35:N37" si="28">M35/H35</f>
        <v>-1.0101010101010065E-2</v>
      </c>
      <c r="O35" s="54">
        <f t="shared" si="26"/>
        <v>0.68531468531468531</v>
      </c>
    </row>
    <row r="36" spans="2:15" ht="15.75" customHeight="1" x14ac:dyDescent="0.25">
      <c r="B36" s="86" t="s">
        <v>183</v>
      </c>
      <c r="C36" s="109">
        <v>2.42</v>
      </c>
      <c r="D36" s="68">
        <f t="shared" si="20"/>
        <v>3.0954168643938801E-4</v>
      </c>
      <c r="E36" s="21"/>
      <c r="F36" s="22">
        <f>ROUND('PU Wise OWE'!$AJ$126/10000,2)</f>
        <v>2.23</v>
      </c>
      <c r="G36" s="24">
        <f t="shared" si="21"/>
        <v>2.7990460650181999E-4</v>
      </c>
      <c r="H36" s="72">
        <f>ROUND('PU Wise OWE'!$AJ$128/10000,2)</f>
        <v>0.51</v>
      </c>
      <c r="I36" s="22">
        <f>ROUND('PU Wise OWE'!$AJ$127/10000,2)</f>
        <v>0.4</v>
      </c>
      <c r="J36" s="23">
        <f>ROUND('PU Wise OWE'!$AJ$129/10000,2)</f>
        <v>0.15</v>
      </c>
      <c r="K36" s="22">
        <f t="shared" si="22"/>
        <v>-0.25</v>
      </c>
      <c r="L36" s="24">
        <f t="shared" si="23"/>
        <v>-0.625</v>
      </c>
      <c r="M36" s="22">
        <f t="shared" si="27"/>
        <v>-0.36</v>
      </c>
      <c r="N36" s="54">
        <f t="shared" si="28"/>
        <v>-0.70588235294117641</v>
      </c>
      <c r="O36" s="54">
        <f t="shared" si="26"/>
        <v>6.726457399103139E-2</v>
      </c>
    </row>
    <row r="37" spans="2:15" x14ac:dyDescent="0.25">
      <c r="B37" s="25" t="s">
        <v>149</v>
      </c>
      <c r="C37" s="26">
        <v>34.619999999999997</v>
      </c>
      <c r="D37" s="69">
        <f t="shared" si="20"/>
        <v>4.4282368531122366E-3</v>
      </c>
      <c r="E37" s="26"/>
      <c r="F37" s="76">
        <f t="shared" ref="F37:J37" si="29">SUM(F34:F36)</f>
        <v>18.940000000000001</v>
      </c>
      <c r="G37" s="56">
        <f t="shared" si="21"/>
        <v>2.3773063888540228E-3</v>
      </c>
      <c r="H37" s="76">
        <f>SUM(H34:H36)</f>
        <v>7.04</v>
      </c>
      <c r="I37" s="76">
        <f t="shared" si="29"/>
        <v>3.4099999999999997</v>
      </c>
      <c r="J37" s="76">
        <f t="shared" si="29"/>
        <v>5.82</v>
      </c>
      <c r="K37" s="26">
        <f t="shared" ref="K37" si="30">J37-I37</f>
        <v>2.4100000000000006</v>
      </c>
      <c r="L37" s="56">
        <f t="shared" ref="L37" si="31">K37/I37</f>
        <v>0.70674486803519088</v>
      </c>
      <c r="M37" s="26">
        <f t="shared" si="27"/>
        <v>-1.2199999999999998</v>
      </c>
      <c r="N37" s="57">
        <f t="shared" si="28"/>
        <v>-0.1732954545454545</v>
      </c>
      <c r="O37" s="57">
        <f t="shared" si="26"/>
        <v>0.30728616684266102</v>
      </c>
    </row>
    <row r="39" spans="2:15" x14ac:dyDescent="0.25">
      <c r="B39" s="84"/>
      <c r="C39" s="84"/>
      <c r="D39" s="84"/>
      <c r="H39" s="85"/>
      <c r="M39" s="36" t="s">
        <v>150</v>
      </c>
    </row>
    <row r="40" spans="2:15" ht="15" customHeight="1" x14ac:dyDescent="0.25">
      <c r="B40" s="237" t="s">
        <v>164</v>
      </c>
      <c r="C40" s="256" t="s">
        <v>303</v>
      </c>
      <c r="D40" s="256" t="s">
        <v>173</v>
      </c>
      <c r="E40" s="257"/>
      <c r="F40" s="234" t="str">
        <f>'PU Wise OWE'!$B$5</f>
        <v xml:space="preserve">OBG(SL) 2021-22 </v>
      </c>
      <c r="G40" s="256" t="s">
        <v>206</v>
      </c>
      <c r="H40" s="234" t="str">
        <f>'PU Wise OWE'!$B$7</f>
        <v>Actuals upto May' 20</v>
      </c>
      <c r="I40" s="234" t="str">
        <f>'PU Wise OWE'!$B$6</f>
        <v>BP to end  May-2021</v>
      </c>
      <c r="J40" s="234" t="str">
        <f>'PU Wise OWE'!$B$8</f>
        <v>Actuals upto May' 21</v>
      </c>
      <c r="K40" s="240" t="s">
        <v>207</v>
      </c>
      <c r="L40" s="240"/>
      <c r="M40" s="240" t="s">
        <v>147</v>
      </c>
      <c r="N40" s="240"/>
      <c r="O40" s="237" t="s">
        <v>315</v>
      </c>
    </row>
    <row r="41" spans="2:15" ht="17.25" customHeight="1" x14ac:dyDescent="0.25">
      <c r="B41" s="237"/>
      <c r="C41" s="235"/>
      <c r="D41" s="235"/>
      <c r="E41" s="258"/>
      <c r="F41" s="235"/>
      <c r="G41" s="235"/>
      <c r="H41" s="235"/>
      <c r="I41" s="235"/>
      <c r="J41" s="235"/>
      <c r="K41" s="81" t="s">
        <v>145</v>
      </c>
      <c r="L41" s="82" t="s">
        <v>146</v>
      </c>
      <c r="M41" s="81" t="s">
        <v>145</v>
      </c>
      <c r="N41" s="82" t="s">
        <v>146</v>
      </c>
      <c r="O41" s="237"/>
    </row>
    <row r="42" spans="2:15" x14ac:dyDescent="0.25">
      <c r="B42" s="27" t="s">
        <v>165</v>
      </c>
      <c r="C42" s="106">
        <v>273.47000000000003</v>
      </c>
      <c r="D42" s="68">
        <f t="shared" ref="D42:D49" si="32">C42/$C$7</f>
        <v>3.4979489665528697E-2</v>
      </c>
      <c r="E42" s="258"/>
      <c r="F42" s="21">
        <f>SUM(F43:F47)</f>
        <v>213.87</v>
      </c>
      <c r="G42" s="24">
        <f t="shared" ref="G42:G49" si="33">F42/$F$7</f>
        <v>2.684448349441446E-2</v>
      </c>
      <c r="H42" s="72">
        <f>SUM(H43:H47)</f>
        <v>60.300000000000004</v>
      </c>
      <c r="I42" s="21">
        <f>SUM(I43:I47)</f>
        <v>38.5</v>
      </c>
      <c r="J42" s="21">
        <f>SUM(J43:J47)</f>
        <v>90.990000000000009</v>
      </c>
      <c r="K42" s="22">
        <f>J42-I42</f>
        <v>52.490000000000009</v>
      </c>
      <c r="L42" s="24">
        <f>K42/I42</f>
        <v>1.3633766233766236</v>
      </c>
      <c r="M42" s="22">
        <f t="shared" ref="M42" si="34">J42-H42</f>
        <v>30.690000000000005</v>
      </c>
      <c r="N42" s="54">
        <f t="shared" ref="N42" si="35">M42/H42</f>
        <v>0.50895522388059711</v>
      </c>
      <c r="O42" s="54">
        <f t="shared" ref="O42:O48" si="36">J42/F42</f>
        <v>0.425445364006172</v>
      </c>
    </row>
    <row r="43" spans="2:15" x14ac:dyDescent="0.25">
      <c r="B43" s="59" t="s">
        <v>161</v>
      </c>
      <c r="C43" s="21">
        <v>19.690000000000001</v>
      </c>
      <c r="D43" s="68">
        <f t="shared" si="32"/>
        <v>2.5185437214841119E-3</v>
      </c>
      <c r="E43" s="258"/>
      <c r="F43" s="21">
        <f>ROUND('PU Wise OWE'!$AK$82/10000,2)</f>
        <v>14.25</v>
      </c>
      <c r="G43" s="24">
        <f t="shared" si="33"/>
        <v>1.7886280908748589E-3</v>
      </c>
      <c r="H43" s="72">
        <f>ROUND('PU Wise OWE'!$AK$84/10000,2)</f>
        <v>3.07</v>
      </c>
      <c r="I43" s="21">
        <f>ROUND('PU Wise OWE'!$AK$83/10000,2)</f>
        <v>2.57</v>
      </c>
      <c r="J43" s="21">
        <f>ROUND('PU Wise OWE'!$AK$85/10000,2)</f>
        <v>6.37</v>
      </c>
      <c r="K43" s="22">
        <f t="shared" ref="K43:K49" si="37">J43-I43</f>
        <v>3.8000000000000003</v>
      </c>
      <c r="L43" s="24">
        <f t="shared" ref="L43:L49" si="38">K43/I43</f>
        <v>1.4785992217898836</v>
      </c>
      <c r="M43" s="22">
        <f t="shared" ref="M43:M48" si="39">J43-H43</f>
        <v>3.3000000000000003</v>
      </c>
      <c r="N43" s="54">
        <f t="shared" ref="N43:N48" si="40">M43/H43</f>
        <v>1.0749185667752443</v>
      </c>
      <c r="O43" s="54">
        <f t="shared" si="36"/>
        <v>0.44701754385964915</v>
      </c>
    </row>
    <row r="44" spans="2:15" x14ac:dyDescent="0.25">
      <c r="B44" s="60" t="s">
        <v>168</v>
      </c>
      <c r="C44" s="110">
        <v>114.4</v>
      </c>
      <c r="D44" s="68">
        <f t="shared" si="32"/>
        <v>1.4632879722589252E-2</v>
      </c>
      <c r="E44" s="258"/>
      <c r="F44" s="21">
        <f>ROUND('PU Wise OWE'!$AR$82/10000,2)</f>
        <v>78.95</v>
      </c>
      <c r="G44" s="24">
        <f t="shared" si="33"/>
        <v>9.9096272122505338E-3</v>
      </c>
      <c r="H44" s="72">
        <f>ROUND('PU Wise OWE'!$AR$84/10000,2)</f>
        <v>19.489999999999998</v>
      </c>
      <c r="I44" s="21">
        <f>ROUND('PU Wise OWE'!$AR$83/10000,2)</f>
        <v>14.21</v>
      </c>
      <c r="J44" s="21">
        <f>ROUND('PU Wise OWE'!$AR$85/10000,2)</f>
        <v>33.82</v>
      </c>
      <c r="K44" s="22">
        <f t="shared" ref="K44:K45" si="41">J44-I44</f>
        <v>19.61</v>
      </c>
      <c r="L44" s="24">
        <f t="shared" ref="L44:L45" si="42">K44/I44</f>
        <v>1.3800140745953553</v>
      </c>
      <c r="M44" s="22">
        <f t="shared" si="39"/>
        <v>14.330000000000002</v>
      </c>
      <c r="N44" s="54">
        <f t="shared" si="40"/>
        <v>0.73524884556182668</v>
      </c>
      <c r="O44" s="54">
        <f t="shared" si="36"/>
        <v>0.42837238758708041</v>
      </c>
    </row>
    <row r="45" spans="2:15" x14ac:dyDescent="0.25">
      <c r="B45" s="60" t="s">
        <v>169</v>
      </c>
      <c r="C45" s="110">
        <v>46.69</v>
      </c>
      <c r="D45" s="68">
        <f t="shared" si="32"/>
        <v>5.9721079916756304E-3</v>
      </c>
      <c r="E45" s="258"/>
      <c r="F45" s="21">
        <f>ROUND('PU Wise OWE'!$AU$82/10000,2)</f>
        <v>34.83</v>
      </c>
      <c r="G45" s="24">
        <f t="shared" si="33"/>
        <v>4.3717836073804443E-3</v>
      </c>
      <c r="H45" s="72">
        <f>ROUND('PU Wise OWE'!$AU$84/10000,2)</f>
        <v>8.98</v>
      </c>
      <c r="I45" s="21">
        <f>ROUND('PU Wise OWE'!$AU$83/10000,2)</f>
        <v>6.27</v>
      </c>
      <c r="J45" s="21">
        <f>ROUND('PU Wise OWE'!$AU$85/10000,2)</f>
        <v>14.05</v>
      </c>
      <c r="K45" s="22">
        <f t="shared" si="41"/>
        <v>7.7800000000000011</v>
      </c>
      <c r="L45" s="24">
        <f t="shared" si="42"/>
        <v>1.2408293460925042</v>
      </c>
      <c r="M45" s="22">
        <f t="shared" si="39"/>
        <v>5.07</v>
      </c>
      <c r="N45" s="54">
        <f t="shared" si="40"/>
        <v>0.56458797327394206</v>
      </c>
      <c r="O45" s="54">
        <f t="shared" si="36"/>
        <v>0.4033878840080391</v>
      </c>
    </row>
    <row r="46" spans="2:15" x14ac:dyDescent="0.25">
      <c r="B46" s="59" t="s">
        <v>166</v>
      </c>
      <c r="C46" s="21">
        <v>54.55</v>
      </c>
      <c r="D46" s="68">
        <f t="shared" si="32"/>
        <v>6.9774789236647173E-3</v>
      </c>
      <c r="E46" s="258"/>
      <c r="F46" s="21">
        <f>ROUND('PU Wise OWE'!$AZ$82/10000,2)</f>
        <v>31.73</v>
      </c>
      <c r="G46" s="24">
        <f t="shared" si="33"/>
        <v>3.9826785490146861E-3</v>
      </c>
      <c r="H46" s="72">
        <f>ROUND('PU Wise OWE'!$AZ$84/10000,2)</f>
        <v>4.41</v>
      </c>
      <c r="I46" s="21">
        <f>ROUND('PU Wise OWE'!$AZ$83/10000,2)</f>
        <v>5.71</v>
      </c>
      <c r="J46" s="21">
        <f>ROUND('PU Wise OWE'!$AZ$85/10000,2)</f>
        <v>24.35</v>
      </c>
      <c r="K46" s="22">
        <f t="shared" si="37"/>
        <v>18.64</v>
      </c>
      <c r="L46" s="24">
        <f t="shared" si="38"/>
        <v>3.2644483362521894</v>
      </c>
      <c r="M46" s="22">
        <f t="shared" si="39"/>
        <v>19.940000000000001</v>
      </c>
      <c r="N46" s="54">
        <f t="shared" si="40"/>
        <v>4.5215419501133791</v>
      </c>
      <c r="O46" s="54">
        <f t="shared" si="36"/>
        <v>0.76741254333438391</v>
      </c>
    </row>
    <row r="47" spans="2:15" x14ac:dyDescent="0.25">
      <c r="B47" s="60" t="s">
        <v>167</v>
      </c>
      <c r="C47" s="110">
        <v>38.14</v>
      </c>
      <c r="D47" s="68">
        <f t="shared" si="32"/>
        <v>4.878479306114983E-3</v>
      </c>
      <c r="E47" s="258"/>
      <c r="F47" s="21">
        <f>ROUND('PU Wise OWE'!$BA$82/10000,2)</f>
        <v>54.11</v>
      </c>
      <c r="G47" s="24">
        <f t="shared" si="33"/>
        <v>6.791766034893937E-3</v>
      </c>
      <c r="H47" s="72">
        <f>ROUND('PU Wise OWE'!$BA$84/10000,2)</f>
        <v>24.35</v>
      </c>
      <c r="I47" s="21">
        <f>ROUND('PU Wise OWE'!$BA$83/10000,2)</f>
        <v>9.74</v>
      </c>
      <c r="J47" s="21">
        <f>ROUND('PU Wise OWE'!$BA$85/10000,2)</f>
        <v>12.4</v>
      </c>
      <c r="K47" s="22">
        <f t="shared" si="37"/>
        <v>2.66</v>
      </c>
      <c r="L47" s="24">
        <f t="shared" si="38"/>
        <v>0.2731006160164271</v>
      </c>
      <c r="M47" s="22">
        <f t="shared" si="39"/>
        <v>-11.950000000000001</v>
      </c>
      <c r="N47" s="54">
        <f t="shared" si="40"/>
        <v>-0.49075975359342916</v>
      </c>
      <c r="O47" s="54">
        <f t="shared" si="36"/>
        <v>0.22916281648493811</v>
      </c>
    </row>
    <row r="48" spans="2:15" x14ac:dyDescent="0.25">
      <c r="B48" s="61" t="s">
        <v>170</v>
      </c>
      <c r="C48" s="105">
        <v>663.48</v>
      </c>
      <c r="D48" s="68">
        <f t="shared" si="32"/>
        <v>8.4865585999506263E-2</v>
      </c>
      <c r="E48" s="258"/>
      <c r="F48" s="21">
        <f>ROUND('PU Wise OWE'!$AM$82/10000,2)</f>
        <v>685.16</v>
      </c>
      <c r="G48" s="24">
        <f t="shared" si="33"/>
        <v>8.599974896447847E-2</v>
      </c>
      <c r="H48" s="72">
        <f>ROUND('PU Wise OWE'!$AM$84/10000,2)</f>
        <v>102.85</v>
      </c>
      <c r="I48" s="21">
        <f>ROUND('PU Wise OWE'!$AM$83/10000,2)</f>
        <v>123.33</v>
      </c>
      <c r="J48" s="21">
        <f>ROUND('PU Wise OWE'!$AM$85/10000,2)</f>
        <v>130.47</v>
      </c>
      <c r="K48" s="22">
        <f t="shared" si="37"/>
        <v>7.1400000000000006</v>
      </c>
      <c r="L48" s="24">
        <f t="shared" si="38"/>
        <v>5.7893456579907569E-2</v>
      </c>
      <c r="M48" s="22">
        <f t="shared" si="39"/>
        <v>27.620000000000005</v>
      </c>
      <c r="N48" s="54">
        <f t="shared" si="40"/>
        <v>0.26854642683519697</v>
      </c>
      <c r="O48" s="54">
        <f t="shared" si="36"/>
        <v>0.19042267499562146</v>
      </c>
    </row>
    <row r="49" spans="2:15" s="36" customFormat="1" x14ac:dyDescent="0.25">
      <c r="B49" s="62" t="s">
        <v>130</v>
      </c>
      <c r="C49" s="76">
        <f>C42+C48</f>
        <v>936.95</v>
      </c>
      <c r="D49" s="69">
        <f t="shared" si="32"/>
        <v>0.11984507566503497</v>
      </c>
      <c r="E49" s="259"/>
      <c r="F49" s="26">
        <f>F42+F48</f>
        <v>899.03</v>
      </c>
      <c r="G49" s="56">
        <f t="shared" si="33"/>
        <v>0.11284423245889293</v>
      </c>
      <c r="H49" s="76">
        <f>H42+H48</f>
        <v>163.15</v>
      </c>
      <c r="I49" s="26">
        <f>I42+I48</f>
        <v>161.82999999999998</v>
      </c>
      <c r="J49" s="26">
        <f>J42+J48</f>
        <v>221.46</v>
      </c>
      <c r="K49" s="26">
        <f t="shared" si="37"/>
        <v>59.630000000000024</v>
      </c>
      <c r="L49" s="56">
        <f t="shared" si="38"/>
        <v>0.36847308904405879</v>
      </c>
      <c r="M49" s="26">
        <f t="shared" ref="M49" si="43">J49-H49</f>
        <v>58.31</v>
      </c>
      <c r="N49" s="57">
        <f t="shared" ref="N49" si="44">M49/H49</f>
        <v>0.35740116457247934</v>
      </c>
      <c r="O49" s="57">
        <f t="shared" ref="O49" si="45">J49/F49</f>
        <v>0.24633215799250305</v>
      </c>
    </row>
    <row r="51" spans="2:15" x14ac:dyDescent="0.25">
      <c r="B51" s="77" t="s">
        <v>184</v>
      </c>
      <c r="C51" s="77"/>
    </row>
    <row r="52" spans="2:15" ht="47.25" customHeight="1" x14ac:dyDescent="0.25">
      <c r="B52" s="83" t="s">
        <v>185</v>
      </c>
      <c r="C52" s="111">
        <v>188.88</v>
      </c>
      <c r="D52" s="68">
        <f t="shared" ref="D52:D54" si="46">C52/$C$7</f>
        <v>2.4159600716806451E-2</v>
      </c>
      <c r="E52" s="253"/>
      <c r="F52" s="22">
        <f>ROUND('PU Wise OWE'!$AK$126/10000,2)-F43</f>
        <v>121.82</v>
      </c>
      <c r="G52" s="24">
        <f t="shared" ref="G52:G54" si="47">F52/$F$7</f>
        <v>1.5290573616166687E-2</v>
      </c>
      <c r="H52" s="72">
        <f>ROUND('PU Wise OWE'!$AK$128/10000,2)-H43</f>
        <v>20.64</v>
      </c>
      <c r="I52" s="22">
        <f>ROUND('PU Wise OWE'!$AK$127/10000,2)-I43</f>
        <v>21.919999999999998</v>
      </c>
      <c r="J52" s="22">
        <f>ROUND('PU Wise OWE'!$AK$129/10000,2)-J43</f>
        <v>31.830000000000002</v>
      </c>
      <c r="K52" s="22">
        <f>J52-I52</f>
        <v>9.9100000000000037</v>
      </c>
      <c r="L52" s="24">
        <f>K52/I52</f>
        <v>0.45209854014598561</v>
      </c>
      <c r="M52" s="22">
        <f t="shared" ref="M52" si="48">J52-H52</f>
        <v>11.190000000000001</v>
      </c>
      <c r="N52" s="54">
        <f t="shared" ref="N52" si="49">M52/H52</f>
        <v>0.54215116279069775</v>
      </c>
      <c r="O52" s="54">
        <f t="shared" ref="O52:O54" si="50">J52/F52</f>
        <v>0.26128714496798561</v>
      </c>
    </row>
    <row r="53" spans="2:15" x14ac:dyDescent="0.25">
      <c r="B53" s="20" t="s">
        <v>162</v>
      </c>
      <c r="C53" s="107">
        <v>121.46</v>
      </c>
      <c r="D53" s="68">
        <f t="shared" si="46"/>
        <v>1.5535922824350441E-2</v>
      </c>
      <c r="E53" s="254"/>
      <c r="F53" s="22">
        <f>ROUND('PU Wise OWE'!$AL$126/10000,2)</f>
        <v>109.58</v>
      </c>
      <c r="G53" s="24">
        <f t="shared" si="47"/>
        <v>1.3754236224425755E-2</v>
      </c>
      <c r="H53" s="72">
        <f>ROUND('PU Wise OWE'!$AL$128/10000,2)</f>
        <v>23.56</v>
      </c>
      <c r="I53" s="22">
        <f>ROUND('PU Wise OWE'!$AL$127/10000,2)</f>
        <v>19.72</v>
      </c>
      <c r="J53" s="23">
        <f>ROUND('PU Wise OWE'!$AL$129/10000,2)</f>
        <v>10.32</v>
      </c>
      <c r="K53" s="22">
        <f t="shared" ref="K53" si="51">J53-I53</f>
        <v>-9.3999999999999986</v>
      </c>
      <c r="L53" s="24">
        <f t="shared" ref="L53" si="52">K53/I53</f>
        <v>-0.47667342799188639</v>
      </c>
      <c r="M53" s="22">
        <f t="shared" ref="M53:M54" si="53">J53-H53</f>
        <v>-13.239999999999998</v>
      </c>
      <c r="N53" s="54">
        <f t="shared" ref="N53:N54" si="54">M53/H53</f>
        <v>-0.56196943972835312</v>
      </c>
      <c r="O53" s="54">
        <f t="shared" si="50"/>
        <v>9.4177769665997446E-2</v>
      </c>
    </row>
    <row r="54" spans="2:15" s="36" customFormat="1" x14ac:dyDescent="0.25">
      <c r="B54" s="25" t="s">
        <v>130</v>
      </c>
      <c r="C54" s="26">
        <f>C52+C53</f>
        <v>310.33999999999997</v>
      </c>
      <c r="D54" s="69">
        <f t="shared" si="46"/>
        <v>3.9695523541156887E-2</v>
      </c>
      <c r="E54" s="255"/>
      <c r="F54" s="76">
        <f t="shared" ref="F54:J54" si="55">SUM(F52:F53)</f>
        <v>231.39999999999998</v>
      </c>
      <c r="G54" s="56">
        <f t="shared" si="47"/>
        <v>2.9044809840592441E-2</v>
      </c>
      <c r="H54" s="76">
        <f>SUM(H52:H53)</f>
        <v>44.2</v>
      </c>
      <c r="I54" s="76">
        <f t="shared" si="55"/>
        <v>41.64</v>
      </c>
      <c r="J54" s="76">
        <f t="shared" si="55"/>
        <v>42.150000000000006</v>
      </c>
      <c r="K54" s="26">
        <f t="shared" ref="K54" si="56">J54-I54</f>
        <v>0.51000000000000512</v>
      </c>
      <c r="L54" s="56">
        <f t="shared" ref="L54" si="57">K54/I54</f>
        <v>1.224783861671482E-2</v>
      </c>
      <c r="M54" s="26">
        <f t="shared" si="53"/>
        <v>-2.0499999999999972</v>
      </c>
      <c r="N54" s="57">
        <f t="shared" si="54"/>
        <v>-4.6380090497737489E-2</v>
      </c>
      <c r="O54" s="57">
        <f t="shared" si="50"/>
        <v>0.18215211754537602</v>
      </c>
    </row>
    <row r="56" spans="2:15" s="36" customFormat="1" x14ac:dyDescent="0.25">
      <c r="B56" s="209" t="s">
        <v>163</v>
      </c>
      <c r="C56" s="112">
        <v>348.19</v>
      </c>
      <c r="D56" s="204" t="e">
        <f>#REF!/#REF!</f>
        <v>#REF!</v>
      </c>
      <c r="E56" s="55"/>
      <c r="F56" s="205">
        <f>ROUND('PU Wise OWE'!$AO$126/10000,2)</f>
        <v>304.54000000000002</v>
      </c>
      <c r="G56" s="206">
        <f t="shared" ref="G56" si="58">F56/$F$7</f>
        <v>3.8225178862809087E-2</v>
      </c>
      <c r="H56" s="210">
        <f>ROUND('PU Wise OWE'!$AO$128/10000,2)</f>
        <v>66.760000000000005</v>
      </c>
      <c r="I56" s="205">
        <f>ROUND('PU Wise OWE'!$AO$127/10000,2)</f>
        <v>54.82</v>
      </c>
      <c r="J56" s="135">
        <f>ROUND('PU Wise OWE'!$AO$129/10000,2)</f>
        <v>41.73</v>
      </c>
      <c r="K56" s="205">
        <f t="shared" ref="K56" si="59">J56-I56</f>
        <v>-13.090000000000003</v>
      </c>
      <c r="L56" s="206">
        <f t="shared" ref="L56" si="60">K56/I56</f>
        <v>-0.23878146661802269</v>
      </c>
      <c r="M56" s="205">
        <f t="shared" ref="M56" si="61">J56-H56</f>
        <v>-25.030000000000008</v>
      </c>
      <c r="N56" s="207">
        <f t="shared" ref="N56" si="62">M56/H56</f>
        <v>-0.37492510485320563</v>
      </c>
      <c r="O56" s="207">
        <f t="shared" ref="O56" si="63">J56/F56</f>
        <v>0.13702633480002624</v>
      </c>
    </row>
    <row r="57" spans="2:15" x14ac:dyDescent="0.25">
      <c r="C57" s="202"/>
      <c r="O57" s="102"/>
    </row>
    <row r="58" spans="2:15" x14ac:dyDescent="0.25">
      <c r="B58" s="77" t="s">
        <v>186</v>
      </c>
      <c r="C58" s="208"/>
      <c r="O58" s="208"/>
    </row>
    <row r="59" spans="2:15" x14ac:dyDescent="0.25">
      <c r="B59" s="23" t="s">
        <v>187</v>
      </c>
      <c r="C59" s="22">
        <v>80.099999999999994</v>
      </c>
      <c r="D59" s="68">
        <f t="shared" ref="D59:D63" si="64">C59/$C$7</f>
        <v>1.0245574001568173E-2</v>
      </c>
      <c r="E59" s="250"/>
      <c r="F59" s="22">
        <f>ROUND('PU Wise OWE'!$AM$60/10000,2)</f>
        <v>67.81</v>
      </c>
      <c r="G59" s="24">
        <f t="shared" ref="G59:G63" si="65">F59/$F$7</f>
        <v>8.5113593573490649E-3</v>
      </c>
      <c r="H59" s="72">
        <f>ROUND('PU Wise OWE'!$AM$62/10000,2)</f>
        <v>4.57</v>
      </c>
      <c r="I59" s="22">
        <f>ROUND('PU Wise OWE'!$AM$61/10000,2)</f>
        <v>12.21</v>
      </c>
      <c r="J59" s="23">
        <f>ROUND('PU Wise OWE'!$AM$63/10000,2)</f>
        <v>14.03</v>
      </c>
      <c r="K59" s="22">
        <f t="shared" ref="K59:K61" si="66">J59-I59</f>
        <v>1.8199999999999985</v>
      </c>
      <c r="L59" s="24">
        <f t="shared" ref="L59:L61" si="67">K59/I59</f>
        <v>0.14905814905814893</v>
      </c>
      <c r="M59" s="22">
        <f t="shared" ref="M59" si="68">J59-H59</f>
        <v>9.4599999999999991</v>
      </c>
      <c r="N59" s="54">
        <f t="shared" ref="N59" si="69">M59/H59</f>
        <v>2.0700218818380742</v>
      </c>
      <c r="O59" s="54">
        <f t="shared" ref="O59:O63" si="70">J59/F59</f>
        <v>0.20690163692670696</v>
      </c>
    </row>
    <row r="60" spans="2:15" x14ac:dyDescent="0.25">
      <c r="B60" s="23" t="s">
        <v>188</v>
      </c>
      <c r="C60" s="22">
        <v>21.26</v>
      </c>
      <c r="D60" s="68">
        <f t="shared" si="64"/>
        <v>2.7193620883063595E-3</v>
      </c>
      <c r="E60" s="251"/>
      <c r="F60" s="22">
        <f>ROUND('PU Wise OWE'!$AM$93/10000,2)</f>
        <v>16.309999999999999</v>
      </c>
      <c r="G60" s="24">
        <f t="shared" si="65"/>
        <v>2.0471946780469437E-3</v>
      </c>
      <c r="H60" s="72">
        <f>ROUND('PU Wise OWE'!$AM$95/10000,2)</f>
        <v>2.81</v>
      </c>
      <c r="I60" s="22">
        <f>ROUND('PU Wise OWE'!$AM$94/10000,2)</f>
        <v>2.94</v>
      </c>
      <c r="J60" s="23">
        <f>ROUND('PU Wise OWE'!$AM$96/10000,2)</f>
        <v>1.38</v>
      </c>
      <c r="K60" s="22">
        <f t="shared" si="66"/>
        <v>-1.56</v>
      </c>
      <c r="L60" s="24">
        <f t="shared" si="67"/>
        <v>-0.53061224489795922</v>
      </c>
      <c r="M60" s="22">
        <f t="shared" ref="M60:M62" si="71">J60-H60</f>
        <v>-1.4300000000000002</v>
      </c>
      <c r="N60" s="54">
        <f t="shared" ref="N60:N62" si="72">M60/H60</f>
        <v>-0.50889679715302494</v>
      </c>
      <c r="O60" s="54">
        <f t="shared" si="70"/>
        <v>8.4610668301655423E-2</v>
      </c>
    </row>
    <row r="61" spans="2:15" x14ac:dyDescent="0.25">
      <c r="B61" s="23" t="s">
        <v>189</v>
      </c>
      <c r="C61" s="22">
        <v>9.89</v>
      </c>
      <c r="D61" s="68">
        <f t="shared" si="64"/>
        <v>1.265027801192375E-3</v>
      </c>
      <c r="E61" s="251"/>
      <c r="F61" s="22">
        <f>ROUND('PU Wise OWE'!$AN$16/10000,2)</f>
        <v>10.1</v>
      </c>
      <c r="G61" s="24">
        <f>F61/$F$7</f>
        <v>1.2677293837077947E-3</v>
      </c>
      <c r="H61" s="72">
        <f>ROUND('PU Wise OWE'!$AN$18/10000,2)</f>
        <v>2.12</v>
      </c>
      <c r="I61" s="22">
        <f>ROUND('PU Wise OWE'!$AN$17/10000,2)</f>
        <v>1.82</v>
      </c>
      <c r="J61" s="23">
        <f>ROUND('PU Wise OWE'!$AN$19/10000,2)</f>
        <v>2.57</v>
      </c>
      <c r="K61" s="22">
        <f t="shared" si="66"/>
        <v>0.74999999999999978</v>
      </c>
      <c r="L61" s="24">
        <f t="shared" si="67"/>
        <v>0.41208791208791196</v>
      </c>
      <c r="M61" s="22">
        <f t="shared" si="71"/>
        <v>0.44999999999999973</v>
      </c>
      <c r="N61" s="54">
        <f t="shared" si="72"/>
        <v>0.2122641509433961</v>
      </c>
      <c r="O61" s="54">
        <f t="shared" si="70"/>
        <v>0.25445544554455446</v>
      </c>
    </row>
    <row r="62" spans="2:15" x14ac:dyDescent="0.25">
      <c r="B62" s="23" t="s">
        <v>190</v>
      </c>
      <c r="C62" s="22">
        <v>1.64</v>
      </c>
      <c r="D62" s="68">
        <f t="shared" si="64"/>
        <v>2.0977205196718855E-4</v>
      </c>
      <c r="E62" s="251"/>
      <c r="F62" s="22">
        <f>ROUND('PU Wise OWE'!$AN$60/10000,2)</f>
        <v>1.46</v>
      </c>
      <c r="G62" s="24">
        <f>F62/$F$7</f>
        <v>1.8325593071419607E-4</v>
      </c>
      <c r="H62" s="72">
        <f>ROUND('PU Wise OWE'!$AN$62/10000,2)</f>
        <v>3.75</v>
      </c>
      <c r="I62" s="22">
        <f>ROUND('PU Wise OWE'!$AN$61/10000,2)</f>
        <v>0.26</v>
      </c>
      <c r="J62" s="23">
        <f>ROUND('PU Wise OWE'!$AN$63/10000,2)</f>
        <v>1.19</v>
      </c>
      <c r="K62" s="22">
        <f t="shared" ref="K62" si="73">J62-I62</f>
        <v>0.92999999999999994</v>
      </c>
      <c r="L62" s="24">
        <f t="shared" ref="L62" si="74">K62/I62</f>
        <v>3.5769230769230766</v>
      </c>
      <c r="M62" s="22">
        <f t="shared" si="71"/>
        <v>-2.56</v>
      </c>
      <c r="N62" s="54">
        <f t="shared" si="72"/>
        <v>-0.68266666666666664</v>
      </c>
      <c r="O62" s="54">
        <f t="shared" si="70"/>
        <v>0.81506849315068497</v>
      </c>
    </row>
    <row r="63" spans="2:15" s="36" customFormat="1" x14ac:dyDescent="0.25">
      <c r="B63" s="25" t="s">
        <v>130</v>
      </c>
      <c r="C63" s="26">
        <f>C59+C60+C61+C62</f>
        <v>112.89</v>
      </c>
      <c r="D63" s="69">
        <f t="shared" si="64"/>
        <v>1.4439735943034097E-2</v>
      </c>
      <c r="E63" s="252"/>
      <c r="F63" s="26">
        <f>SUM(F59:F62)</f>
        <v>95.679999999999993</v>
      </c>
      <c r="G63" s="56">
        <f t="shared" si="65"/>
        <v>1.2009539349817999E-2</v>
      </c>
      <c r="H63" s="76">
        <f>SUM(H59:H62)</f>
        <v>13.25</v>
      </c>
      <c r="I63" s="26">
        <f>SUM(I59:I62)</f>
        <v>17.23</v>
      </c>
      <c r="J63" s="26">
        <f>SUM(J59:J62)</f>
        <v>19.170000000000002</v>
      </c>
      <c r="K63" s="26">
        <f t="shared" ref="K63" si="75">J63-I63</f>
        <v>1.9400000000000013</v>
      </c>
      <c r="L63" s="56">
        <f t="shared" ref="L63" si="76">K63/I63</f>
        <v>0.11259431224608249</v>
      </c>
      <c r="M63" s="26">
        <f t="shared" ref="M63" si="77">J63-H63</f>
        <v>5.9200000000000017</v>
      </c>
      <c r="N63" s="57">
        <f t="shared" ref="N63" si="78">M63/H63</f>
        <v>0.44679245283018881</v>
      </c>
      <c r="O63" s="57">
        <f t="shared" si="70"/>
        <v>0.2003553511705686</v>
      </c>
    </row>
    <row r="64" spans="2:15" x14ac:dyDescent="0.25">
      <c r="O64" s="94"/>
    </row>
    <row r="65" spans="2:15" x14ac:dyDescent="0.25">
      <c r="B65" s="77" t="s">
        <v>191</v>
      </c>
      <c r="C65" s="77"/>
    </row>
    <row r="66" spans="2:15" x14ac:dyDescent="0.25">
      <c r="B66" s="23" t="s">
        <v>192</v>
      </c>
      <c r="C66" s="22">
        <v>1117.51</v>
      </c>
      <c r="D66" s="68">
        <f t="shared" ref="D66:D68" si="79">C66/$C$7</f>
        <v>0.14294046694747128</v>
      </c>
      <c r="E66" s="23"/>
      <c r="F66" s="22">
        <f>ROUND('PU Wise OWE'!$AP$71/10000,2)</f>
        <v>1543.31</v>
      </c>
      <c r="G66" s="24">
        <f t="shared" ref="G66:G68" si="80">F66/$F$7</f>
        <v>0.1937128153633739</v>
      </c>
      <c r="H66" s="72">
        <f>ROUND('PU Wise OWE'!$AP$73/10000,2)</f>
        <v>396.03</v>
      </c>
      <c r="I66" s="22">
        <f>ROUND('PU Wise OWE'!$AP$72/10000,2)</f>
        <v>494.28</v>
      </c>
      <c r="J66" s="23">
        <f>ROUND('PU Wise OWE'!$AP$74/10000,2)</f>
        <v>445.06</v>
      </c>
      <c r="K66" s="22">
        <f t="shared" ref="K66" si="81">J66-I66</f>
        <v>-49.21999999999997</v>
      </c>
      <c r="L66" s="24">
        <f t="shared" ref="L66" si="82">K66/I66</f>
        <v>-9.9579185886541993E-2</v>
      </c>
      <c r="M66" s="22">
        <f t="shared" ref="M66" si="83">J66-H66</f>
        <v>49.03000000000003</v>
      </c>
      <c r="N66" s="54">
        <f t="shared" ref="N66" si="84">M66/H66</f>
        <v>0.12380375224099192</v>
      </c>
      <c r="O66" s="54">
        <f t="shared" ref="O66:O68" si="85">J66/F66</f>
        <v>0.28838016989457727</v>
      </c>
    </row>
    <row r="67" spans="2:15" x14ac:dyDescent="0.25">
      <c r="B67" s="89" t="s">
        <v>193</v>
      </c>
      <c r="C67" s="113">
        <v>38.520000000000003</v>
      </c>
      <c r="D67" s="68">
        <f t="shared" si="79"/>
        <v>4.9270850254732341E-3</v>
      </c>
      <c r="E67" s="23"/>
      <c r="F67" s="22">
        <f>ROUND('PU Wise OWE'!$AP$126/10000,2)-F66</f>
        <v>35.230000000000018</v>
      </c>
      <c r="G67" s="24">
        <f t="shared" si="80"/>
        <v>4.4219907116857058E-3</v>
      </c>
      <c r="H67" s="72">
        <f>ROUND('PU Wise OWE'!$AP$128/10000,2)-H66</f>
        <v>8.6800000000000068</v>
      </c>
      <c r="I67" s="22">
        <f>ROUND('PU Wise OWE'!$AP$127/10000,2)-I66</f>
        <v>6.3400000000000318</v>
      </c>
      <c r="J67" s="23">
        <f>ROUND('PU Wise OWE'!$AP$129/10000,2)-J66</f>
        <v>8.8100000000000023</v>
      </c>
      <c r="K67" s="22">
        <f t="shared" ref="K67:K83" si="86">J67-I67</f>
        <v>2.4699999999999704</v>
      </c>
      <c r="L67" s="24">
        <f t="shared" ref="L67:L83" si="87">K67/I67</f>
        <v>0.38958990536276938</v>
      </c>
      <c r="M67" s="22">
        <f t="shared" ref="M67" si="88">J67-H67</f>
        <v>0.12999999999999545</v>
      </c>
      <c r="N67" s="54">
        <f t="shared" ref="N67" si="89">M67/H67</f>
        <v>1.4976958525345087E-2</v>
      </c>
      <c r="O67" s="54">
        <f t="shared" si="85"/>
        <v>0.25007096224808395</v>
      </c>
    </row>
    <row r="68" spans="2:15" s="36" customFormat="1" x14ac:dyDescent="0.25">
      <c r="B68" s="25" t="s">
        <v>130</v>
      </c>
      <c r="C68" s="26">
        <f>C66+C67</f>
        <v>1156.03</v>
      </c>
      <c r="D68" s="69">
        <f t="shared" si="79"/>
        <v>0.14786755197294452</v>
      </c>
      <c r="E68" s="90"/>
      <c r="F68" s="76">
        <f>SUM(F66:F67)</f>
        <v>1578.54</v>
      </c>
      <c r="G68" s="56">
        <f t="shared" si="80"/>
        <v>0.19813480607505962</v>
      </c>
      <c r="H68" s="76">
        <f>SUM(H66:H67)</f>
        <v>404.71</v>
      </c>
      <c r="I68" s="76">
        <f>SUM(I66:I67)</f>
        <v>500.62</v>
      </c>
      <c r="J68" s="76">
        <f>SUM(J66:J67)</f>
        <v>453.87</v>
      </c>
      <c r="K68" s="26">
        <f t="shared" si="86"/>
        <v>-46.75</v>
      </c>
      <c r="L68" s="56">
        <f t="shared" si="87"/>
        <v>-9.3384203587551437E-2</v>
      </c>
      <c r="M68" s="26">
        <f t="shared" ref="M68" si="90">J68-H68</f>
        <v>49.160000000000025</v>
      </c>
      <c r="N68" s="57">
        <f t="shared" ref="N68" si="91">M68/H68</f>
        <v>0.12146969434904012</v>
      </c>
      <c r="O68" s="57">
        <f t="shared" si="85"/>
        <v>0.28752518149682621</v>
      </c>
    </row>
    <row r="69" spans="2:15" x14ac:dyDescent="0.25">
      <c r="E69" s="31"/>
      <c r="F69" s="34"/>
      <c r="G69" s="34"/>
      <c r="I69" s="34"/>
      <c r="J69" s="31"/>
      <c r="K69" s="34"/>
      <c r="L69" s="35"/>
      <c r="M69" s="34"/>
      <c r="N69" s="94"/>
      <c r="O69" s="36"/>
    </row>
    <row r="70" spans="2:15" x14ac:dyDescent="0.25">
      <c r="B70" s="77" t="s">
        <v>195</v>
      </c>
      <c r="C70" s="77"/>
      <c r="E70" s="31"/>
      <c r="F70" s="34"/>
      <c r="G70" s="34"/>
      <c r="I70" s="34"/>
      <c r="J70" s="31"/>
      <c r="K70" s="34"/>
      <c r="L70" s="35"/>
      <c r="M70" s="34"/>
      <c r="N70" s="94"/>
    </row>
    <row r="71" spans="2:15" x14ac:dyDescent="0.25">
      <c r="B71" s="23" t="s">
        <v>194</v>
      </c>
      <c r="C71" s="22">
        <v>12.31</v>
      </c>
      <c r="D71" s="68">
        <f t="shared" ref="D71:D73" si="92">C71/$C$7</f>
        <v>1.5745694876317631E-3</v>
      </c>
      <c r="E71" s="23"/>
      <c r="F71" s="72">
        <f>ROUND('PU Wise OWE'!$AQ$27/10000,2)+ROUND('PU Wise OWE'!$BB$27/10000,2)</f>
        <v>11.17</v>
      </c>
      <c r="G71" s="24">
        <f t="shared" ref="G71:G73" si="93">F71/$F$7</f>
        <v>1.402033387724363E-3</v>
      </c>
      <c r="H71" s="72">
        <f>ROUND('PU Wise OWE'!$AQ$29/10000,2)+ROUND('PU Wise OWE'!$BB$29/10000,2)</f>
        <v>4.49</v>
      </c>
      <c r="I71" s="72">
        <f>ROUND('PU Wise OWE'!$AQ$28/10000,2)+ROUND('PU Wise OWE'!$BB$28/10000,2)</f>
        <v>2.0099999999999998</v>
      </c>
      <c r="J71" s="72">
        <f>ROUND('PU Wise OWE'!$AQ$30/10000,2)+ROUND('PU Wise OWE'!$BB$30/10000,2)</f>
        <v>2.15</v>
      </c>
      <c r="K71" s="22">
        <f t="shared" si="86"/>
        <v>0.14000000000000012</v>
      </c>
      <c r="L71" s="24">
        <f t="shared" si="87"/>
        <v>6.965174129353241E-2</v>
      </c>
      <c r="M71" s="22">
        <f t="shared" ref="M71:M72" si="94">J71-H71</f>
        <v>-2.3400000000000003</v>
      </c>
      <c r="N71" s="54">
        <f t="shared" ref="N71:N72" si="95">M71/H71</f>
        <v>-0.52115812917594662</v>
      </c>
      <c r="O71" s="54">
        <f t="shared" ref="O71:O73" si="96">J71/F71</f>
        <v>0.19247985675917637</v>
      </c>
    </row>
    <row r="72" spans="2:15" x14ac:dyDescent="0.25">
      <c r="B72" s="23" t="s">
        <v>196</v>
      </c>
      <c r="C72" s="22">
        <v>114.52</v>
      </c>
      <c r="D72" s="68">
        <f t="shared" si="92"/>
        <v>1.4648228897123436E-2</v>
      </c>
      <c r="E72" s="23"/>
      <c r="F72" s="72">
        <f>ROUND('PU Wise OWE'!$AQ$38/10000,2)+ROUND('PU Wise OWE'!$BB$38/10000,2)</f>
        <v>79.58</v>
      </c>
      <c r="G72" s="24">
        <f t="shared" si="93"/>
        <v>9.9887034015313167E-3</v>
      </c>
      <c r="H72" s="72">
        <f>ROUND('PU Wise OWE'!$AQ$40/10000,2)+ROUND('PU Wise OWE'!$BB$40/10000,2)</f>
        <v>4.63</v>
      </c>
      <c r="I72" s="72">
        <f>ROUND('PU Wise OWE'!$AQ$39/10000,2)+ROUND('PU Wise OWE'!$BB$39/10000,2)</f>
        <v>14.330000000000002</v>
      </c>
      <c r="J72" s="72">
        <f>ROUND('PU Wise OWE'!$AQ$41/10000,2)+ROUND('PU Wise OWE'!$BB$41/10000,2)</f>
        <v>22.94</v>
      </c>
      <c r="K72" s="22">
        <f t="shared" si="86"/>
        <v>8.61</v>
      </c>
      <c r="L72" s="24">
        <f t="shared" si="87"/>
        <v>0.60083740404745278</v>
      </c>
      <c r="M72" s="22">
        <f t="shared" si="94"/>
        <v>18.310000000000002</v>
      </c>
      <c r="N72" s="54">
        <f t="shared" si="95"/>
        <v>3.9546436285097197</v>
      </c>
      <c r="O72" s="54">
        <f t="shared" si="96"/>
        <v>0.28826338275948732</v>
      </c>
    </row>
    <row r="73" spans="2:15" s="36" customFormat="1" x14ac:dyDescent="0.25">
      <c r="B73" s="25" t="s">
        <v>130</v>
      </c>
      <c r="C73" s="26">
        <f>C71+C72</f>
        <v>126.83</v>
      </c>
      <c r="D73" s="69">
        <f t="shared" si="92"/>
        <v>1.62227983847552E-2</v>
      </c>
      <c r="E73" s="25"/>
      <c r="F73" s="76">
        <f>SUM(F71:F72)</f>
        <v>90.75</v>
      </c>
      <c r="G73" s="56">
        <f t="shared" si="93"/>
        <v>1.139073678925568E-2</v>
      </c>
      <c r="H73" s="76">
        <f>SUM(H71:H72)</f>
        <v>9.120000000000001</v>
      </c>
      <c r="I73" s="76">
        <f t="shared" ref="I73:J73" si="97">SUM(I71:I72)</f>
        <v>16.340000000000003</v>
      </c>
      <c r="J73" s="76">
        <f t="shared" si="97"/>
        <v>25.09</v>
      </c>
      <c r="K73" s="26">
        <f t="shared" si="86"/>
        <v>8.7499999999999964</v>
      </c>
      <c r="L73" s="56">
        <f t="shared" si="87"/>
        <v>0.53549571603427137</v>
      </c>
      <c r="M73" s="26">
        <f t="shared" ref="M73" si="98">J73-H73</f>
        <v>15.969999999999999</v>
      </c>
      <c r="N73" s="57">
        <f t="shared" ref="N73" si="99">M73/H73</f>
        <v>1.7510964912280698</v>
      </c>
      <c r="O73" s="57">
        <f t="shared" si="96"/>
        <v>0.27647382920110192</v>
      </c>
    </row>
    <row r="74" spans="2:15" s="36" customFormat="1" x14ac:dyDescent="0.25">
      <c r="B74" s="218"/>
      <c r="C74" s="219"/>
      <c r="D74" s="221"/>
      <c r="E74" s="218"/>
      <c r="F74" s="220"/>
      <c r="G74" s="222"/>
      <c r="H74" s="220"/>
      <c r="I74" s="220"/>
      <c r="J74" s="220"/>
      <c r="K74" s="219"/>
      <c r="L74" s="222"/>
      <c r="M74" s="219"/>
      <c r="N74" s="223"/>
      <c r="O74" s="223"/>
    </row>
    <row r="75" spans="2:15" s="36" customFormat="1" x14ac:dyDescent="0.25">
      <c r="B75" s="218"/>
      <c r="C75" s="219"/>
      <c r="D75" s="221"/>
      <c r="E75" s="218"/>
      <c r="F75" s="220"/>
      <c r="G75" s="222"/>
      <c r="H75" s="220"/>
      <c r="I75" s="220"/>
      <c r="J75" s="220"/>
      <c r="K75" s="219"/>
      <c r="L75" s="222"/>
      <c r="M75" s="36" t="s">
        <v>150</v>
      </c>
      <c r="N75" s="223"/>
      <c r="O75" s="223"/>
    </row>
    <row r="76" spans="2:15" x14ac:dyDescent="0.25">
      <c r="B76" s="243" t="s">
        <v>319</v>
      </c>
      <c r="C76" s="237" t="s">
        <v>303</v>
      </c>
      <c r="D76" s="237" t="s">
        <v>173</v>
      </c>
      <c r="E76" s="237"/>
      <c r="F76" s="236" t="str">
        <f>'PU Wise OWE'!$B$5</f>
        <v xml:space="preserve">OBG(SL) 2021-22 </v>
      </c>
      <c r="G76" s="237" t="s">
        <v>206</v>
      </c>
      <c r="H76" s="236" t="str">
        <f>'PU Wise OWE'!$B$7</f>
        <v>Actuals upto May' 20</v>
      </c>
      <c r="I76" s="236" t="str">
        <f>'PU Wise OWE'!$B$6</f>
        <v>BP to end  May-2021</v>
      </c>
      <c r="J76" s="236" t="str">
        <f>'PU Wise OWE'!$B$8</f>
        <v>Actuals upto May' 21</v>
      </c>
      <c r="K76" s="240" t="s">
        <v>207</v>
      </c>
      <c r="L76" s="240"/>
      <c r="M76" s="240" t="s">
        <v>147</v>
      </c>
      <c r="N76" s="240"/>
      <c r="O76" s="237" t="s">
        <v>315</v>
      </c>
    </row>
    <row r="77" spans="2:15" ht="30" x14ac:dyDescent="0.25">
      <c r="B77" s="243"/>
      <c r="C77" s="237"/>
      <c r="D77" s="237"/>
      <c r="E77" s="237"/>
      <c r="F77" s="237"/>
      <c r="G77" s="237"/>
      <c r="H77" s="237"/>
      <c r="I77" s="237"/>
      <c r="J77" s="237"/>
      <c r="K77" s="81" t="s">
        <v>145</v>
      </c>
      <c r="L77" s="82" t="s">
        <v>146</v>
      </c>
      <c r="M77" s="81" t="s">
        <v>145</v>
      </c>
      <c r="N77" s="82" t="s">
        <v>146</v>
      </c>
      <c r="O77" s="237"/>
    </row>
    <row r="78" spans="2:15" x14ac:dyDescent="0.25">
      <c r="B78" s="23" t="s">
        <v>199</v>
      </c>
      <c r="C78" s="22">
        <v>2</v>
      </c>
      <c r="D78" s="68">
        <f t="shared" ref="D78:D84" si="100">C78/$C$7</f>
        <v>2.5581957556974216E-4</v>
      </c>
      <c r="E78" s="23"/>
      <c r="F78" s="22">
        <f>ROUND('PU Wise OWE'!$AW$126/10000,2)</f>
        <v>2.65</v>
      </c>
      <c r="G78" s="24">
        <f t="shared" ref="G78:G84" si="101">F78/$F$7</f>
        <v>3.3262206602234214E-4</v>
      </c>
      <c r="H78" s="72">
        <f>ROUND('PU Wise OWE'!$AW$128/10000,2)</f>
        <v>0.37</v>
      </c>
      <c r="I78" s="22">
        <f>ROUND('PU Wise OWE'!$AW$127/10000,2)</f>
        <v>0.48</v>
      </c>
      <c r="J78" s="23">
        <f>ROUND('PU Wise OWE'!$AW$129/10000,2)</f>
        <v>0.24</v>
      </c>
      <c r="K78" s="22">
        <f t="shared" si="86"/>
        <v>-0.24</v>
      </c>
      <c r="L78" s="24">
        <f t="shared" si="87"/>
        <v>-0.5</v>
      </c>
      <c r="M78" s="22">
        <f t="shared" ref="M78:M79" si="102">J78-H78</f>
        <v>-0.13</v>
      </c>
      <c r="N78" s="54">
        <f t="shared" ref="N78:N79" si="103">M78/H78</f>
        <v>-0.35135135135135137</v>
      </c>
      <c r="O78" s="54">
        <f t="shared" ref="O78:O86" si="104">J78/F78</f>
        <v>9.056603773584905E-2</v>
      </c>
    </row>
    <row r="79" spans="2:15" x14ac:dyDescent="0.25">
      <c r="B79" s="23" t="s">
        <v>198</v>
      </c>
      <c r="C79" s="22">
        <v>1.66</v>
      </c>
      <c r="D79" s="68">
        <f t="shared" si="100"/>
        <v>2.1233024772288598E-4</v>
      </c>
      <c r="E79" s="23"/>
      <c r="F79" s="22">
        <f>ROUND('PU Wise OWE'!$AX$126/10000,2)</f>
        <v>1.81</v>
      </c>
      <c r="G79" s="24">
        <f t="shared" si="101"/>
        <v>2.2718714698129785E-4</v>
      </c>
      <c r="H79" s="72">
        <f>ROUND('PU Wise OWE'!$AX$128/10000,2)</f>
        <v>0.27</v>
      </c>
      <c r="I79" s="22">
        <f>ROUND('PU Wise OWE'!$AX$127/10000,2)</f>
        <v>0.33</v>
      </c>
      <c r="J79" s="23">
        <f>ROUND('PU Wise OWE'!$AX$129/10000,2)</f>
        <v>0.22</v>
      </c>
      <c r="K79" s="22">
        <f t="shared" si="86"/>
        <v>-0.11000000000000001</v>
      </c>
      <c r="L79" s="24">
        <f t="shared" si="87"/>
        <v>-0.33333333333333337</v>
      </c>
      <c r="M79" s="22">
        <f t="shared" si="102"/>
        <v>-5.0000000000000017E-2</v>
      </c>
      <c r="N79" s="54">
        <f t="shared" si="103"/>
        <v>-0.18518518518518523</v>
      </c>
      <c r="O79" s="54">
        <f t="shared" si="104"/>
        <v>0.12154696132596685</v>
      </c>
    </row>
    <row r="80" spans="2:15" x14ac:dyDescent="0.25">
      <c r="B80" s="23" t="s">
        <v>200</v>
      </c>
      <c r="C80" s="22">
        <v>16.940000000000001</v>
      </c>
      <c r="D80" s="68">
        <f t="shared" si="100"/>
        <v>2.1667918050757161E-3</v>
      </c>
      <c r="E80" s="23"/>
      <c r="F80" s="22">
        <f>ROUND('PU Wise OWE'!$BC$126/10000,2)</f>
        <v>14.88</v>
      </c>
      <c r="G80" s="24">
        <f t="shared" si="101"/>
        <v>1.8677042801556422E-3</v>
      </c>
      <c r="H80" s="72">
        <f>ROUND('PU Wise OWE'!$BC$128/10000,2)</f>
        <v>3.22</v>
      </c>
      <c r="I80" s="22">
        <f>ROUND('PU Wise OWE'!$BC$127/10000,2)</f>
        <v>2.68</v>
      </c>
      <c r="J80" s="23">
        <f>ROUND('PU Wise OWE'!$BC$129/10000,2)</f>
        <v>2.12</v>
      </c>
      <c r="K80" s="22">
        <f t="shared" si="86"/>
        <v>-0.56000000000000005</v>
      </c>
      <c r="L80" s="24">
        <f t="shared" si="87"/>
        <v>-0.20895522388059704</v>
      </c>
      <c r="M80" s="22">
        <f t="shared" ref="M80:M83" si="105">J80-H80</f>
        <v>-1.1000000000000001</v>
      </c>
      <c r="N80" s="54">
        <f t="shared" ref="N80:N83" si="106">M80/H80</f>
        <v>-0.34161490683229817</v>
      </c>
      <c r="O80" s="54">
        <f t="shared" si="104"/>
        <v>0.1424731182795699</v>
      </c>
    </row>
    <row r="81" spans="2:15" x14ac:dyDescent="0.25">
      <c r="B81" s="23" t="s">
        <v>201</v>
      </c>
      <c r="C81" s="22">
        <v>16.95</v>
      </c>
      <c r="D81" s="68">
        <f t="shared" si="100"/>
        <v>2.1680709029535646E-3</v>
      </c>
      <c r="E81" s="23"/>
      <c r="F81" s="22">
        <f>ROUND('PU Wise OWE'!$BD$126/10000,2)</f>
        <v>14.88</v>
      </c>
      <c r="G81" s="24">
        <f t="shared" si="101"/>
        <v>1.8677042801556422E-3</v>
      </c>
      <c r="H81" s="72">
        <f>ROUND('PU Wise OWE'!$BD$128/10000,2)</f>
        <v>3.08</v>
      </c>
      <c r="I81" s="22">
        <f>ROUND('PU Wise OWE'!$BD$127/10000,2)</f>
        <v>2.68</v>
      </c>
      <c r="J81" s="23">
        <f>ROUND('PU Wise OWE'!$BD$129/10000,2)</f>
        <v>2.12</v>
      </c>
      <c r="K81" s="22">
        <f t="shared" si="86"/>
        <v>-0.56000000000000005</v>
      </c>
      <c r="L81" s="24">
        <f t="shared" si="87"/>
        <v>-0.20895522388059704</v>
      </c>
      <c r="M81" s="22">
        <f t="shared" si="105"/>
        <v>-0.96</v>
      </c>
      <c r="N81" s="54">
        <f t="shared" si="106"/>
        <v>-0.31168831168831168</v>
      </c>
      <c r="O81" s="54">
        <f t="shared" si="104"/>
        <v>0.1424731182795699</v>
      </c>
    </row>
    <row r="82" spans="2:15" x14ac:dyDescent="0.25">
      <c r="B82" s="23" t="s">
        <v>202</v>
      </c>
      <c r="C82" s="22">
        <v>17.329999999999998</v>
      </c>
      <c r="D82" s="68">
        <f t="shared" si="100"/>
        <v>2.2166766223118157E-3</v>
      </c>
      <c r="E82" s="23"/>
      <c r="F82" s="22">
        <f>ROUND('PU Wise OWE'!$BF$126/10000,2)</f>
        <v>12.96</v>
      </c>
      <c r="G82" s="24">
        <f t="shared" si="101"/>
        <v>1.626710179490398E-3</v>
      </c>
      <c r="H82" s="72">
        <f>ROUND('PU Wise OWE'!$BF$128/10000,2)</f>
        <v>3.55</v>
      </c>
      <c r="I82" s="22">
        <f>ROUND('PU Wise OWE'!$BF$127/10000,2)</f>
        <v>2.33</v>
      </c>
      <c r="J82" s="23">
        <f>ROUND('PU Wise OWE'!$BF$129/10000,2)</f>
        <v>1.92</v>
      </c>
      <c r="K82" s="22">
        <f t="shared" si="86"/>
        <v>-0.41000000000000014</v>
      </c>
      <c r="L82" s="24">
        <f t="shared" si="87"/>
        <v>-0.17596566523605156</v>
      </c>
      <c r="M82" s="22">
        <f t="shared" si="105"/>
        <v>-1.63</v>
      </c>
      <c r="N82" s="54">
        <f t="shared" si="106"/>
        <v>-0.45915492957746479</v>
      </c>
      <c r="O82" s="54">
        <f t="shared" si="104"/>
        <v>0.14814814814814814</v>
      </c>
    </row>
    <row r="83" spans="2:15" x14ac:dyDescent="0.25">
      <c r="B83" s="23" t="s">
        <v>203</v>
      </c>
      <c r="C83" s="22">
        <v>166.71</v>
      </c>
      <c r="D83" s="68">
        <f t="shared" si="100"/>
        <v>2.1323840721615858E-2</v>
      </c>
      <c r="E83" s="23"/>
      <c r="F83" s="22">
        <f>ROUND('PU Wise OWE'!$BG$126/10000,2)-ROUND('PU Wise OWE'!$BG$115/10000,2)</f>
        <v>127.09000000000015</v>
      </c>
      <c r="G83" s="24">
        <f t="shared" si="101"/>
        <v>1.5952052215388497E-2</v>
      </c>
      <c r="H83" s="72">
        <f>ROUND('PU Wise OWE'!$BG$128/10000,2)-ROUND('PU Wise OWE'!$BG$117/10000,2)</f>
        <v>12.1400000000001</v>
      </c>
      <c r="I83" s="22">
        <f>ROUND('PU Wise OWE'!$BG$127/10000,2)-ROUND('PU Wise OWE'!$BG$116/10000,2)</f>
        <v>22.870000000000118</v>
      </c>
      <c r="J83" s="23">
        <f>ROUND('PU Wise OWE'!$BG$129/10000,2)-ROUND('PU Wise OWE'!$BG$118/10000,2)</f>
        <v>10.400000000000091</v>
      </c>
      <c r="K83" s="22">
        <f t="shared" si="86"/>
        <v>-12.470000000000027</v>
      </c>
      <c r="L83" s="24">
        <f t="shared" si="87"/>
        <v>-0.54525579361608933</v>
      </c>
      <c r="M83" s="22">
        <f t="shared" si="105"/>
        <v>-1.7400000000000091</v>
      </c>
      <c r="N83" s="54">
        <f t="shared" si="106"/>
        <v>-0.14332784184513961</v>
      </c>
      <c r="O83" s="54">
        <f t="shared" si="104"/>
        <v>8.1831772759462421E-2</v>
      </c>
    </row>
    <row r="84" spans="2:15" s="36" customFormat="1" x14ac:dyDescent="0.25">
      <c r="B84" s="25" t="s">
        <v>130</v>
      </c>
      <c r="C84" s="26">
        <f>C78+C79+C80+C81+C82+C83</f>
        <v>221.59</v>
      </c>
      <c r="D84" s="69">
        <f t="shared" si="100"/>
        <v>2.8343529875249584E-2</v>
      </c>
      <c r="E84" s="25"/>
      <c r="F84" s="76">
        <f>SUM(F78:F83)</f>
        <v>174.27000000000015</v>
      </c>
      <c r="G84" s="56">
        <f t="shared" si="101"/>
        <v>2.1873980168193818E-2</v>
      </c>
      <c r="H84" s="76">
        <f>SUM(H78:H83)</f>
        <v>22.630000000000102</v>
      </c>
      <c r="I84" s="76">
        <f>SUM(I78:I83)</f>
        <v>31.370000000000118</v>
      </c>
      <c r="J84" s="76">
        <f>SUM(J78:J83)</f>
        <v>17.020000000000092</v>
      </c>
      <c r="K84" s="26">
        <f t="shared" ref="K84" si="107">J84-I84</f>
        <v>-14.350000000000026</v>
      </c>
      <c r="L84" s="56">
        <f t="shared" ref="L84" si="108">K84/I84</f>
        <v>-0.45744341727765292</v>
      </c>
      <c r="M84" s="26">
        <f t="shared" ref="M84" si="109">J84-H84</f>
        <v>-5.6100000000000101</v>
      </c>
      <c r="N84" s="57">
        <f t="shared" ref="N84" si="110">M84/H84</f>
        <v>-0.24790101634997724</v>
      </c>
      <c r="O84" s="57">
        <f t="shared" si="104"/>
        <v>9.7664543524416572E-2</v>
      </c>
    </row>
    <row r="85" spans="2:15" x14ac:dyDescent="0.25">
      <c r="O85" s="25"/>
    </row>
    <row r="86" spans="2:15" s="36" customFormat="1" ht="30" customHeight="1" x14ac:dyDescent="0.25">
      <c r="B86" s="95" t="s">
        <v>204</v>
      </c>
      <c r="C86" s="114">
        <v>3247.44</v>
      </c>
      <c r="D86" s="204" t="e">
        <f>#REF!/#REF!</f>
        <v>#REF!</v>
      </c>
      <c r="E86" s="25"/>
      <c r="F86" s="114">
        <f>F37+F49+F54+F56+F63+F68+F73+F84</f>
        <v>3393.15</v>
      </c>
      <c r="G86" s="206">
        <f t="shared" ref="G86" si="111">F86/$F$7</f>
        <v>0.42590058993347557</v>
      </c>
      <c r="H86" s="114">
        <f>H37+H49+H54+H56+H63+H68+H73+H84</f>
        <v>730.86</v>
      </c>
      <c r="I86" s="114">
        <f>I37+I49+I54+I56+I63+I68+I73+I84</f>
        <v>827.2600000000001</v>
      </c>
      <c r="J86" s="114">
        <f>J37+J49+J54+J56+J63+J68+J73+J84</f>
        <v>826.31000000000017</v>
      </c>
      <c r="K86" s="205">
        <f t="shared" ref="K86" si="112">J86-I86</f>
        <v>-0.94999999999993179</v>
      </c>
      <c r="L86" s="206">
        <f t="shared" ref="L86" si="113">K86/I86</f>
        <v>-1.1483693155718052E-3</v>
      </c>
      <c r="M86" s="205">
        <f t="shared" ref="M86" si="114">J86-H86</f>
        <v>95.450000000000159</v>
      </c>
      <c r="N86" s="207">
        <f t="shared" ref="N86" si="115">M86/H86</f>
        <v>0.13059956763265215</v>
      </c>
      <c r="O86" s="207">
        <f t="shared" si="104"/>
        <v>0.24352298012171586</v>
      </c>
    </row>
    <row r="87" spans="2:15" x14ac:dyDescent="0.25">
      <c r="O87" s="94"/>
    </row>
    <row r="88" spans="2:15" x14ac:dyDescent="0.25">
      <c r="C88" s="181"/>
      <c r="O88" s="181"/>
    </row>
    <row r="89" spans="2:15" x14ac:dyDescent="0.25">
      <c r="B89" s="241" t="s">
        <v>254</v>
      </c>
      <c r="C89" s="244" t="s">
        <v>303</v>
      </c>
      <c r="D89" s="244" t="s">
        <v>173</v>
      </c>
      <c r="E89" s="244"/>
      <c r="F89" s="238" t="s">
        <v>308</v>
      </c>
      <c r="G89" s="244" t="s">
        <v>310</v>
      </c>
      <c r="H89" s="238" t="s">
        <v>327</v>
      </c>
      <c r="I89" s="238" t="s">
        <v>328</v>
      </c>
      <c r="J89" s="244" t="s">
        <v>205</v>
      </c>
      <c r="K89" s="245" t="s">
        <v>147</v>
      </c>
      <c r="L89" s="245"/>
      <c r="M89" s="246" t="s">
        <v>318</v>
      </c>
      <c r="N89" s="198"/>
      <c r="O89" s="203"/>
    </row>
    <row r="90" spans="2:15" ht="30" customHeight="1" x14ac:dyDescent="0.25">
      <c r="B90" s="242"/>
      <c r="C90" s="239"/>
      <c r="D90" s="239"/>
      <c r="E90" s="239"/>
      <c r="F90" s="239"/>
      <c r="G90" s="239"/>
      <c r="H90" s="239"/>
      <c r="I90" s="247"/>
      <c r="J90" s="239"/>
      <c r="K90" s="81" t="s">
        <v>145</v>
      </c>
      <c r="L90" s="81" t="s">
        <v>146</v>
      </c>
      <c r="M90" s="246"/>
      <c r="N90" s="198"/>
      <c r="O90" s="203"/>
    </row>
    <row r="91" spans="2:15" x14ac:dyDescent="0.25">
      <c r="B91" s="20" t="s">
        <v>255</v>
      </c>
      <c r="C91" s="20">
        <v>17</v>
      </c>
      <c r="D91" s="68">
        <f t="shared" ref="D91:D104" si="116">C91/$C$7</f>
        <v>2.1744663923428083E-3</v>
      </c>
      <c r="E91" s="20"/>
      <c r="F91" s="107">
        <v>0.69</v>
      </c>
      <c r="G91" s="189">
        <f t="shared" ref="G91:G104" si="117">F91/$F$7</f>
        <v>8.66072549265721E-5</v>
      </c>
      <c r="H91" s="83">
        <v>0</v>
      </c>
      <c r="I91" s="20">
        <v>0</v>
      </c>
      <c r="J91" s="189">
        <f t="shared" ref="J91:J104" si="118">I91/$I$7</f>
        <v>0</v>
      </c>
      <c r="K91" s="22">
        <f>I91-H91</f>
        <v>0</v>
      </c>
      <c r="L91" s="54" t="e">
        <f>K91/H91</f>
        <v>#DIV/0!</v>
      </c>
      <c r="M91" s="190">
        <f t="shared" ref="M91:M104" si="119">I91/F91</f>
        <v>0</v>
      </c>
      <c r="N91" s="198"/>
      <c r="O91" s="200"/>
    </row>
    <row r="92" spans="2:15" x14ac:dyDescent="0.25">
      <c r="B92" s="20" t="s">
        <v>256</v>
      </c>
      <c r="C92" s="20">
        <v>33.630000000000003</v>
      </c>
      <c r="D92" s="68">
        <f t="shared" si="116"/>
        <v>4.3016061632052145E-3</v>
      </c>
      <c r="E92" s="20"/>
      <c r="F92" s="107">
        <v>33.28</v>
      </c>
      <c r="G92" s="189">
        <f t="shared" si="117"/>
        <v>4.1772310781975647E-3</v>
      </c>
      <c r="H92" s="111">
        <v>2.2200000000000002</v>
      </c>
      <c r="I92" s="107">
        <v>5.48</v>
      </c>
      <c r="J92" s="189">
        <f t="shared" si="118"/>
        <v>3.3142822583083855E-3</v>
      </c>
      <c r="K92" s="22">
        <f t="shared" ref="K92:K93" si="120">I92-H92</f>
        <v>3.2600000000000002</v>
      </c>
      <c r="L92" s="54">
        <f t="shared" ref="L92:L93" si="121">K92/H92</f>
        <v>1.4684684684684683</v>
      </c>
      <c r="M92" s="190">
        <f t="shared" si="119"/>
        <v>0.16466346153846154</v>
      </c>
      <c r="N92" s="198"/>
      <c r="O92" s="200"/>
    </row>
    <row r="93" spans="2:15" x14ac:dyDescent="0.25">
      <c r="B93" s="20" t="s">
        <v>266</v>
      </c>
      <c r="C93" s="20">
        <v>7.44</v>
      </c>
      <c r="D93" s="68">
        <f t="shared" si="116"/>
        <v>9.5164882111944092E-4</v>
      </c>
      <c r="E93" s="20"/>
      <c r="F93" s="107">
        <v>0.53</v>
      </c>
      <c r="G93" s="189">
        <f t="shared" si="117"/>
        <v>6.6524413204468433E-5</v>
      </c>
      <c r="H93" s="111">
        <v>3.73</v>
      </c>
      <c r="I93" s="107">
        <v>0.24</v>
      </c>
      <c r="J93" s="189">
        <f t="shared" si="118"/>
        <v>1.4515104780912636E-4</v>
      </c>
      <c r="K93" s="22">
        <f t="shared" si="120"/>
        <v>-3.49</v>
      </c>
      <c r="L93" s="54">
        <f t="shared" si="121"/>
        <v>-0.93565683646112607</v>
      </c>
      <c r="M93" s="190">
        <f t="shared" si="119"/>
        <v>0.45283018867924524</v>
      </c>
      <c r="N93" s="198"/>
      <c r="O93" s="200"/>
    </row>
    <row r="94" spans="2:15" x14ac:dyDescent="0.25">
      <c r="B94" s="61" t="s">
        <v>257</v>
      </c>
      <c r="C94" s="27">
        <f>SUM(C91:C93)</f>
        <v>58.07</v>
      </c>
      <c r="D94" s="69">
        <f t="shared" si="116"/>
        <v>7.4277213766674637E-3</v>
      </c>
      <c r="E94" s="27">
        <f t="shared" ref="E94:F94" si="122">SUM(E91:E92)</f>
        <v>0</v>
      </c>
      <c r="F94" s="106">
        <f t="shared" si="122"/>
        <v>33.97</v>
      </c>
      <c r="G94" s="191">
        <f t="shared" si="117"/>
        <v>4.2638383331241366E-3</v>
      </c>
      <c r="H94" s="106">
        <f>SUM(H91:H93)</f>
        <v>5.95</v>
      </c>
      <c r="I94" s="106">
        <f>SUM(I91:I93)</f>
        <v>5.7200000000000006</v>
      </c>
      <c r="J94" s="191">
        <f t="shared" si="118"/>
        <v>3.459433306117512E-3</v>
      </c>
      <c r="K94" s="26">
        <f t="shared" ref="K94" si="123">I94-H94</f>
        <v>-0.22999999999999954</v>
      </c>
      <c r="L94" s="57">
        <f t="shared" ref="L94" si="124">K94/H94</f>
        <v>-3.8655462184873868E-2</v>
      </c>
      <c r="M94" s="192">
        <f t="shared" si="119"/>
        <v>0.1683838681189285</v>
      </c>
      <c r="N94" s="198"/>
      <c r="O94" s="201"/>
    </row>
    <row r="95" spans="2:15" x14ac:dyDescent="0.25">
      <c r="B95" s="20" t="s">
        <v>258</v>
      </c>
      <c r="C95" s="20">
        <v>0</v>
      </c>
      <c r="D95" s="68">
        <f t="shared" si="116"/>
        <v>0</v>
      </c>
      <c r="E95" s="20"/>
      <c r="F95" s="107">
        <v>0</v>
      </c>
      <c r="G95" s="189">
        <f t="shared" si="117"/>
        <v>0</v>
      </c>
      <c r="H95" s="83">
        <v>0</v>
      </c>
      <c r="I95" s="107">
        <v>0</v>
      </c>
      <c r="J95" s="189">
        <f t="shared" si="118"/>
        <v>0</v>
      </c>
      <c r="K95" s="22">
        <f>I95-H95</f>
        <v>0</v>
      </c>
      <c r="L95" s="54" t="e">
        <f>K95/H95</f>
        <v>#DIV/0!</v>
      </c>
      <c r="M95" s="190">
        <v>0</v>
      </c>
      <c r="N95" s="198"/>
      <c r="O95" s="200"/>
    </row>
    <row r="96" spans="2:15" x14ac:dyDescent="0.25">
      <c r="B96" s="20" t="s">
        <v>259</v>
      </c>
      <c r="C96" s="20">
        <v>13.17</v>
      </c>
      <c r="D96" s="68">
        <f t="shared" si="116"/>
        <v>1.6845719051267521E-3</v>
      </c>
      <c r="E96" s="20"/>
      <c r="F96" s="107">
        <v>14.55</v>
      </c>
      <c r="G96" s="189">
        <f t="shared" si="117"/>
        <v>1.8262834191038033E-3</v>
      </c>
      <c r="H96" s="111">
        <v>0.42</v>
      </c>
      <c r="I96" s="107">
        <v>5.16</v>
      </c>
      <c r="J96" s="189">
        <f t="shared" si="118"/>
        <v>3.1207475278962169E-3</v>
      </c>
      <c r="K96" s="22">
        <f t="shared" ref="K96:K98" si="125">I96-H96</f>
        <v>4.74</v>
      </c>
      <c r="L96" s="54">
        <f t="shared" ref="L96:L98" si="126">K96/H96</f>
        <v>11.285714285714286</v>
      </c>
      <c r="M96" s="190">
        <f t="shared" si="119"/>
        <v>0.35463917525773198</v>
      </c>
      <c r="N96" s="198"/>
      <c r="O96" s="200"/>
    </row>
    <row r="97" spans="2:15" x14ac:dyDescent="0.25">
      <c r="B97" s="20" t="s">
        <v>267</v>
      </c>
      <c r="C97" s="20">
        <v>-0.3</v>
      </c>
      <c r="D97" s="68">
        <f t="shared" si="116"/>
        <v>-3.8372936335461326E-5</v>
      </c>
      <c r="E97" s="20"/>
      <c r="F97" s="107">
        <v>0.05</v>
      </c>
      <c r="G97" s="189">
        <f t="shared" si="117"/>
        <v>6.2758880381573994E-6</v>
      </c>
      <c r="H97" s="111">
        <v>0.89</v>
      </c>
      <c r="I97" s="107">
        <v>0.73</v>
      </c>
      <c r="J97" s="189">
        <f t="shared" si="118"/>
        <v>4.4150110375275938E-4</v>
      </c>
      <c r="K97" s="22">
        <f t="shared" si="125"/>
        <v>-0.16000000000000003</v>
      </c>
      <c r="L97" s="54">
        <f t="shared" si="126"/>
        <v>-0.17977528089887643</v>
      </c>
      <c r="M97" s="190">
        <v>0</v>
      </c>
      <c r="N97" s="198"/>
      <c r="O97" s="200"/>
    </row>
    <row r="98" spans="2:15" x14ac:dyDescent="0.25">
      <c r="B98" s="61" t="s">
        <v>260</v>
      </c>
      <c r="C98" s="27">
        <f>SUM(C95:C97)</f>
        <v>12.87</v>
      </c>
      <c r="D98" s="69">
        <f t="shared" si="116"/>
        <v>1.6461989687912907E-3</v>
      </c>
      <c r="E98" s="27">
        <f t="shared" ref="E98" si="127">SUM(E95:E96)</f>
        <v>0</v>
      </c>
      <c r="F98" s="106">
        <f>SUM(F95:F97)</f>
        <v>14.600000000000001</v>
      </c>
      <c r="G98" s="191">
        <f t="shared" si="117"/>
        <v>1.8325593071419608E-3</v>
      </c>
      <c r="H98" s="27">
        <f>SUM(H95:H97)</f>
        <v>1.31</v>
      </c>
      <c r="I98" s="106">
        <f>SUM(I95:I97)</f>
        <v>5.8900000000000006</v>
      </c>
      <c r="J98" s="191">
        <f t="shared" si="118"/>
        <v>3.5622486316489767E-3</v>
      </c>
      <c r="K98" s="26">
        <f t="shared" si="125"/>
        <v>4.58</v>
      </c>
      <c r="L98" s="57">
        <f t="shared" si="126"/>
        <v>3.4961832061068701</v>
      </c>
      <c r="M98" s="192">
        <f t="shared" si="119"/>
        <v>0.40342465753424656</v>
      </c>
      <c r="N98" s="198"/>
      <c r="O98" s="201"/>
    </row>
    <row r="99" spans="2:15" x14ac:dyDescent="0.25">
      <c r="B99" s="20" t="s">
        <v>261</v>
      </c>
      <c r="C99" s="107">
        <v>24.12</v>
      </c>
      <c r="D99" s="68">
        <f t="shared" si="116"/>
        <v>3.0851840813710908E-3</v>
      </c>
      <c r="E99" s="20"/>
      <c r="F99" s="107">
        <v>17.600000000000001</v>
      </c>
      <c r="G99" s="189">
        <f t="shared" si="117"/>
        <v>2.2091125894314048E-3</v>
      </c>
      <c r="H99" s="111">
        <v>2.2799999999999998</v>
      </c>
      <c r="I99" s="107">
        <v>0.73</v>
      </c>
      <c r="J99" s="189">
        <f t="shared" si="118"/>
        <v>4.4150110375275938E-4</v>
      </c>
      <c r="K99" s="22">
        <f>I99-H99</f>
        <v>-1.5499999999999998</v>
      </c>
      <c r="L99" s="54">
        <f>K99/H99</f>
        <v>-0.67982456140350878</v>
      </c>
      <c r="M99" s="190">
        <f t="shared" si="119"/>
        <v>4.1477272727272724E-2</v>
      </c>
      <c r="N99" s="198"/>
      <c r="O99" s="200"/>
    </row>
    <row r="100" spans="2:15" x14ac:dyDescent="0.25">
      <c r="B100" s="20" t="s">
        <v>262</v>
      </c>
      <c r="C100" s="20">
        <v>145.66</v>
      </c>
      <c r="D100" s="68">
        <f t="shared" si="116"/>
        <v>1.8631339688744322E-2</v>
      </c>
      <c r="E100" s="20"/>
      <c r="F100" s="107">
        <v>115.58</v>
      </c>
      <c r="G100" s="189">
        <f t="shared" si="117"/>
        <v>1.4507342789004644E-2</v>
      </c>
      <c r="H100" s="111">
        <v>8.16</v>
      </c>
      <c r="I100" s="107">
        <v>21.69</v>
      </c>
      <c r="J100" s="189">
        <f t="shared" si="118"/>
        <v>1.3118025945749796E-2</v>
      </c>
      <c r="K100" s="22">
        <f t="shared" ref="K100:K101" si="128">I100-H100</f>
        <v>13.530000000000001</v>
      </c>
      <c r="L100" s="54">
        <f t="shared" ref="L100:L101" si="129">K100/H100</f>
        <v>1.6580882352941178</v>
      </c>
      <c r="M100" s="190">
        <f t="shared" si="119"/>
        <v>0.18766222529849455</v>
      </c>
      <c r="N100" s="198"/>
      <c r="O100" s="200"/>
    </row>
    <row r="101" spans="2:15" x14ac:dyDescent="0.25">
      <c r="B101" s="61" t="s">
        <v>263</v>
      </c>
      <c r="C101" s="27">
        <f t="shared" ref="C101:I101" si="130">SUM(C99:C100)</f>
        <v>169.78</v>
      </c>
      <c r="D101" s="69">
        <f t="shared" si="116"/>
        <v>2.1716523770115414E-2</v>
      </c>
      <c r="E101" s="27">
        <f t="shared" si="130"/>
        <v>0</v>
      </c>
      <c r="F101" s="106">
        <f t="shared" si="130"/>
        <v>133.18</v>
      </c>
      <c r="G101" s="191">
        <f t="shared" si="117"/>
        <v>1.6716455378436048E-2</v>
      </c>
      <c r="H101" s="106">
        <f t="shared" ref="H101" si="131">SUM(H99:H100)</f>
        <v>10.44</v>
      </c>
      <c r="I101" s="106">
        <f t="shared" si="130"/>
        <v>22.42</v>
      </c>
      <c r="J101" s="191">
        <f t="shared" si="118"/>
        <v>1.3559527049502557E-2</v>
      </c>
      <c r="K101" s="22">
        <f t="shared" si="128"/>
        <v>11.980000000000002</v>
      </c>
      <c r="L101" s="54">
        <f t="shared" si="129"/>
        <v>1.1475095785440617</v>
      </c>
      <c r="M101" s="192">
        <f t="shared" si="119"/>
        <v>0.16834359513440456</v>
      </c>
      <c r="N101" s="198"/>
      <c r="O101" s="201"/>
    </row>
    <row r="102" spans="2:15" x14ac:dyDescent="0.25">
      <c r="B102" s="20" t="s">
        <v>264</v>
      </c>
      <c r="C102" s="107">
        <v>12.31</v>
      </c>
      <c r="D102" s="68">
        <f t="shared" si="116"/>
        <v>1.5745694876317631E-3</v>
      </c>
      <c r="E102" s="20"/>
      <c r="F102" s="107">
        <v>11.17</v>
      </c>
      <c r="G102" s="189">
        <f t="shared" si="117"/>
        <v>1.402033387724363E-3</v>
      </c>
      <c r="H102" s="111">
        <v>0.89</v>
      </c>
      <c r="I102" s="107">
        <v>2.15</v>
      </c>
      <c r="J102" s="189">
        <f t="shared" si="118"/>
        <v>1.3003114699567571E-3</v>
      </c>
      <c r="K102" s="22">
        <f>I102-H102</f>
        <v>1.2599999999999998</v>
      </c>
      <c r="L102" s="54">
        <f>K102/H102</f>
        <v>1.4157303370786514</v>
      </c>
      <c r="M102" s="190">
        <f t="shared" si="119"/>
        <v>0.19247985675917637</v>
      </c>
      <c r="N102" s="198"/>
      <c r="O102" s="200"/>
    </row>
    <row r="103" spans="2:15" x14ac:dyDescent="0.25">
      <c r="B103" s="20" t="s">
        <v>265</v>
      </c>
      <c r="C103" s="107">
        <v>101.34</v>
      </c>
      <c r="D103" s="68">
        <f t="shared" si="116"/>
        <v>1.2962377894118835E-2</v>
      </c>
      <c r="E103" s="20"/>
      <c r="F103" s="107">
        <v>65.03</v>
      </c>
      <c r="G103" s="189">
        <f t="shared" si="117"/>
        <v>8.1624199824275132E-3</v>
      </c>
      <c r="H103" s="111">
        <v>4.49</v>
      </c>
      <c r="I103" s="107">
        <v>17.78</v>
      </c>
      <c r="J103" s="189">
        <f t="shared" si="118"/>
        <v>1.0753273458526112E-2</v>
      </c>
      <c r="K103" s="22">
        <f t="shared" ref="K103:K104" si="132">I103-H103</f>
        <v>13.290000000000001</v>
      </c>
      <c r="L103" s="54">
        <f t="shared" ref="L103:L104" si="133">K103/H103</f>
        <v>2.9599109131403121</v>
      </c>
      <c r="M103" s="190">
        <f t="shared" si="119"/>
        <v>0.27341227125941875</v>
      </c>
      <c r="N103" s="198"/>
      <c r="O103" s="200"/>
    </row>
    <row r="104" spans="2:15" x14ac:dyDescent="0.25">
      <c r="B104" s="61" t="s">
        <v>295</v>
      </c>
      <c r="C104" s="106">
        <f>SUM(C102:C103)</f>
        <v>113.65</v>
      </c>
      <c r="D104" s="69">
        <f t="shared" si="116"/>
        <v>1.45369473817506E-2</v>
      </c>
      <c r="E104" s="27">
        <f t="shared" ref="E104:I104" si="134">SUM(E102:E103)</f>
        <v>0</v>
      </c>
      <c r="F104" s="106">
        <f t="shared" si="134"/>
        <v>76.2</v>
      </c>
      <c r="G104" s="191">
        <f t="shared" si="117"/>
        <v>9.5644533701518767E-3</v>
      </c>
      <c r="H104" s="106">
        <f t="shared" ref="H104" si="135">SUM(H102:H103)</f>
        <v>5.38</v>
      </c>
      <c r="I104" s="106">
        <f t="shared" si="134"/>
        <v>19.93</v>
      </c>
      <c r="J104" s="191">
        <f t="shared" si="118"/>
        <v>1.2053584928482868E-2</v>
      </c>
      <c r="K104" s="26">
        <f t="shared" si="132"/>
        <v>14.55</v>
      </c>
      <c r="L104" s="57">
        <f t="shared" si="133"/>
        <v>2.7044609665427513</v>
      </c>
      <c r="M104" s="192">
        <f t="shared" si="119"/>
        <v>0.26154855643044617</v>
      </c>
      <c r="N104" s="198"/>
      <c r="O104" s="201"/>
    </row>
    <row r="105" spans="2:15" x14ac:dyDescent="0.25">
      <c r="B105" s="181"/>
      <c r="C105" s="181"/>
      <c r="D105" s="181"/>
      <c r="E105" s="181"/>
      <c r="F105" s="181"/>
      <c r="G105" s="181"/>
      <c r="H105" s="140"/>
      <c r="I105" s="181"/>
      <c r="J105" s="181"/>
      <c r="K105" s="181"/>
      <c r="L105" s="181"/>
      <c r="M105" s="181"/>
      <c r="N105" s="198"/>
      <c r="O105" s="199"/>
    </row>
    <row r="106" spans="2:15" ht="15" customHeight="1" x14ac:dyDescent="0.25">
      <c r="B106" s="193"/>
      <c r="C106" s="244" t="s">
        <v>303</v>
      </c>
      <c r="D106" s="244" t="s">
        <v>173</v>
      </c>
      <c r="E106" s="244"/>
      <c r="F106" s="238" t="str">
        <f>'PU Wise OWE'!$B$5</f>
        <v xml:space="preserve">OBG(SL) 2021-22 </v>
      </c>
      <c r="G106" s="244" t="s">
        <v>311</v>
      </c>
      <c r="H106" s="238" t="str">
        <f>'PU Wise OWE'!$B$7</f>
        <v>Actuals upto May' 20</v>
      </c>
      <c r="I106" s="238" t="s">
        <v>328</v>
      </c>
      <c r="J106" s="244" t="s">
        <v>205</v>
      </c>
      <c r="K106" s="245" t="s">
        <v>147</v>
      </c>
      <c r="L106" s="245"/>
      <c r="M106" s="246" t="s">
        <v>307</v>
      </c>
      <c r="N106" s="198"/>
      <c r="O106" s="203"/>
    </row>
    <row r="107" spans="2:15" ht="30" x14ac:dyDescent="0.25">
      <c r="B107" s="80" t="s">
        <v>191</v>
      </c>
      <c r="C107" s="239"/>
      <c r="D107" s="239"/>
      <c r="E107" s="239"/>
      <c r="F107" s="239"/>
      <c r="G107" s="239"/>
      <c r="H107" s="239"/>
      <c r="I107" s="247"/>
      <c r="J107" s="239"/>
      <c r="K107" s="81" t="s">
        <v>145</v>
      </c>
      <c r="L107" s="81" t="s">
        <v>146</v>
      </c>
      <c r="M107" s="246"/>
      <c r="N107" s="198"/>
      <c r="O107" s="203"/>
    </row>
    <row r="108" spans="2:15" x14ac:dyDescent="0.25">
      <c r="B108" s="20" t="s">
        <v>218</v>
      </c>
      <c r="C108" s="20">
        <v>305.92</v>
      </c>
      <c r="D108" s="68">
        <f t="shared" ref="D108:D111" si="136">C108/$C$7</f>
        <v>3.9130162279147764E-2</v>
      </c>
      <c r="E108" s="20"/>
      <c r="F108" s="20">
        <v>115.89</v>
      </c>
      <c r="G108" s="189">
        <f t="shared" ref="G108:G111" si="137">F108/$F$7</f>
        <v>1.4546253294841219E-2</v>
      </c>
      <c r="H108" s="111">
        <v>33.33</v>
      </c>
      <c r="I108" s="107">
        <v>59.14</v>
      </c>
      <c r="J108" s="189">
        <f t="shared" ref="J108:J111" si="138">I108/$I$7</f>
        <v>3.5767637364298888E-2</v>
      </c>
      <c r="K108" s="22">
        <f t="shared" ref="K108" si="139">I108-H108</f>
        <v>25.810000000000002</v>
      </c>
      <c r="L108" s="54">
        <f t="shared" ref="L108" si="140">K108/H108</f>
        <v>0.77437743774377443</v>
      </c>
      <c r="M108" s="190">
        <f t="shared" ref="M108:M111" si="141">I108/F108</f>
        <v>0.51031150228665112</v>
      </c>
      <c r="N108" s="198"/>
      <c r="O108" s="200"/>
    </row>
    <row r="109" spans="2:15" x14ac:dyDescent="0.25">
      <c r="B109" s="20" t="s">
        <v>217</v>
      </c>
      <c r="C109" s="20">
        <v>266.58999999999997</v>
      </c>
      <c r="D109" s="68">
        <f t="shared" si="136"/>
        <v>3.409947032556878E-2</v>
      </c>
      <c r="E109" s="20"/>
      <c r="F109" s="107">
        <v>750</v>
      </c>
      <c r="G109" s="189">
        <f t="shared" si="137"/>
        <v>9.4138320572360989E-2</v>
      </c>
      <c r="H109" s="83">
        <v>85.35</v>
      </c>
      <c r="I109" s="107">
        <v>84.66</v>
      </c>
      <c r="J109" s="189">
        <f t="shared" si="138"/>
        <v>5.1202032114669324E-2</v>
      </c>
      <c r="K109" s="22">
        <f>I109-H109</f>
        <v>-0.68999999999999773</v>
      </c>
      <c r="L109" s="54">
        <f>K109/H109</f>
        <v>-8.0843585237258091E-3</v>
      </c>
      <c r="M109" s="190">
        <f t="shared" si="141"/>
        <v>0.11287999999999999</v>
      </c>
      <c r="N109" s="198"/>
      <c r="O109" s="200"/>
    </row>
    <row r="110" spans="2:15" x14ac:dyDescent="0.25">
      <c r="B110" s="194" t="s">
        <v>216</v>
      </c>
      <c r="C110" s="20">
        <v>544.78</v>
      </c>
      <c r="D110" s="68">
        <f t="shared" si="136"/>
        <v>6.9682694189442063E-2</v>
      </c>
      <c r="E110" s="20"/>
      <c r="F110" s="107">
        <v>676.5</v>
      </c>
      <c r="G110" s="189">
        <f t="shared" si="137"/>
        <v>8.491276515626961E-2</v>
      </c>
      <c r="H110" s="83">
        <v>277.36</v>
      </c>
      <c r="I110" s="20">
        <v>301.26</v>
      </c>
      <c r="J110" s="189">
        <f t="shared" si="138"/>
        <v>0.18220085276240586</v>
      </c>
      <c r="K110" s="22">
        <f t="shared" ref="K110" si="142">I110-H110</f>
        <v>23.899999999999977</v>
      </c>
      <c r="L110" s="54">
        <f t="shared" ref="L110" si="143">K110/H110</f>
        <v>8.6169599077011744E-2</v>
      </c>
      <c r="M110" s="190">
        <f t="shared" si="141"/>
        <v>0.44532150776053214</v>
      </c>
      <c r="N110" s="198"/>
      <c r="O110" s="200"/>
    </row>
    <row r="111" spans="2:15" x14ac:dyDescent="0.25">
      <c r="B111" s="27" t="s">
        <v>130</v>
      </c>
      <c r="C111" s="27">
        <f>SUM(C108:C110)</f>
        <v>1117.29</v>
      </c>
      <c r="D111" s="69">
        <f t="shared" si="136"/>
        <v>0.14291232679415861</v>
      </c>
      <c r="E111" s="27"/>
      <c r="F111" s="142">
        <f>+F108+F109+F110</f>
        <v>1542.3899999999999</v>
      </c>
      <c r="G111" s="191">
        <f t="shared" si="137"/>
        <v>0.19359733902347182</v>
      </c>
      <c r="H111" s="142">
        <f>+H108+H109+H110</f>
        <v>396.04</v>
      </c>
      <c r="I111" s="106">
        <f>SUM(I108:I110)</f>
        <v>445.06</v>
      </c>
      <c r="J111" s="191">
        <f t="shared" si="138"/>
        <v>0.26917052224137411</v>
      </c>
      <c r="K111" s="26">
        <f t="shared" ref="K111" si="144">I111-H111</f>
        <v>49.019999999999982</v>
      </c>
      <c r="L111" s="57">
        <f t="shared" ref="L111" si="145">K111/H111</f>
        <v>0.12377537622462373</v>
      </c>
      <c r="M111" s="192">
        <f t="shared" si="141"/>
        <v>0.28855218200325472</v>
      </c>
      <c r="N111" s="198"/>
      <c r="O111" s="201"/>
    </row>
    <row r="112" spans="2:15" x14ac:dyDescent="0.25">
      <c r="B112" s="181"/>
      <c r="C112" s="181"/>
      <c r="D112" s="181"/>
      <c r="E112" s="181"/>
      <c r="F112" s="181"/>
      <c r="G112" s="181"/>
      <c r="H112" s="140"/>
      <c r="I112" s="181"/>
      <c r="J112" s="181"/>
      <c r="K112" s="181"/>
      <c r="L112" s="181"/>
      <c r="M112" s="181"/>
      <c r="N112" s="198"/>
      <c r="O112" s="199"/>
    </row>
    <row r="113" spans="2:15" x14ac:dyDescent="0.25">
      <c r="B113" s="209" t="s">
        <v>219</v>
      </c>
      <c r="C113" s="32"/>
      <c r="D113" s="32"/>
      <c r="E113" s="32"/>
      <c r="F113" s="32"/>
      <c r="G113" s="32"/>
      <c r="H113" s="211"/>
      <c r="I113" s="32"/>
      <c r="J113" s="32"/>
      <c r="K113" s="32"/>
      <c r="L113" s="32"/>
      <c r="M113" s="32"/>
      <c r="N113" s="198"/>
      <c r="O113" s="199"/>
    </row>
    <row r="114" spans="2:15" x14ac:dyDescent="0.25">
      <c r="B114" s="20" t="s">
        <v>220</v>
      </c>
      <c r="C114" s="107">
        <v>28.69</v>
      </c>
      <c r="D114" s="68">
        <f t="shared" ref="D114:D117" si="146">C114/$C$7</f>
        <v>3.6697318115479515E-3</v>
      </c>
      <c r="E114" s="20"/>
      <c r="F114" s="107">
        <v>27.43</v>
      </c>
      <c r="G114" s="189">
        <f t="shared" ref="G114:G117" si="147">F114/$F$7</f>
        <v>3.4429521777331494E-3</v>
      </c>
      <c r="H114" s="111">
        <v>8.17</v>
      </c>
      <c r="I114" s="20">
        <v>1.38</v>
      </c>
      <c r="J114" s="189">
        <f t="shared" ref="J114:J117" si="148">I114/$I$7</f>
        <v>8.346185249024766E-4</v>
      </c>
      <c r="K114" s="22">
        <f t="shared" ref="K114" si="149">I114-H114</f>
        <v>-6.79</v>
      </c>
      <c r="L114" s="54">
        <f t="shared" ref="L114" si="150">K114/H114</f>
        <v>-0.83108935128518968</v>
      </c>
      <c r="M114" s="190">
        <f t="shared" ref="M114:M117" si="151">I114/F114</f>
        <v>5.0309879693765949E-2</v>
      </c>
      <c r="N114" s="198"/>
      <c r="O114" s="200"/>
    </row>
    <row r="115" spans="2:15" x14ac:dyDescent="0.25">
      <c r="B115" s="20" t="s">
        <v>221</v>
      </c>
      <c r="C115" s="107">
        <v>38.6</v>
      </c>
      <c r="D115" s="68">
        <f t="shared" si="146"/>
        <v>4.9373178084960237E-3</v>
      </c>
      <c r="E115" s="20"/>
      <c r="F115" s="20">
        <v>33.72</v>
      </c>
      <c r="G115" s="189">
        <f t="shared" si="147"/>
        <v>4.2324588929333502E-3</v>
      </c>
      <c r="H115" s="83">
        <v>5.07</v>
      </c>
      <c r="I115" s="107">
        <v>2.1800000000000002</v>
      </c>
      <c r="J115" s="189">
        <f t="shared" si="148"/>
        <v>1.318455350932898E-3</v>
      </c>
      <c r="K115" s="22">
        <f>I115-H115</f>
        <v>-2.89</v>
      </c>
      <c r="L115" s="54">
        <f>K115/H115</f>
        <v>-0.57001972386587774</v>
      </c>
      <c r="M115" s="190">
        <f t="shared" si="151"/>
        <v>6.465005931198102E-2</v>
      </c>
      <c r="N115" s="198"/>
      <c r="O115" s="200"/>
    </row>
    <row r="116" spans="2:15" x14ac:dyDescent="0.25">
      <c r="B116" s="194" t="s">
        <v>222</v>
      </c>
      <c r="C116" s="20">
        <v>33.32</v>
      </c>
      <c r="D116" s="68">
        <f t="shared" si="146"/>
        <v>4.2619541289919049E-3</v>
      </c>
      <c r="E116" s="20"/>
      <c r="F116" s="20">
        <v>32.950000000000003</v>
      </c>
      <c r="G116" s="189">
        <f t="shared" si="147"/>
        <v>4.1358102171457261E-3</v>
      </c>
      <c r="H116" s="111">
        <v>5.6</v>
      </c>
      <c r="I116" s="107">
        <v>5.21</v>
      </c>
      <c r="J116" s="189">
        <f t="shared" si="148"/>
        <v>3.1509873295231181E-3</v>
      </c>
      <c r="K116" s="22">
        <f t="shared" ref="K116" si="152">I116-H116</f>
        <v>-0.38999999999999968</v>
      </c>
      <c r="L116" s="54">
        <f t="shared" ref="L116" si="153">K116/H116</f>
        <v>-6.964285714285709E-2</v>
      </c>
      <c r="M116" s="190">
        <f t="shared" si="151"/>
        <v>0.1581183611532625</v>
      </c>
      <c r="N116" s="198"/>
      <c r="O116" s="200"/>
    </row>
    <row r="117" spans="2:15" x14ac:dyDescent="0.25">
      <c r="B117" s="27" t="s">
        <v>130</v>
      </c>
      <c r="C117" s="106">
        <f>SUM(C114:C116)</f>
        <v>100.61000000000001</v>
      </c>
      <c r="D117" s="69">
        <f t="shared" si="146"/>
        <v>1.2869003749035881E-2</v>
      </c>
      <c r="E117" s="27"/>
      <c r="F117" s="27">
        <f>SUM(F114:F116)</f>
        <v>94.1</v>
      </c>
      <c r="G117" s="191">
        <f t="shared" si="147"/>
        <v>1.1811221287812224E-2</v>
      </c>
      <c r="H117" s="149">
        <f>SUM(H114:H116)</f>
        <v>18.84</v>
      </c>
      <c r="I117" s="27">
        <f>SUM(I114:I116)</f>
        <v>8.77</v>
      </c>
      <c r="J117" s="191">
        <f t="shared" si="148"/>
        <v>5.304061205358492E-3</v>
      </c>
      <c r="K117" s="26">
        <f t="shared" ref="K117" si="154">I117-H117</f>
        <v>-10.07</v>
      </c>
      <c r="L117" s="57">
        <f t="shared" ref="L117" si="155">K117/H117</f>
        <v>-0.53450106157112531</v>
      </c>
      <c r="M117" s="192">
        <f t="shared" si="151"/>
        <v>9.3198724760892665E-2</v>
      </c>
      <c r="N117" s="198"/>
      <c r="O117" s="201"/>
    </row>
    <row r="120" spans="2:15" x14ac:dyDescent="0.25">
      <c r="C120" s="34"/>
    </row>
    <row r="121" spans="2:15" x14ac:dyDescent="0.25">
      <c r="C121" s="31"/>
    </row>
    <row r="122" spans="2:15" x14ac:dyDescent="0.25">
      <c r="C122" s="31"/>
    </row>
    <row r="123" spans="2:15" x14ac:dyDescent="0.25">
      <c r="C123"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B40:B41"/>
    <mergeCell ref="F40:F41"/>
    <mergeCell ref="I40:I41"/>
    <mergeCell ref="J40:J41"/>
    <mergeCell ref="D40:D41"/>
    <mergeCell ref="G40:G41"/>
    <mergeCell ref="E40:E49"/>
    <mergeCell ref="C40:C41"/>
    <mergeCell ref="C106:C107"/>
    <mergeCell ref="O3:O4"/>
    <mergeCell ref="O11:O12"/>
    <mergeCell ref="O32:O33"/>
    <mergeCell ref="O40:O41"/>
    <mergeCell ref="D89:D90"/>
    <mergeCell ref="E89:E90"/>
    <mergeCell ref="F89:F90"/>
    <mergeCell ref="G89:G90"/>
    <mergeCell ref="I89:I90"/>
    <mergeCell ref="J89:J90"/>
    <mergeCell ref="E59:E63"/>
    <mergeCell ref="E52:E54"/>
    <mergeCell ref="K40:L40"/>
    <mergeCell ref="M40:N40"/>
    <mergeCell ref="J11:J12"/>
    <mergeCell ref="K89:L89"/>
    <mergeCell ref="M89:M90"/>
    <mergeCell ref="D106:D107"/>
    <mergeCell ref="E106:E107"/>
    <mergeCell ref="F106:F107"/>
    <mergeCell ref="G106:G107"/>
    <mergeCell ref="I106:I107"/>
    <mergeCell ref="J106:J107"/>
    <mergeCell ref="K106:L106"/>
    <mergeCell ref="M106:M107"/>
    <mergeCell ref="B89:B90"/>
    <mergeCell ref="B76:B77"/>
    <mergeCell ref="C76:C77"/>
    <mergeCell ref="D76:D77"/>
    <mergeCell ref="C89:C90"/>
    <mergeCell ref="K76:L76"/>
    <mergeCell ref="M76:N76"/>
    <mergeCell ref="O76:O77"/>
    <mergeCell ref="E76:E77"/>
    <mergeCell ref="F76:F77"/>
    <mergeCell ref="G76:G77"/>
    <mergeCell ref="I76:I77"/>
    <mergeCell ref="J76:J77"/>
    <mergeCell ref="H32:H33"/>
    <mergeCell ref="H40:H41"/>
    <mergeCell ref="H76:H77"/>
    <mergeCell ref="H89:H90"/>
    <mergeCell ref="H106:H107"/>
  </mergeCells>
  <conditionalFormatting sqref="O108:O111 O114:O117 O64">
    <cfRule type="cellIs" dxfId="20" priority="4" operator="greaterThan">
      <formula>0.5</formula>
    </cfRule>
  </conditionalFormatting>
  <conditionalFormatting sqref="O91:O104">
    <cfRule type="cellIs" dxfId="19" priority="3" operator="greaterThan">
      <formula>0.85</formula>
    </cfRule>
  </conditionalFormatting>
  <conditionalFormatting sqref="M108:M111 M114:M117">
    <cfRule type="cellIs" dxfId="18" priority="2" operator="greaterThan">
      <formula>0.5</formula>
    </cfRule>
  </conditionalFormatting>
  <conditionalFormatting sqref="M91:M104">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4"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 zoomScaleSheetLayoutView="100" workbookViewId="0">
      <selection activeCell="B87" sqref="B87:M115"/>
    </sheetView>
  </sheetViews>
  <sheetFormatPr defaultRowHeight="15" x14ac:dyDescent="0.25"/>
  <cols>
    <col min="2" max="2" width="27" customWidth="1"/>
    <col min="3" max="3" width="10" style="182"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66" t="s">
        <v>151</v>
      </c>
      <c r="C3" s="270" t="s">
        <v>303</v>
      </c>
      <c r="D3" s="272" t="str">
        <f>'PU Wise OWE'!$B$7</f>
        <v>Actuals upto May' 20</v>
      </c>
      <c r="E3" s="270" t="s">
        <v>173</v>
      </c>
      <c r="F3" s="270"/>
      <c r="G3" s="280" t="str">
        <f>'PU Wise OWE'!$B$5</f>
        <v xml:space="preserve">OBG(SL) 2021-22 </v>
      </c>
      <c r="H3" s="270" t="s">
        <v>310</v>
      </c>
      <c r="I3" s="272" t="str">
        <f>'PU Wise OWE'!B8</f>
        <v>Actuals upto May' 21</v>
      </c>
      <c r="J3" s="270" t="s">
        <v>205</v>
      </c>
      <c r="K3" s="273" t="s">
        <v>147</v>
      </c>
      <c r="L3" s="273"/>
      <c r="M3" s="248" t="s">
        <v>315</v>
      </c>
      <c r="N3" s="276"/>
    </row>
    <row r="4" spans="1:14" ht="15.6" customHeight="1" x14ac:dyDescent="0.25">
      <c r="A4" s="31"/>
      <c r="B4" s="267"/>
      <c r="C4" s="271"/>
      <c r="D4" s="271"/>
      <c r="E4" s="271"/>
      <c r="F4" s="271"/>
      <c r="G4" s="267"/>
      <c r="H4" s="271"/>
      <c r="I4" s="271"/>
      <c r="J4" s="271"/>
      <c r="K4" s="19" t="s">
        <v>145</v>
      </c>
      <c r="L4" s="18" t="s">
        <v>146</v>
      </c>
      <c r="M4" s="248"/>
      <c r="N4" s="276"/>
    </row>
    <row r="5" spans="1:14" x14ac:dyDescent="0.25">
      <c r="A5" s="31"/>
      <c r="B5" s="63" t="s">
        <v>148</v>
      </c>
      <c r="C5" s="22">
        <v>4575.6000000000004</v>
      </c>
      <c r="D5" s="72">
        <f>ROUND('PU Wise OWE'!$AD$128/10000,2)</f>
        <v>735.34</v>
      </c>
      <c r="E5" s="68">
        <f>D5/D7</f>
        <v>0.50291693738672505</v>
      </c>
      <c r="F5" s="68"/>
      <c r="G5" s="22">
        <f>ROUND('PU Wise OWE'!$AD$126/10000,2)</f>
        <v>4658.2700000000004</v>
      </c>
      <c r="H5" s="68">
        <f>G5/G7</f>
        <v>0.58469561943014947</v>
      </c>
      <c r="I5" s="23">
        <f>ROUND('PU Wise OWE'!$AD$129/10000,2)</f>
        <v>786.2</v>
      </c>
      <c r="J5" s="24">
        <f>I5/$I$7</f>
        <v>0.48746008618284409</v>
      </c>
      <c r="K5" s="22">
        <f>I5-D5</f>
        <v>50.860000000000014</v>
      </c>
      <c r="L5" s="54">
        <f>K5/D5</f>
        <v>6.9165284086273038E-2</v>
      </c>
      <c r="M5" s="54">
        <f>I5/G5</f>
        <v>0.1687751032035498</v>
      </c>
    </row>
    <row r="6" spans="1:14" x14ac:dyDescent="0.25">
      <c r="A6" s="31"/>
      <c r="B6" s="80" t="s">
        <v>144</v>
      </c>
      <c r="C6" s="21">
        <v>3242.41</v>
      </c>
      <c r="D6" s="72">
        <f>D7-D5</f>
        <v>726.81000000000006</v>
      </c>
      <c r="E6" s="68">
        <f>D6/D7</f>
        <v>0.49708306261327501</v>
      </c>
      <c r="F6" s="68"/>
      <c r="G6" s="21">
        <f t="shared" ref="G6:I6" si="0">G7-G5</f>
        <v>3308.7299999999996</v>
      </c>
      <c r="H6" s="68">
        <f>G6/G7</f>
        <v>0.41530438056985058</v>
      </c>
      <c r="I6" s="21">
        <f t="shared" si="0"/>
        <v>826.64999999999986</v>
      </c>
      <c r="J6" s="24">
        <f t="shared" ref="J6:J7" si="1">I6/$I$7</f>
        <v>0.51253991381715591</v>
      </c>
      <c r="K6" s="22">
        <f>I6-D6</f>
        <v>99.839999999999804</v>
      </c>
      <c r="L6" s="54">
        <f>K6/D6</f>
        <v>0.13736740000825498</v>
      </c>
      <c r="M6" s="54">
        <f>I6/G6</f>
        <v>0.24983906211748919</v>
      </c>
    </row>
    <row r="7" spans="1:14" x14ac:dyDescent="0.25">
      <c r="A7" s="31"/>
      <c r="B7" s="27" t="s">
        <v>171</v>
      </c>
      <c r="C7" s="106">
        <f>SUM(C5:C6)</f>
        <v>7818.01</v>
      </c>
      <c r="D7" s="73">
        <f>ROUND('PU Wise OWE'!BK128/10000,2)</f>
        <v>1462.15</v>
      </c>
      <c r="E7" s="69">
        <f>SUM(E5:E6)</f>
        <v>1</v>
      </c>
      <c r="F7" s="69"/>
      <c r="G7" s="26">
        <f>ROUND('PU Wise OWE'!BK126/10000,2)</f>
        <v>7967</v>
      </c>
      <c r="H7" s="69">
        <f>SUM(H5:H6)</f>
        <v>1</v>
      </c>
      <c r="I7" s="25">
        <f>ROUND('PU Wise OWE'!BK129/10000,2)</f>
        <v>1612.85</v>
      </c>
      <c r="J7" s="56">
        <f t="shared" si="1"/>
        <v>1</v>
      </c>
      <c r="K7" s="26">
        <f>I7-D7</f>
        <v>150.69999999999982</v>
      </c>
      <c r="L7" s="57">
        <f>K7/D7</f>
        <v>0.10306740074547742</v>
      </c>
      <c r="M7" s="54">
        <f>I7/G7</f>
        <v>0.20244132044684321</v>
      </c>
    </row>
    <row r="8" spans="1:14" x14ac:dyDescent="0.25">
      <c r="A8" s="31"/>
      <c r="B8" s="32"/>
      <c r="C8" s="32"/>
      <c r="D8" s="74"/>
      <c r="E8" s="33"/>
      <c r="F8" s="33"/>
      <c r="G8" s="34"/>
      <c r="H8" s="34"/>
      <c r="I8" s="31"/>
      <c r="J8" s="31"/>
      <c r="K8" s="34"/>
      <c r="L8" s="31"/>
    </row>
    <row r="9" spans="1:14" ht="14.45" customHeight="1" x14ac:dyDescent="0.25">
      <c r="A9" s="31"/>
      <c r="D9" s="74"/>
      <c r="E9" s="33"/>
      <c r="F9" s="33"/>
      <c r="G9" s="34"/>
      <c r="H9" s="34"/>
      <c r="I9" s="31"/>
      <c r="J9" s="31"/>
      <c r="K9" s="34"/>
      <c r="L9" s="31"/>
    </row>
    <row r="10" spans="1:14" x14ac:dyDescent="0.25">
      <c r="A10" s="31"/>
      <c r="B10" s="64" t="s">
        <v>172</v>
      </c>
      <c r="C10" s="64"/>
      <c r="D10" s="75"/>
      <c r="E10" s="65"/>
      <c r="F10" s="65"/>
      <c r="G10" s="65"/>
      <c r="H10" s="65"/>
      <c r="I10" s="65"/>
      <c r="J10" s="65"/>
      <c r="K10" s="36" t="s">
        <v>150</v>
      </c>
    </row>
    <row r="11" spans="1:14" ht="15" customHeight="1" x14ac:dyDescent="0.25">
      <c r="A11" s="31"/>
      <c r="B11" s="265"/>
      <c r="C11" s="265" t="s">
        <v>303</v>
      </c>
      <c r="D11" s="260" t="str">
        <f>'PU Wise OWE'!$B$7</f>
        <v>Actuals upto May' 20</v>
      </c>
      <c r="E11" s="265" t="s">
        <v>173</v>
      </c>
      <c r="F11" s="265"/>
      <c r="G11" s="281" t="str">
        <f>'PU Wise OWE'!$B$5</f>
        <v xml:space="preserve">OBG(SL) 2021-22 </v>
      </c>
      <c r="H11" s="265" t="s">
        <v>310</v>
      </c>
      <c r="I11" s="260" t="str">
        <f>'PU Wise OWE'!B8</f>
        <v>Actuals upto May' 21</v>
      </c>
      <c r="J11" s="265" t="s">
        <v>205</v>
      </c>
      <c r="K11" s="262" t="s">
        <v>147</v>
      </c>
      <c r="L11" s="262"/>
      <c r="M11" s="249" t="s">
        <v>315</v>
      </c>
      <c r="N11" s="276" t="s">
        <v>209</v>
      </c>
    </row>
    <row r="12" spans="1:14" ht="17.25" customHeight="1" x14ac:dyDescent="0.25">
      <c r="A12" s="31"/>
      <c r="B12" s="261"/>
      <c r="C12" s="261"/>
      <c r="D12" s="261"/>
      <c r="E12" s="261"/>
      <c r="F12" s="261"/>
      <c r="G12" s="282"/>
      <c r="H12" s="261"/>
      <c r="I12" s="261"/>
      <c r="J12" s="261"/>
      <c r="K12" s="66" t="s">
        <v>145</v>
      </c>
      <c r="L12" s="67" t="s">
        <v>146</v>
      </c>
      <c r="M12" s="249"/>
      <c r="N12" s="276"/>
    </row>
    <row r="13" spans="1:14" x14ac:dyDescent="0.25">
      <c r="A13" s="31"/>
      <c r="B13" s="20" t="s">
        <v>152</v>
      </c>
      <c r="C13" s="107">
        <v>2522.8000000000002</v>
      </c>
      <c r="D13" s="72">
        <f>ROUND('PU Wise OWE'!$C$128/10000,2)</f>
        <v>424.69</v>
      </c>
      <c r="E13" s="68">
        <f>D13/$D$7</f>
        <v>0.29045583558458432</v>
      </c>
      <c r="F13" s="21"/>
      <c r="G13" s="22">
        <f>ROUND('PU Wise OWE'!$C$126/10000,2)</f>
        <v>2509.4499999999998</v>
      </c>
      <c r="H13" s="24">
        <f>G13/$G$7</f>
        <v>0.3149805447470817</v>
      </c>
      <c r="I13" s="23">
        <f>ROUND('PU Wise OWE'!$C$129/10000,2)</f>
        <v>432.33</v>
      </c>
      <c r="J13" s="24">
        <f>I13/$I$7</f>
        <v>0.26805344576371021</v>
      </c>
      <c r="K13" s="22">
        <f t="shared" ref="K13:K28" si="2">I13-D13</f>
        <v>7.6399999999999864</v>
      </c>
      <c r="L13" s="54">
        <f t="shared" ref="L13:L28" si="3">K13/D13</f>
        <v>1.7989592408580345E-2</v>
      </c>
      <c r="M13" s="54">
        <f>I13/G13</f>
        <v>0.17228077865667776</v>
      </c>
    </row>
    <row r="14" spans="1:14" x14ac:dyDescent="0.25">
      <c r="A14" s="31"/>
      <c r="B14" s="20" t="s">
        <v>153</v>
      </c>
      <c r="C14" s="107">
        <v>441.91</v>
      </c>
      <c r="D14" s="72">
        <f>ROUND('PU Wise OWE'!$D$128/10000,2)</f>
        <v>74.12</v>
      </c>
      <c r="E14" s="68">
        <f t="shared" ref="E14:E27" si="4">D14/$D$7</f>
        <v>5.0692473412440583E-2</v>
      </c>
      <c r="F14" s="21"/>
      <c r="G14" s="22">
        <f>ROUND('PU Wise OWE'!$D$126/10000,2)</f>
        <v>451.98</v>
      </c>
      <c r="H14" s="24">
        <f t="shared" ref="H14:H27" si="5">G14/$G$7</f>
        <v>5.673151750972763E-2</v>
      </c>
      <c r="I14" s="23">
        <f>ROUND('PU Wise OWE'!$D$129/10000,2)</f>
        <v>76.38</v>
      </c>
      <c r="J14" s="24">
        <f t="shared" ref="J14:J28" si="6">I14/$I$7</f>
        <v>4.7357162786371948E-2</v>
      </c>
      <c r="K14" s="22">
        <f t="shared" si="2"/>
        <v>2.2599999999999909</v>
      </c>
      <c r="L14" s="54">
        <f t="shared" si="3"/>
        <v>3.0491095520776994E-2</v>
      </c>
      <c r="M14" s="54">
        <f t="shared" ref="M14:M27" si="7">I14/G14</f>
        <v>0.16898977830877471</v>
      </c>
    </row>
    <row r="15" spans="1:14" x14ac:dyDescent="0.25">
      <c r="B15" s="23" t="s">
        <v>174</v>
      </c>
      <c r="C15" s="22">
        <v>98.2</v>
      </c>
      <c r="D15" s="72">
        <f>ROUND('PU Wise OWE'!$E$128/10000,2)</f>
        <v>0.3</v>
      </c>
      <c r="E15" s="68">
        <f t="shared" si="4"/>
        <v>2.0517730738980268E-4</v>
      </c>
      <c r="F15" s="21"/>
      <c r="G15" s="22">
        <f>ROUND('PU Wise OWE'!$E$126/10000,2)</f>
        <v>99.13</v>
      </c>
      <c r="H15" s="24">
        <f t="shared" si="5"/>
        <v>1.244257562445086E-2</v>
      </c>
      <c r="I15" s="23">
        <f>ROUND('PU Wise OWE'!$E$129/10000,2)</f>
        <v>0.15</v>
      </c>
      <c r="J15" s="24">
        <f t="shared" si="6"/>
        <v>9.3003069101280339E-5</v>
      </c>
      <c r="K15" s="22">
        <f t="shared" si="2"/>
        <v>-0.15</v>
      </c>
      <c r="L15" s="54">
        <f t="shared" si="3"/>
        <v>-0.5</v>
      </c>
      <c r="M15" s="54">
        <f t="shared" si="7"/>
        <v>1.5131645314233834E-3</v>
      </c>
    </row>
    <row r="16" spans="1:14" x14ac:dyDescent="0.25">
      <c r="B16" s="23" t="s">
        <v>175</v>
      </c>
      <c r="C16" s="22">
        <v>264.85000000000002</v>
      </c>
      <c r="D16" s="72">
        <f>ROUND('PU Wise OWE'!$F$128/10000,2)</f>
        <v>43.74</v>
      </c>
      <c r="E16" s="68">
        <f t="shared" si="4"/>
        <v>2.9914851417433233E-2</v>
      </c>
      <c r="F16" s="21"/>
      <c r="G16" s="22">
        <f>ROUND('PU Wise OWE'!$F$126/10000,2)</f>
        <v>286.05</v>
      </c>
      <c r="H16" s="24">
        <f t="shared" si="5"/>
        <v>3.5904355466298485E-2</v>
      </c>
      <c r="I16" s="23">
        <f>ROUND('PU Wise OWE'!$F$129/10000,2)</f>
        <v>45.72</v>
      </c>
      <c r="J16" s="24">
        <f t="shared" si="6"/>
        <v>2.8347335462070248E-2</v>
      </c>
      <c r="K16" s="22">
        <f t="shared" si="2"/>
        <v>1.9799999999999969</v>
      </c>
      <c r="L16" s="54">
        <f t="shared" si="3"/>
        <v>4.5267489711934082E-2</v>
      </c>
      <c r="M16" s="54">
        <f t="shared" si="7"/>
        <v>0.15983219716832719</v>
      </c>
    </row>
    <row r="17" spans="1:14" x14ac:dyDescent="0.25">
      <c r="B17" s="23" t="s">
        <v>176</v>
      </c>
      <c r="C17" s="22">
        <v>134.78</v>
      </c>
      <c r="D17" s="72">
        <f>ROUND('PU Wise OWE'!$G$128/10000,2)</f>
        <v>22.69</v>
      </c>
      <c r="E17" s="68">
        <f t="shared" si="4"/>
        <v>1.5518243682248743E-2</v>
      </c>
      <c r="F17" s="21"/>
      <c r="G17" s="22">
        <f>ROUND('PU Wise OWE'!$G$126/10000,2)</f>
        <v>148.21</v>
      </c>
      <c r="H17" s="24">
        <f t="shared" si="5"/>
        <v>1.8602987322706165E-2</v>
      </c>
      <c r="I17" s="23">
        <f>ROUND('PU Wise OWE'!$G$129/10000,2)</f>
        <v>23.09</v>
      </c>
      <c r="J17" s="24">
        <f t="shared" si="6"/>
        <v>1.4316272436990421E-2</v>
      </c>
      <c r="K17" s="22">
        <f t="shared" si="2"/>
        <v>0.39999999999999858</v>
      </c>
      <c r="L17" s="54">
        <f t="shared" si="3"/>
        <v>1.7628911414720078E-2</v>
      </c>
      <c r="M17" s="54">
        <f t="shared" si="7"/>
        <v>0.15579245664934888</v>
      </c>
    </row>
    <row r="18" spans="1:14" x14ac:dyDescent="0.25">
      <c r="A18" s="31"/>
      <c r="B18" s="20" t="s">
        <v>154</v>
      </c>
      <c r="C18" s="107">
        <v>247.05</v>
      </c>
      <c r="D18" s="72">
        <f>ROUND('PU Wise OWE'!$H$128/10000,2)</f>
        <v>59.7</v>
      </c>
      <c r="E18" s="68">
        <f t="shared" si="4"/>
        <v>4.0830284170570733E-2</v>
      </c>
      <c r="F18" s="21"/>
      <c r="G18" s="22">
        <f>ROUND('PU Wise OWE'!$H$126/10000,2)</f>
        <v>289.98</v>
      </c>
      <c r="H18" s="24">
        <f t="shared" si="5"/>
        <v>3.6397640266097653E-2</v>
      </c>
      <c r="I18" s="23">
        <f>ROUND('PU Wise OWE'!$H$129/10000,2)</f>
        <v>63.39</v>
      </c>
      <c r="J18" s="24">
        <f t="shared" si="6"/>
        <v>3.9303097002201075E-2</v>
      </c>
      <c r="K18" s="22">
        <f t="shared" si="2"/>
        <v>3.6899999999999977</v>
      </c>
      <c r="L18" s="54">
        <f t="shared" si="3"/>
        <v>6.1809045226130614E-2</v>
      </c>
      <c r="M18" s="54">
        <f t="shared" si="7"/>
        <v>0.2186012828470929</v>
      </c>
    </row>
    <row r="19" spans="1:14" ht="45" customHeight="1" x14ac:dyDescent="0.25">
      <c r="A19" s="31"/>
      <c r="B19" s="58" t="s">
        <v>155</v>
      </c>
      <c r="C19" s="108">
        <v>188.24</v>
      </c>
      <c r="D19" s="72">
        <f>ROUND('PU Wise OWE'!$J$128/10000,2)</f>
        <v>30.89</v>
      </c>
      <c r="E19" s="68">
        <f t="shared" si="4"/>
        <v>2.1126423417570015E-2</v>
      </c>
      <c r="F19" s="21"/>
      <c r="G19" s="22">
        <f>ROUND('PU Wise OWE'!$J$126/10000,2)</f>
        <v>198.27</v>
      </c>
      <c r="H19" s="24">
        <f t="shared" si="5"/>
        <v>2.4886406426509352E-2</v>
      </c>
      <c r="I19" s="23">
        <f>ROUND('PU Wise OWE'!$J$129/10000,2)</f>
        <v>35.43</v>
      </c>
      <c r="J19" s="24">
        <f t="shared" si="6"/>
        <v>2.1967324921722417E-2</v>
      </c>
      <c r="K19" s="22">
        <f t="shared" si="2"/>
        <v>4.5399999999999991</v>
      </c>
      <c r="L19" s="54">
        <f t="shared" si="3"/>
        <v>0.14697313046293295</v>
      </c>
      <c r="M19" s="54">
        <f t="shared" si="7"/>
        <v>0.17869571796035708</v>
      </c>
      <c r="N19" s="71"/>
    </row>
    <row r="20" spans="1:14" x14ac:dyDescent="0.25">
      <c r="A20" s="31"/>
      <c r="B20" s="20" t="s">
        <v>156</v>
      </c>
      <c r="C20" s="107">
        <v>12.03</v>
      </c>
      <c r="D20" s="72">
        <f>ROUND('PU Wise OWE'!$K$128/10000,2)</f>
        <v>0.44</v>
      </c>
      <c r="E20" s="68">
        <f t="shared" si="4"/>
        <v>3.009267175050439E-4</v>
      </c>
      <c r="F20" s="21"/>
      <c r="G20" s="22">
        <f>ROUND('PU Wise OWE'!$K$126/10000,2)</f>
        <v>11.75</v>
      </c>
      <c r="H20" s="24">
        <f t="shared" si="5"/>
        <v>1.4748336889669888E-3</v>
      </c>
      <c r="I20" s="23">
        <f>ROUND('PU Wise OWE'!$K$129/10000,2)</f>
        <v>0.21</v>
      </c>
      <c r="J20" s="24">
        <f t="shared" si="6"/>
        <v>1.3020429674179249E-4</v>
      </c>
      <c r="K20" s="22">
        <f t="shared" si="2"/>
        <v>-0.23</v>
      </c>
      <c r="L20" s="54">
        <f t="shared" si="3"/>
        <v>-0.52272727272727271</v>
      </c>
      <c r="M20" s="54">
        <f t="shared" si="7"/>
        <v>1.7872340425531916E-2</v>
      </c>
    </row>
    <row r="21" spans="1:14" x14ac:dyDescent="0.25">
      <c r="A21" s="31"/>
      <c r="B21" s="20" t="s">
        <v>157</v>
      </c>
      <c r="C21" s="107">
        <v>48.93</v>
      </c>
      <c r="D21" s="72">
        <f>ROUND('PU Wise OWE'!$L$128/10000,2)</f>
        <v>9.15</v>
      </c>
      <c r="E21" s="68">
        <f t="shared" si="4"/>
        <v>6.2579078753889818E-3</v>
      </c>
      <c r="F21" s="21"/>
      <c r="G21" s="22">
        <f>ROUND('PU Wise OWE'!$L$126/10000,2)</f>
        <v>52.98</v>
      </c>
      <c r="H21" s="24">
        <f t="shared" si="5"/>
        <v>6.6499309652315796E-3</v>
      </c>
      <c r="I21" s="23">
        <f>ROUND('PU Wise OWE'!$L$129/10000,2)</f>
        <v>5.45</v>
      </c>
      <c r="J21" s="24">
        <f t="shared" si="6"/>
        <v>3.3791115106798528E-3</v>
      </c>
      <c r="K21" s="22">
        <f t="shared" si="2"/>
        <v>-3.7</v>
      </c>
      <c r="L21" s="54">
        <f t="shared" si="3"/>
        <v>-0.40437158469945356</v>
      </c>
      <c r="M21" s="54">
        <f t="shared" si="7"/>
        <v>0.10286900717251794</v>
      </c>
      <c r="N21" s="71"/>
    </row>
    <row r="22" spans="1:14" x14ac:dyDescent="0.25">
      <c r="A22" s="31"/>
      <c r="B22" s="20" t="s">
        <v>179</v>
      </c>
      <c r="C22" s="107">
        <v>120.4</v>
      </c>
      <c r="D22" s="72">
        <f>ROUND('PU Wise OWE'!$M$128/10000,2)</f>
        <v>17.02</v>
      </c>
      <c r="E22" s="68">
        <f t="shared" si="4"/>
        <v>1.1640392572581471E-2</v>
      </c>
      <c r="F22" s="21"/>
      <c r="G22" s="22">
        <f>ROUND('PU Wise OWE'!$M$126/10000,2)</f>
        <v>149.94999999999999</v>
      </c>
      <c r="H22" s="24">
        <f t="shared" si="5"/>
        <v>1.882138822643404E-2</v>
      </c>
      <c r="I22" s="23">
        <f>ROUND('PU Wise OWE'!$M$129/10000,2)</f>
        <v>19.84</v>
      </c>
      <c r="J22" s="24">
        <f t="shared" si="6"/>
        <v>1.2301205939796014E-2</v>
      </c>
      <c r="K22" s="22">
        <f t="shared" si="2"/>
        <v>2.8200000000000003</v>
      </c>
      <c r="L22" s="54">
        <f t="shared" si="3"/>
        <v>0.16568742655699178</v>
      </c>
      <c r="M22" s="54">
        <f t="shared" si="7"/>
        <v>0.13231077025675225</v>
      </c>
      <c r="N22" s="71"/>
    </row>
    <row r="23" spans="1:14" x14ac:dyDescent="0.25">
      <c r="A23" s="31"/>
      <c r="B23" s="58" t="s">
        <v>158</v>
      </c>
      <c r="C23" s="108">
        <v>88.73</v>
      </c>
      <c r="D23" s="72">
        <f>ROUND('PU Wise OWE'!$P$128/10000,2)</f>
        <v>16.559999999999999</v>
      </c>
      <c r="E23" s="68">
        <f t="shared" si="4"/>
        <v>1.1325787367917107E-2</v>
      </c>
      <c r="F23" s="21"/>
      <c r="G23" s="22">
        <f>ROUND('PU Wise OWE'!$P$126/10000,2)</f>
        <v>92.29</v>
      </c>
      <c r="H23" s="24">
        <f t="shared" si="5"/>
        <v>1.1584034140830929E-2</v>
      </c>
      <c r="I23" s="23">
        <f>ROUND('PU Wise OWE'!$P$129/10000,2)</f>
        <v>22.39</v>
      </c>
      <c r="J23" s="24">
        <f t="shared" si="6"/>
        <v>1.388225811451778E-2</v>
      </c>
      <c r="K23" s="22">
        <f t="shared" si="2"/>
        <v>5.8300000000000018</v>
      </c>
      <c r="L23" s="54">
        <f t="shared" si="3"/>
        <v>0.35205314009661848</v>
      </c>
      <c r="M23" s="54">
        <f t="shared" si="7"/>
        <v>0.24260483259291363</v>
      </c>
    </row>
    <row r="24" spans="1:14" x14ac:dyDescent="0.25">
      <c r="B24" s="58" t="s">
        <v>159</v>
      </c>
      <c r="C24" s="108">
        <v>81.78</v>
      </c>
      <c r="D24" s="72">
        <f>ROUND('PU Wise OWE'!$S$128/10000,2)</f>
        <v>3.84</v>
      </c>
      <c r="E24" s="68">
        <f t="shared" si="4"/>
        <v>2.6262695345894743E-3</v>
      </c>
      <c r="F24" s="21"/>
      <c r="G24" s="22">
        <f>ROUND('PU Wise OWE'!$S$126/10000,2)</f>
        <v>89.03</v>
      </c>
      <c r="H24" s="24">
        <f t="shared" si="5"/>
        <v>1.1174846240743065E-2</v>
      </c>
      <c r="I24" s="23">
        <f>ROUND('PU Wise OWE'!$S$129/10000,2)</f>
        <v>16.350000000000001</v>
      </c>
      <c r="J24" s="24">
        <f t="shared" si="6"/>
        <v>1.013733453203956E-2</v>
      </c>
      <c r="K24" s="22">
        <f t="shared" si="2"/>
        <v>12.510000000000002</v>
      </c>
      <c r="L24" s="54">
        <f t="shared" si="3"/>
        <v>3.2578125000000004</v>
      </c>
      <c r="M24" s="54">
        <f t="shared" si="7"/>
        <v>0.18364596203526903</v>
      </c>
      <c r="N24" s="71"/>
    </row>
    <row r="25" spans="1:14" x14ac:dyDescent="0.25">
      <c r="B25" s="58" t="s">
        <v>160</v>
      </c>
      <c r="C25" s="108">
        <v>90.5</v>
      </c>
      <c r="D25" s="72">
        <f>ROUND('PU Wise OWE'!$T$128/10000,2)</f>
        <v>13.22</v>
      </c>
      <c r="E25" s="68">
        <f t="shared" si="4"/>
        <v>9.0414800123106379E-3</v>
      </c>
      <c r="F25" s="21"/>
      <c r="G25" s="22">
        <f>ROUND('PU Wise OWE'!$T$126/10000,2)</f>
        <v>83.15</v>
      </c>
      <c r="H25" s="24">
        <f t="shared" si="5"/>
        <v>1.0436801807455756E-2</v>
      </c>
      <c r="I25" s="23">
        <f>ROUND('PU Wise OWE'!$T$129/10000,2)</f>
        <v>12.99</v>
      </c>
      <c r="J25" s="24">
        <f t="shared" si="6"/>
        <v>8.0540657841708784E-3</v>
      </c>
      <c r="K25" s="22">
        <f t="shared" si="2"/>
        <v>-0.23000000000000043</v>
      </c>
      <c r="L25" s="54">
        <f t="shared" si="3"/>
        <v>-1.7397881996974313E-2</v>
      </c>
      <c r="M25" s="54">
        <f t="shared" si="7"/>
        <v>0.15622369212266987</v>
      </c>
    </row>
    <row r="26" spans="1:14" x14ac:dyDescent="0.25">
      <c r="B26" s="58" t="s">
        <v>178</v>
      </c>
      <c r="C26" s="108">
        <v>41.07</v>
      </c>
      <c r="D26" s="72">
        <f>ROUND('PU Wise OWE'!$V$128/10000,2)</f>
        <v>5.96</v>
      </c>
      <c r="E26" s="68">
        <f t="shared" si="4"/>
        <v>4.076189173477413E-3</v>
      </c>
      <c r="F26" s="22"/>
      <c r="G26" s="22">
        <f>ROUND('PU Wise OWE'!$V$126/10000,2)</f>
        <v>34.5</v>
      </c>
      <c r="H26" s="24">
        <f t="shared" si="5"/>
        <v>4.3303627463286056E-3</v>
      </c>
      <c r="I26" s="23">
        <f>ROUND('PU Wise OWE'!$V$129/10000,2)</f>
        <v>5.72</v>
      </c>
      <c r="J26" s="24">
        <f t="shared" si="6"/>
        <v>3.5465170350621571E-3</v>
      </c>
      <c r="K26" s="22">
        <f t="shared" si="2"/>
        <v>-0.24000000000000021</v>
      </c>
      <c r="L26" s="54">
        <f t="shared" si="3"/>
        <v>-4.0268456375838965E-2</v>
      </c>
      <c r="M26" s="54">
        <f t="shared" si="7"/>
        <v>0.16579710144927534</v>
      </c>
      <c r="N26" s="71"/>
    </row>
    <row r="27" spans="1:14" x14ac:dyDescent="0.25">
      <c r="B27" s="58" t="s">
        <v>177</v>
      </c>
      <c r="C27" s="108">
        <v>169.78</v>
      </c>
      <c r="D27" s="72">
        <f>ROUND('PU Wise OWE'!$AC$128/10000,2)</f>
        <v>10.45</v>
      </c>
      <c r="E27" s="68">
        <f t="shared" si="4"/>
        <v>7.1470095407447929E-3</v>
      </c>
      <c r="F27" s="22"/>
      <c r="G27" s="22">
        <f>ROUND('PU Wise OWE'!$AC$126/10000,2)</f>
        <v>133.18</v>
      </c>
      <c r="H27" s="24">
        <f t="shared" si="5"/>
        <v>1.6716455378436048E-2</v>
      </c>
      <c r="I27" s="23">
        <f>ROUND('PU Wise OWE'!$AC$129/10000,2)</f>
        <v>22.41</v>
      </c>
      <c r="J27" s="24">
        <f t="shared" si="6"/>
        <v>1.3894658523731285E-2</v>
      </c>
      <c r="K27" s="22">
        <f t="shared" si="2"/>
        <v>11.96</v>
      </c>
      <c r="L27" s="54">
        <f t="shared" si="3"/>
        <v>1.1444976076555025</v>
      </c>
      <c r="M27" s="54">
        <f t="shared" si="7"/>
        <v>0.16826850878510285</v>
      </c>
    </row>
    <row r="28" spans="1:14" x14ac:dyDescent="0.25">
      <c r="B28" s="25" t="s">
        <v>149</v>
      </c>
      <c r="C28" s="26">
        <f>SUM(C13:C27)</f>
        <v>4551.0499999999993</v>
      </c>
      <c r="D28" s="76">
        <f>SUM(D13:D27)</f>
        <v>732.77000000000021</v>
      </c>
      <c r="E28" s="56">
        <f>SUM(E13:E27)</f>
        <v>0.50115925178675236</v>
      </c>
      <c r="F28" s="26"/>
      <c r="G28" s="26">
        <f>G5</f>
        <v>4658.2700000000004</v>
      </c>
      <c r="H28" s="56">
        <f t="shared" ref="H28:I28" si="8">SUM(H13:H27)</f>
        <v>0.58113468055729889</v>
      </c>
      <c r="I28" s="26">
        <f t="shared" si="8"/>
        <v>781.85</v>
      </c>
      <c r="J28" s="56">
        <f t="shared" si="6"/>
        <v>0.48476299717890692</v>
      </c>
      <c r="K28" s="26">
        <f t="shared" si="2"/>
        <v>49.079999999999814</v>
      </c>
      <c r="L28" s="57">
        <f t="shared" si="3"/>
        <v>6.6978724565688819E-2</v>
      </c>
    </row>
    <row r="29" spans="1:14" x14ac:dyDescent="0.25">
      <c r="I29" s="70"/>
      <c r="J29" s="70"/>
    </row>
    <row r="31" spans="1:14" x14ac:dyDescent="0.25">
      <c r="B31" s="77" t="s">
        <v>180</v>
      </c>
      <c r="C31" s="77"/>
      <c r="D31" s="78"/>
      <c r="E31" s="79"/>
      <c r="K31" t="s">
        <v>150</v>
      </c>
    </row>
    <row r="32" spans="1:14" ht="15" customHeight="1" x14ac:dyDescent="0.25">
      <c r="B32" s="237"/>
      <c r="C32" s="256" t="s">
        <v>303</v>
      </c>
      <c r="D32" s="234" t="str">
        <f>'PU Wise OWE'!$B$7</f>
        <v>Actuals upto May' 20</v>
      </c>
      <c r="E32" s="256" t="s">
        <v>173</v>
      </c>
      <c r="F32" s="256"/>
      <c r="G32" s="277" t="str">
        <f>'PU Wise OWE'!$B$5</f>
        <v xml:space="preserve">OBG(SL) 2021-22 </v>
      </c>
      <c r="H32" s="256" t="s">
        <v>310</v>
      </c>
      <c r="I32" s="234" t="str">
        <f>'PU Wise OWE'!B8</f>
        <v>Actuals upto May' 21</v>
      </c>
      <c r="J32" s="256" t="s">
        <v>205</v>
      </c>
      <c r="K32" s="240" t="s">
        <v>147</v>
      </c>
      <c r="L32" s="240"/>
      <c r="M32" s="237" t="s">
        <v>315</v>
      </c>
      <c r="N32" s="276" t="s">
        <v>209</v>
      </c>
    </row>
    <row r="33" spans="2:14" ht="17.25" customHeight="1" x14ac:dyDescent="0.25">
      <c r="B33" s="237"/>
      <c r="C33" s="235"/>
      <c r="D33" s="235"/>
      <c r="E33" s="235"/>
      <c r="F33" s="235"/>
      <c r="G33" s="278"/>
      <c r="H33" s="235"/>
      <c r="I33" s="235"/>
      <c r="J33" s="235"/>
      <c r="K33" s="81" t="s">
        <v>145</v>
      </c>
      <c r="L33" s="82" t="s">
        <v>146</v>
      </c>
      <c r="M33" s="237"/>
      <c r="N33" s="276"/>
    </row>
    <row r="34" spans="2:14" x14ac:dyDescent="0.25">
      <c r="B34" s="86" t="s">
        <v>181</v>
      </c>
      <c r="C34" s="109">
        <v>10.44</v>
      </c>
      <c r="D34" s="72">
        <f>ROUND(('PU Wise OWE'!$AE$128+'PU Wise OWE'!$AF$128)/10000,2)</f>
        <v>1.58</v>
      </c>
      <c r="E34" s="87">
        <f>D34/$D$7</f>
        <v>1.0806004855862942E-3</v>
      </c>
      <c r="F34" s="21"/>
      <c r="G34" s="22">
        <f>ROUND(('PU Wise OWE'!$AE$126+'PU Wise OWE'!$AF$126)/10000,2)</f>
        <v>9.56</v>
      </c>
      <c r="H34" s="24">
        <f t="shared" ref="H34:H37" si="9">G34/$G$7</f>
        <v>1.1999497928956947E-3</v>
      </c>
      <c r="I34" s="23">
        <f>ROUND(('PU Wise OWE'!$AE$129+'PU Wise OWE'!$AF$129)/10000,2)</f>
        <v>0.77</v>
      </c>
      <c r="J34" s="24">
        <f t="shared" ref="J34:J37" si="10">I34/$I$7</f>
        <v>4.7741575471990579E-4</v>
      </c>
      <c r="K34" s="22">
        <f>I34-D34</f>
        <v>-0.81</v>
      </c>
      <c r="L34" s="54">
        <f>K34/D34</f>
        <v>-0.51265822784810122</v>
      </c>
      <c r="M34" s="54">
        <f t="shared" ref="M34:M37" si="11">I34/G34</f>
        <v>8.0543933054393307E-2</v>
      </c>
      <c r="N34" s="279"/>
    </row>
    <row r="35" spans="2:14" ht="16.5" customHeight="1" x14ac:dyDescent="0.25">
      <c r="B35" s="86" t="s">
        <v>182</v>
      </c>
      <c r="C35" s="109">
        <v>21.76</v>
      </c>
      <c r="D35" s="72">
        <f>ROUND('PU Wise OWE'!$AG$128/10000,2)</f>
        <v>4.95</v>
      </c>
      <c r="E35" s="87">
        <f t="shared" ref="E35:E37" si="12">D35/$D$7</f>
        <v>3.3854255719317442E-3</v>
      </c>
      <c r="F35" s="21"/>
      <c r="G35" s="22">
        <f>ROUND('PU Wise OWE'!$AG$126/10000,2)</f>
        <v>7.15</v>
      </c>
      <c r="H35" s="24">
        <f t="shared" si="9"/>
        <v>8.9745198945650811E-4</v>
      </c>
      <c r="I35" s="23">
        <f>ROUND('PU Wise OWE'!$AG$129/10000,2)</f>
        <v>4.9000000000000004</v>
      </c>
      <c r="J35" s="24">
        <f t="shared" si="10"/>
        <v>3.0381002573084915E-3</v>
      </c>
      <c r="K35" s="22">
        <f>I35-D35</f>
        <v>-4.9999999999999822E-2</v>
      </c>
      <c r="L35" s="54">
        <f>K35/D35</f>
        <v>-1.0101010101010065E-2</v>
      </c>
      <c r="M35" s="54">
        <f t="shared" si="11"/>
        <v>0.68531468531468531</v>
      </c>
      <c r="N35" s="279"/>
    </row>
    <row r="36" spans="2:14" ht="15.75" customHeight="1" x14ac:dyDescent="0.25">
      <c r="B36" s="86" t="s">
        <v>183</v>
      </c>
      <c r="C36" s="109">
        <v>2.42</v>
      </c>
      <c r="D36" s="72">
        <f>ROUND('PU Wise OWE'!$AJ$128/10000,2)</f>
        <v>0.51</v>
      </c>
      <c r="E36" s="87">
        <f t="shared" si="12"/>
        <v>3.4880142256266453E-4</v>
      </c>
      <c r="F36" s="21"/>
      <c r="G36" s="22">
        <f>ROUND('PU Wise OWE'!$AJ$126/10000,2)</f>
        <v>2.23</v>
      </c>
      <c r="H36" s="24">
        <f t="shared" si="9"/>
        <v>2.7990460650181999E-4</v>
      </c>
      <c r="I36" s="23">
        <f>ROUND('PU Wise OWE'!$AJ$129/10000,2)</f>
        <v>0.15</v>
      </c>
      <c r="J36" s="24">
        <f t="shared" si="10"/>
        <v>9.3003069101280339E-5</v>
      </c>
      <c r="K36" s="22">
        <f>I36-D36</f>
        <v>-0.36</v>
      </c>
      <c r="L36" s="54">
        <f>K36/D36</f>
        <v>-0.70588235294117641</v>
      </c>
      <c r="M36" s="54">
        <f t="shared" si="11"/>
        <v>6.726457399103139E-2</v>
      </c>
      <c r="N36" s="279"/>
    </row>
    <row r="37" spans="2:14" x14ac:dyDescent="0.25">
      <c r="B37" s="25" t="s">
        <v>149</v>
      </c>
      <c r="C37" s="26">
        <v>34.619999999999997</v>
      </c>
      <c r="D37" s="76">
        <f>SUM(D34:D36)</f>
        <v>7.04</v>
      </c>
      <c r="E37" s="88">
        <f t="shared" si="12"/>
        <v>4.8148274800807024E-3</v>
      </c>
      <c r="F37" s="26"/>
      <c r="G37" s="76">
        <f t="shared" ref="G37:I37" si="13">SUM(G34:G36)</f>
        <v>18.940000000000001</v>
      </c>
      <c r="H37" s="56">
        <f t="shared" si="9"/>
        <v>2.3773063888540228E-3</v>
      </c>
      <c r="I37" s="76">
        <f t="shared" si="13"/>
        <v>5.82</v>
      </c>
      <c r="J37" s="56">
        <f t="shared" si="10"/>
        <v>3.6085190811296778E-3</v>
      </c>
      <c r="K37" s="26">
        <f>I37-D37</f>
        <v>-1.2199999999999998</v>
      </c>
      <c r="L37" s="57">
        <f>K37/D37</f>
        <v>-0.1732954545454545</v>
      </c>
      <c r="M37" s="54">
        <f t="shared" si="11"/>
        <v>0.30728616684266102</v>
      </c>
    </row>
    <row r="39" spans="2:14" x14ac:dyDescent="0.25">
      <c r="B39" s="84"/>
      <c r="C39" s="84"/>
      <c r="D39" s="85"/>
      <c r="E39" s="84"/>
      <c r="K39" t="s">
        <v>150</v>
      </c>
    </row>
    <row r="40" spans="2:14" ht="15" customHeight="1" x14ac:dyDescent="0.25">
      <c r="B40" s="237" t="s">
        <v>164</v>
      </c>
      <c r="C40" s="256" t="s">
        <v>303</v>
      </c>
      <c r="D40" s="234" t="str">
        <f>'PU Wise OWE'!$B$7</f>
        <v>Actuals upto May' 20</v>
      </c>
      <c r="E40" s="256" t="s">
        <v>173</v>
      </c>
      <c r="F40" s="256"/>
      <c r="G40" s="277" t="str">
        <f>'PU Wise OWE'!$B$5</f>
        <v xml:space="preserve">OBG(SL) 2021-22 </v>
      </c>
      <c r="H40" s="256" t="s">
        <v>300</v>
      </c>
      <c r="I40" s="234" t="str">
        <f>'PU Wise OWE'!B8</f>
        <v>Actuals upto May' 21</v>
      </c>
      <c r="J40" s="256" t="s">
        <v>205</v>
      </c>
      <c r="K40" s="240" t="s">
        <v>147</v>
      </c>
      <c r="L40" s="240"/>
      <c r="M40" s="237" t="s">
        <v>315</v>
      </c>
      <c r="N40" s="276" t="s">
        <v>209</v>
      </c>
    </row>
    <row r="41" spans="2:14" x14ac:dyDescent="0.25">
      <c r="B41" s="237"/>
      <c r="C41" s="235"/>
      <c r="D41" s="235"/>
      <c r="E41" s="235"/>
      <c r="F41" s="235"/>
      <c r="G41" s="278"/>
      <c r="H41" s="235"/>
      <c r="I41" s="235"/>
      <c r="J41" s="235"/>
      <c r="K41" s="81" t="s">
        <v>145</v>
      </c>
      <c r="L41" s="82" t="s">
        <v>146</v>
      </c>
      <c r="M41" s="237"/>
      <c r="N41" s="276"/>
    </row>
    <row r="42" spans="2:14" x14ac:dyDescent="0.25">
      <c r="B42" s="27" t="s">
        <v>165</v>
      </c>
      <c r="C42" s="106">
        <v>273.47000000000003</v>
      </c>
      <c r="D42" s="72">
        <f>SUM(D43:D47)</f>
        <v>60.300000000000004</v>
      </c>
      <c r="E42" s="87">
        <f t="shared" ref="E42:E49" si="14">D42/$D$7</f>
        <v>4.1240638785350343E-2</v>
      </c>
      <c r="F42" s="99"/>
      <c r="G42" s="21">
        <f>SUM(G43:G47)</f>
        <v>213.87</v>
      </c>
      <c r="H42" s="24">
        <f t="shared" ref="H42:H49" si="15">G42/$G$7</f>
        <v>2.684448349441446E-2</v>
      </c>
      <c r="I42" s="21">
        <f>SUM(I43:I47)</f>
        <v>90.990000000000009</v>
      </c>
      <c r="J42" s="24">
        <f t="shared" ref="J42:J49" si="16">I42/$I$7</f>
        <v>5.6415661716836665E-2</v>
      </c>
      <c r="K42" s="22">
        <f t="shared" ref="K42:K49" si="17">I42-D42</f>
        <v>30.690000000000005</v>
      </c>
      <c r="L42" s="54">
        <f t="shared" ref="L42:L49" si="18">K42/D42</f>
        <v>0.50895522388059711</v>
      </c>
      <c r="M42" s="54">
        <f t="shared" ref="M42:M49" si="19">I42/G42</f>
        <v>0.425445364006172</v>
      </c>
    </row>
    <row r="43" spans="2:14" x14ac:dyDescent="0.25">
      <c r="B43" s="59" t="s">
        <v>161</v>
      </c>
      <c r="C43" s="21">
        <v>19.690000000000001</v>
      </c>
      <c r="D43" s="72">
        <f>ROUND('PU Wise OWE'!$AK$84/10000,2)</f>
        <v>3.07</v>
      </c>
      <c r="E43" s="87">
        <f t="shared" si="14"/>
        <v>2.0996477789556474E-3</v>
      </c>
      <c r="F43" s="99"/>
      <c r="G43" s="21">
        <f>ROUND('PU Wise OWE'!$AK$82/10000,2)</f>
        <v>14.25</v>
      </c>
      <c r="H43" s="24">
        <f t="shared" si="15"/>
        <v>1.7886280908748589E-3</v>
      </c>
      <c r="I43" s="21">
        <f>ROUND('PU Wise OWE'!$AK$85/10000,2)</f>
        <v>6.37</v>
      </c>
      <c r="J43" s="24">
        <f t="shared" si="16"/>
        <v>3.9495303345010386E-3</v>
      </c>
      <c r="K43" s="22">
        <f t="shared" si="17"/>
        <v>3.3000000000000003</v>
      </c>
      <c r="L43" s="54">
        <f t="shared" si="18"/>
        <v>1.0749185667752443</v>
      </c>
      <c r="M43" s="54">
        <f t="shared" si="19"/>
        <v>0.44701754385964915</v>
      </c>
    </row>
    <row r="44" spans="2:14" x14ac:dyDescent="0.25">
      <c r="B44" s="60" t="s">
        <v>168</v>
      </c>
      <c r="C44" s="110">
        <v>114.4</v>
      </c>
      <c r="D44" s="72">
        <f>ROUND('PU Wise OWE'!$AR$84/10000,2)</f>
        <v>19.489999999999998</v>
      </c>
      <c r="E44" s="87">
        <f t="shared" si="14"/>
        <v>1.3329685736757513E-2</v>
      </c>
      <c r="F44" s="99"/>
      <c r="G44" s="21">
        <f>ROUND('PU Wise OWE'!$AR$82/10000,2)</f>
        <v>78.95</v>
      </c>
      <c r="H44" s="24">
        <f t="shared" si="15"/>
        <v>9.9096272122505338E-3</v>
      </c>
      <c r="I44" s="21">
        <f>ROUND('PU Wise OWE'!$AR$85/10000,2)</f>
        <v>33.82</v>
      </c>
      <c r="J44" s="24">
        <f t="shared" si="16"/>
        <v>2.0969091980035343E-2</v>
      </c>
      <c r="K44" s="22">
        <f t="shared" si="17"/>
        <v>14.330000000000002</v>
      </c>
      <c r="L44" s="54">
        <f t="shared" si="18"/>
        <v>0.73524884556182668</v>
      </c>
      <c r="M44" s="54">
        <f t="shared" si="19"/>
        <v>0.42837238758708041</v>
      </c>
    </row>
    <row r="45" spans="2:14" x14ac:dyDescent="0.25">
      <c r="B45" s="60" t="s">
        <v>169</v>
      </c>
      <c r="C45" s="110">
        <v>46.69</v>
      </c>
      <c r="D45" s="72">
        <f>ROUND('PU Wise OWE'!$AU$84/10000,2)</f>
        <v>8.98</v>
      </c>
      <c r="E45" s="87">
        <f t="shared" si="14"/>
        <v>6.1416407345347606E-3</v>
      </c>
      <c r="F45" s="99"/>
      <c r="G45" s="21">
        <f>ROUND('PU Wise OWE'!$AU$82/10000,2)</f>
        <v>34.83</v>
      </c>
      <c r="H45" s="24">
        <f t="shared" si="15"/>
        <v>4.3717836073804443E-3</v>
      </c>
      <c r="I45" s="21">
        <f>ROUND('PU Wise OWE'!$AU$85/10000,2)</f>
        <v>14.05</v>
      </c>
      <c r="J45" s="24">
        <f t="shared" si="16"/>
        <v>8.7112874724865931E-3</v>
      </c>
      <c r="K45" s="22">
        <f t="shared" si="17"/>
        <v>5.07</v>
      </c>
      <c r="L45" s="54">
        <f t="shared" si="18"/>
        <v>0.56458797327394206</v>
      </c>
      <c r="M45" s="54">
        <f t="shared" si="19"/>
        <v>0.4033878840080391</v>
      </c>
    </row>
    <row r="46" spans="2:14" x14ac:dyDescent="0.25">
      <c r="B46" s="59" t="s">
        <v>166</v>
      </c>
      <c r="C46" s="21">
        <v>54.55</v>
      </c>
      <c r="D46" s="72">
        <f>ROUND('PU Wise OWE'!$AZ$84/10000,2)</f>
        <v>4.41</v>
      </c>
      <c r="E46" s="87">
        <f t="shared" si="14"/>
        <v>3.0161064186300995E-3</v>
      </c>
      <c r="F46" s="99"/>
      <c r="G46" s="21">
        <f>ROUND('PU Wise OWE'!$AZ$82/10000,2)</f>
        <v>31.73</v>
      </c>
      <c r="H46" s="24">
        <f t="shared" si="15"/>
        <v>3.9826785490146861E-3</v>
      </c>
      <c r="I46" s="21">
        <f>ROUND('PU Wise OWE'!$AZ$85/10000,2)</f>
        <v>24.35</v>
      </c>
      <c r="J46" s="24">
        <f t="shared" si="16"/>
        <v>1.5097498217441177E-2</v>
      </c>
      <c r="K46" s="22">
        <f t="shared" si="17"/>
        <v>19.940000000000001</v>
      </c>
      <c r="L46" s="54">
        <f t="shared" si="18"/>
        <v>4.5215419501133791</v>
      </c>
      <c r="M46" s="54">
        <f t="shared" si="19"/>
        <v>0.76741254333438391</v>
      </c>
    </row>
    <row r="47" spans="2:14" x14ac:dyDescent="0.25">
      <c r="B47" s="60" t="s">
        <v>167</v>
      </c>
      <c r="C47" s="110">
        <v>38.14</v>
      </c>
      <c r="D47" s="72">
        <f>ROUND('PU Wise OWE'!$BA$84/10000,2)</f>
        <v>24.35</v>
      </c>
      <c r="E47" s="87">
        <f t="shared" si="14"/>
        <v>1.6653558116472317E-2</v>
      </c>
      <c r="F47" s="99"/>
      <c r="G47" s="21">
        <f>ROUND('PU Wise OWE'!$BA$82/10000,2)</f>
        <v>54.11</v>
      </c>
      <c r="H47" s="24">
        <f t="shared" si="15"/>
        <v>6.791766034893937E-3</v>
      </c>
      <c r="I47" s="21">
        <f>ROUND('PU Wise OWE'!$BA$85/10000,2)</f>
        <v>12.4</v>
      </c>
      <c r="J47" s="24">
        <f t="shared" si="16"/>
        <v>7.688253712372509E-3</v>
      </c>
      <c r="K47" s="22">
        <f t="shared" si="17"/>
        <v>-11.950000000000001</v>
      </c>
      <c r="L47" s="54">
        <f t="shared" si="18"/>
        <v>-0.49075975359342916</v>
      </c>
      <c r="M47" s="54">
        <f t="shared" si="19"/>
        <v>0.22916281648493811</v>
      </c>
    </row>
    <row r="48" spans="2:14" x14ac:dyDescent="0.25">
      <c r="B48" s="61" t="s">
        <v>170</v>
      </c>
      <c r="C48" s="105">
        <v>663.48</v>
      </c>
      <c r="D48" s="72">
        <f>ROUND('PU Wise OWE'!$AM$84/10000,2)-ROUND('PU Wise OWE'!$BJ$84/10000,2)</f>
        <v>96.85</v>
      </c>
      <c r="E48" s="87">
        <f t="shared" si="14"/>
        <v>6.623807406900796E-2</v>
      </c>
      <c r="F48" s="99"/>
      <c r="G48" s="21">
        <f>ROUND('PU Wise OWE'!$AM$82/10000,2)-ROUND('PU Wise OWE'!$BJ$82/10000,2)</f>
        <v>637.38</v>
      </c>
      <c r="H48" s="24">
        <f t="shared" si="15"/>
        <v>8.0002510355215259E-2</v>
      </c>
      <c r="I48" s="21">
        <f>ROUND('PU Wise OWE'!$AM$85/10000,2)-ROUND('PU Wise OWE'!$BJ$85/10000,2)</f>
        <v>129.87</v>
      </c>
      <c r="J48" s="24">
        <f t="shared" si="16"/>
        <v>8.0522057227888522E-2</v>
      </c>
      <c r="K48" s="22">
        <f t="shared" si="17"/>
        <v>33.02000000000001</v>
      </c>
      <c r="L48" s="54">
        <f t="shared" si="18"/>
        <v>0.34093959731543638</v>
      </c>
      <c r="M48" s="54">
        <f t="shared" si="19"/>
        <v>0.20375600112962441</v>
      </c>
    </row>
    <row r="49" spans="2:14" s="36" customFormat="1" x14ac:dyDescent="0.25">
      <c r="B49" s="62" t="s">
        <v>130</v>
      </c>
      <c r="C49" s="76">
        <f>C42+C48</f>
        <v>936.95</v>
      </c>
      <c r="D49" s="76">
        <f>D42+D48</f>
        <v>157.15</v>
      </c>
      <c r="E49" s="88">
        <f t="shared" si="14"/>
        <v>0.10747871285435831</v>
      </c>
      <c r="F49" s="100"/>
      <c r="G49" s="26">
        <f>G42+G48</f>
        <v>851.25</v>
      </c>
      <c r="H49" s="56">
        <f t="shared" si="15"/>
        <v>0.10684699384962973</v>
      </c>
      <c r="I49" s="26">
        <f>I42+I48</f>
        <v>220.86</v>
      </c>
      <c r="J49" s="56">
        <f t="shared" si="16"/>
        <v>0.1369377189447252</v>
      </c>
      <c r="K49" s="26">
        <f t="shared" si="17"/>
        <v>63.710000000000008</v>
      </c>
      <c r="L49" s="57">
        <f t="shared" si="18"/>
        <v>0.40540884505249764</v>
      </c>
      <c r="M49" s="54">
        <f t="shared" si="19"/>
        <v>0.25945374449339209</v>
      </c>
    </row>
    <row r="51" spans="2:14" x14ac:dyDescent="0.25">
      <c r="B51" s="77" t="s">
        <v>184</v>
      </c>
      <c r="C51" s="77"/>
    </row>
    <row r="52" spans="2:14" ht="48" customHeight="1" x14ac:dyDescent="0.25">
      <c r="B52" s="83" t="s">
        <v>185</v>
      </c>
      <c r="C52" s="111">
        <v>188.88</v>
      </c>
      <c r="D52" s="72">
        <f>ROUND('PU Wise OWE'!$AK$128/10000,2)-D43</f>
        <v>20.64</v>
      </c>
      <c r="E52" s="87">
        <f t="shared" ref="E52:E56" si="20">D52/$D$7</f>
        <v>1.4116198748418424E-2</v>
      </c>
      <c r="F52" s="253"/>
      <c r="G52" s="22">
        <f>ROUND('PU Wise OWE'!$AK$126/10000,2)-G43</f>
        <v>121.82</v>
      </c>
      <c r="H52" s="24">
        <f t="shared" ref="H52:H54" si="21">G52/$G$7</f>
        <v>1.5290573616166687E-2</v>
      </c>
      <c r="I52" s="22">
        <f>ROUND('PU Wise OWE'!$AK$129/10000,2)-I43</f>
        <v>31.830000000000002</v>
      </c>
      <c r="J52" s="24">
        <f t="shared" ref="J52:J56" si="22">I52/$I$7</f>
        <v>1.9735251263291689E-2</v>
      </c>
      <c r="K52" s="22">
        <f>I52-D52</f>
        <v>11.190000000000001</v>
      </c>
      <c r="L52" s="54">
        <f>K52/D52</f>
        <v>0.54215116279069775</v>
      </c>
      <c r="M52" s="54">
        <f t="shared" ref="M52:M54" si="23">I52/G52</f>
        <v>0.26128714496798561</v>
      </c>
    </row>
    <row r="53" spans="2:14" x14ac:dyDescent="0.25">
      <c r="B53" s="20" t="s">
        <v>162</v>
      </c>
      <c r="C53" s="107">
        <v>121.46</v>
      </c>
      <c r="D53" s="72">
        <f>ROUND('PU Wise OWE'!$AL$128/10000,2)</f>
        <v>23.56</v>
      </c>
      <c r="E53" s="87">
        <f t="shared" si="20"/>
        <v>1.611325787367917E-2</v>
      </c>
      <c r="F53" s="254"/>
      <c r="G53" s="22">
        <f>ROUND('PU Wise OWE'!$AL$126/10000,2)</f>
        <v>109.58</v>
      </c>
      <c r="H53" s="24">
        <f t="shared" si="21"/>
        <v>1.3754236224425755E-2</v>
      </c>
      <c r="I53" s="23">
        <f>ROUND('PU Wise OWE'!$AL$129/10000,2)</f>
        <v>10.32</v>
      </c>
      <c r="J53" s="24">
        <f t="shared" si="22"/>
        <v>6.3986111541680882E-3</v>
      </c>
      <c r="K53" s="22">
        <f>I53-D53</f>
        <v>-13.239999999999998</v>
      </c>
      <c r="L53" s="54">
        <f>K53/D53</f>
        <v>-0.56196943972835312</v>
      </c>
      <c r="M53" s="54">
        <f t="shared" si="23"/>
        <v>9.4177769665997446E-2</v>
      </c>
    </row>
    <row r="54" spans="2:14" s="36" customFormat="1" x14ac:dyDescent="0.25">
      <c r="B54" s="25" t="s">
        <v>130</v>
      </c>
      <c r="C54" s="26">
        <f>C52+C53</f>
        <v>310.33999999999997</v>
      </c>
      <c r="D54" s="76">
        <f>SUM(D52:D53)</f>
        <v>44.2</v>
      </c>
      <c r="E54" s="88">
        <f t="shared" si="20"/>
        <v>3.0229456622097597E-2</v>
      </c>
      <c r="F54" s="255"/>
      <c r="G54" s="76">
        <f t="shared" ref="G54:I54" si="24">SUM(G52:G53)</f>
        <v>231.39999999999998</v>
      </c>
      <c r="H54" s="56">
        <f t="shared" si="21"/>
        <v>2.9044809840592441E-2</v>
      </c>
      <c r="I54" s="76">
        <f t="shared" si="24"/>
        <v>42.150000000000006</v>
      </c>
      <c r="J54" s="56">
        <f t="shared" si="22"/>
        <v>2.6133862417459783E-2</v>
      </c>
      <c r="K54" s="26">
        <f>I54-D54</f>
        <v>-2.0499999999999972</v>
      </c>
      <c r="L54" s="104">
        <f>K54/D54</f>
        <v>-4.6380090497737489E-2</v>
      </c>
      <c r="M54" s="54">
        <f t="shared" si="23"/>
        <v>0.18215211754537602</v>
      </c>
    </row>
    <row r="56" spans="2:14" s="36" customFormat="1" x14ac:dyDescent="0.25">
      <c r="B56" s="80" t="s">
        <v>163</v>
      </c>
      <c r="C56" s="112">
        <v>348.19</v>
      </c>
      <c r="D56" s="73">
        <f>ROUND('PU Wise OWE'!$AO$128/10000,2)</f>
        <v>66.760000000000005</v>
      </c>
      <c r="E56" s="88">
        <f t="shared" si="20"/>
        <v>4.5658790137810761E-2</v>
      </c>
      <c r="F56" s="55"/>
      <c r="G56" s="26">
        <f>ROUND('PU Wise OWE'!$AO$126/10000,2)</f>
        <v>304.54000000000002</v>
      </c>
      <c r="H56" s="56">
        <f t="shared" ref="H56" si="25">G56/$G$7</f>
        <v>3.8225178862809087E-2</v>
      </c>
      <c r="I56" s="25">
        <f>ROUND('PU Wise OWE'!$AO$129/10000,2)</f>
        <v>41.73</v>
      </c>
      <c r="J56" s="56">
        <f t="shared" si="22"/>
        <v>2.587345382397619E-2</v>
      </c>
      <c r="K56" s="26">
        <f>I56-D56</f>
        <v>-25.030000000000008</v>
      </c>
      <c r="L56" s="57">
        <f>K56/D56</f>
        <v>-0.37492510485320563</v>
      </c>
      <c r="M56" s="54">
        <f t="shared" ref="M56" si="26">I56/G56</f>
        <v>0.13702633480002624</v>
      </c>
      <c r="N56" s="120"/>
    </row>
    <row r="57" spans="2:14" s="36" customFormat="1" x14ac:dyDescent="0.25">
      <c r="B57" s="118"/>
      <c r="C57" s="119"/>
      <c r="D57" s="115"/>
      <c r="E57" s="116"/>
      <c r="F57" s="117"/>
      <c r="G57" s="93"/>
      <c r="H57" s="92"/>
      <c r="I57" s="90"/>
      <c r="J57" s="92"/>
      <c r="K57" s="26"/>
      <c r="L57" s="57"/>
      <c r="M57" s="102"/>
    </row>
    <row r="58" spans="2:14" x14ac:dyDescent="0.25">
      <c r="C58" s="256" t="s">
        <v>303</v>
      </c>
      <c r="D58" s="234" t="str">
        <f>'PU Wise OWE'!$B$7</f>
        <v>Actuals upto May' 20</v>
      </c>
      <c r="E58" s="256" t="s">
        <v>173</v>
      </c>
      <c r="F58" s="256"/>
      <c r="G58" s="277" t="str">
        <f>'PU Wise OWE'!$B$5</f>
        <v xml:space="preserve">OBG(SL) 2021-22 </v>
      </c>
      <c r="H58" s="256" t="s">
        <v>300</v>
      </c>
      <c r="I58" s="234" t="str">
        <f>'PU Wise OWE'!B8</f>
        <v>Actuals upto May' 21</v>
      </c>
      <c r="J58" s="256" t="s">
        <v>205</v>
      </c>
      <c r="K58" s="240" t="s">
        <v>147</v>
      </c>
      <c r="L58" s="240"/>
      <c r="M58" s="237" t="s">
        <v>315</v>
      </c>
      <c r="N58" s="276" t="s">
        <v>209</v>
      </c>
    </row>
    <row r="59" spans="2:14" x14ac:dyDescent="0.25">
      <c r="B59" s="77" t="s">
        <v>186</v>
      </c>
      <c r="C59" s="235"/>
      <c r="D59" s="235"/>
      <c r="E59" s="235"/>
      <c r="F59" s="235"/>
      <c r="G59" s="278"/>
      <c r="H59" s="235"/>
      <c r="I59" s="235"/>
      <c r="J59" s="235"/>
      <c r="K59" s="81" t="s">
        <v>145</v>
      </c>
      <c r="L59" s="82" t="s">
        <v>146</v>
      </c>
      <c r="M59" s="237"/>
      <c r="N59" s="276"/>
    </row>
    <row r="60" spans="2:14" x14ac:dyDescent="0.25">
      <c r="B60" s="23" t="s">
        <v>187</v>
      </c>
      <c r="C60" s="22">
        <v>80.099999999999994</v>
      </c>
      <c r="D60" s="72">
        <f>ROUND('PU Wise OWE'!$AM$62/10000,2)</f>
        <v>4.57</v>
      </c>
      <c r="E60" s="87">
        <f t="shared" ref="E60:E64" si="27">D60/$D$7</f>
        <v>3.1255343159046611E-3</v>
      </c>
      <c r="F60" s="250"/>
      <c r="G60" s="22">
        <f>ROUND('PU Wise OWE'!$AM$60/10000,2)</f>
        <v>67.81</v>
      </c>
      <c r="H60" s="24" t="b">
        <f>H58=G60/$G$7</f>
        <v>0</v>
      </c>
      <c r="I60" s="23">
        <f>ROUND('PU Wise OWE'!$AM$63/10000,2)</f>
        <v>14.03</v>
      </c>
      <c r="J60" s="96">
        <f t="shared" ref="J60:J64" si="28">I60/$I$7</f>
        <v>8.6988870632730888E-3</v>
      </c>
      <c r="K60" s="22">
        <f>I60-D60</f>
        <v>9.4599999999999991</v>
      </c>
      <c r="L60" s="54">
        <f>K60/D60</f>
        <v>2.0700218818380742</v>
      </c>
      <c r="M60" s="54">
        <f t="shared" ref="M60:M64" si="29">I60/G60</f>
        <v>0.20690163692670696</v>
      </c>
      <c r="N60" s="71"/>
    </row>
    <row r="61" spans="2:14" x14ac:dyDescent="0.25">
      <c r="B61" s="23" t="s">
        <v>188</v>
      </c>
      <c r="C61" s="22">
        <v>21.26</v>
      </c>
      <c r="D61" s="72">
        <f>ROUND('PU Wise OWE'!$AM$95/10000,2)</f>
        <v>2.81</v>
      </c>
      <c r="E61" s="87">
        <f t="shared" si="27"/>
        <v>1.921827445884485E-3</v>
      </c>
      <c r="F61" s="251"/>
      <c r="G61" s="22">
        <f>ROUND('PU Wise OWE'!$AM$93/10000,2)</f>
        <v>16.309999999999999</v>
      </c>
      <c r="H61" s="24">
        <f t="shared" ref="H61:H64" si="30">G61/$G$7</f>
        <v>2.0471946780469437E-3</v>
      </c>
      <c r="I61" s="23">
        <f>ROUND('PU Wise OWE'!$AM$96/10000,2)</f>
        <v>1.38</v>
      </c>
      <c r="J61" s="96">
        <f t="shared" si="28"/>
        <v>8.5562823573177914E-4</v>
      </c>
      <c r="K61" s="22">
        <f>I61-D61</f>
        <v>-1.4300000000000002</v>
      </c>
      <c r="L61" s="54">
        <f>K61/D61</f>
        <v>-0.50889679715302494</v>
      </c>
      <c r="M61" s="54">
        <f t="shared" si="29"/>
        <v>8.4610668301655423E-2</v>
      </c>
    </row>
    <row r="62" spans="2:14" x14ac:dyDescent="0.25">
      <c r="B62" s="23" t="s">
        <v>189</v>
      </c>
      <c r="C62" s="22">
        <v>9.89</v>
      </c>
      <c r="D62" s="72">
        <f>ROUND('PU Wise OWE'!$AN$18/10000,2)</f>
        <v>2.12</v>
      </c>
      <c r="E62" s="87">
        <f t="shared" si="27"/>
        <v>1.4499196388879389E-3</v>
      </c>
      <c r="F62" s="251"/>
      <c r="G62" s="22">
        <f>ROUND('PU Wise OWE'!$AN$16/10000,2)</f>
        <v>10.1</v>
      </c>
      <c r="H62" s="24">
        <f>G62/$G$7</f>
        <v>1.2677293837077947E-3</v>
      </c>
      <c r="I62" s="23">
        <f>ROUND('PU Wise OWE'!$AN$19/10000,2)</f>
        <v>2.57</v>
      </c>
      <c r="J62" s="96">
        <f t="shared" si="28"/>
        <v>1.5934525839352699E-3</v>
      </c>
      <c r="K62" s="22">
        <f>I62-D62</f>
        <v>0.44999999999999973</v>
      </c>
      <c r="L62" s="54">
        <f>K62/D62</f>
        <v>0.2122641509433961</v>
      </c>
      <c r="M62" s="54">
        <f t="shared" si="29"/>
        <v>0.25445544554455446</v>
      </c>
      <c r="N62" s="71"/>
    </row>
    <row r="63" spans="2:14" x14ac:dyDescent="0.25">
      <c r="B63" s="23" t="s">
        <v>190</v>
      </c>
      <c r="C63" s="22">
        <v>1.64</v>
      </c>
      <c r="D63" s="72">
        <f>ROUND('PU Wise OWE'!$AN$62/10000,2)</f>
        <v>3.75</v>
      </c>
      <c r="E63" s="87">
        <f t="shared" si="27"/>
        <v>2.5647163423725334E-3</v>
      </c>
      <c r="F63" s="251"/>
      <c r="G63" s="22">
        <f>ROUND('PU Wise OWE'!$AN$60/10000,2)</f>
        <v>1.46</v>
      </c>
      <c r="H63" s="24">
        <f>G63/$G$7</f>
        <v>1.8325593071419607E-4</v>
      </c>
      <c r="I63" s="23">
        <f>ROUND('PU Wise OWE'!$AN$63/10000,2)</f>
        <v>1.19</v>
      </c>
      <c r="J63" s="96">
        <f t="shared" si="28"/>
        <v>7.3782434820349077E-4</v>
      </c>
      <c r="K63" s="22">
        <f>I63-D63</f>
        <v>-2.56</v>
      </c>
      <c r="L63" s="54">
        <f>K63/D63</f>
        <v>-0.68266666666666664</v>
      </c>
      <c r="M63" s="54">
        <f t="shared" si="29"/>
        <v>0.81506849315068497</v>
      </c>
    </row>
    <row r="64" spans="2:14" s="36" customFormat="1" x14ac:dyDescent="0.25">
      <c r="B64" s="25" t="s">
        <v>130</v>
      </c>
      <c r="C64" s="26">
        <f>C60+C61+C62+C63</f>
        <v>112.89</v>
      </c>
      <c r="D64" s="76">
        <f>SUM(D60:D63)</f>
        <v>13.25</v>
      </c>
      <c r="E64" s="88">
        <f t="shared" si="27"/>
        <v>9.0619977430496188E-3</v>
      </c>
      <c r="F64" s="252"/>
      <c r="G64" s="26">
        <f>SUM(G60:G63)</f>
        <v>95.679999999999993</v>
      </c>
      <c r="H64" s="56">
        <f t="shared" si="30"/>
        <v>1.2009539349817999E-2</v>
      </c>
      <c r="I64" s="26">
        <f>SUM(I60:I63)</f>
        <v>19.170000000000002</v>
      </c>
      <c r="J64" s="56">
        <f t="shared" si="28"/>
        <v>1.1885792231143629E-2</v>
      </c>
      <c r="K64" s="26">
        <f>I64-D64</f>
        <v>5.9200000000000017</v>
      </c>
      <c r="L64" s="57">
        <f>K64/D64</f>
        <v>0.44679245283018881</v>
      </c>
      <c r="M64" s="54">
        <f t="shared" si="29"/>
        <v>0.2003553511705686</v>
      </c>
    </row>
    <row r="66" spans="2:13" x14ac:dyDescent="0.25">
      <c r="B66" s="77" t="s">
        <v>191</v>
      </c>
      <c r="C66" s="77"/>
    </row>
    <row r="67" spans="2:13" x14ac:dyDescent="0.25">
      <c r="B67" s="23" t="s">
        <v>192</v>
      </c>
      <c r="C67" s="22">
        <v>1117.51</v>
      </c>
      <c r="D67" s="72">
        <f>ROUND('PU Wise OWE'!$AP$73/10000,2)</f>
        <v>396.03</v>
      </c>
      <c r="E67" s="87">
        <f t="shared" ref="E67:E69" si="31">D67/$D$7</f>
        <v>0.27085456348527848</v>
      </c>
      <c r="F67" s="23"/>
      <c r="G67" s="22">
        <f>ROUND('PU Wise OWE'!$AP$71/10000,2)</f>
        <v>1543.31</v>
      </c>
      <c r="H67" s="24">
        <f t="shared" ref="H67:H69" si="32">G67/$G$7</f>
        <v>0.1937128153633739</v>
      </c>
      <c r="I67" s="23">
        <f>ROUND('PU Wise OWE'!$AP$74/10000,2)</f>
        <v>445.06</v>
      </c>
      <c r="J67" s="96">
        <f t="shared" ref="J67:J69" si="33">I67/$I$7</f>
        <v>0.27594630622810556</v>
      </c>
      <c r="K67" s="22">
        <f>I67-D67</f>
        <v>49.03000000000003</v>
      </c>
      <c r="L67" s="54">
        <f>K67/D67</f>
        <v>0.12380375224099192</v>
      </c>
      <c r="M67" s="54">
        <f t="shared" ref="M67:M68" si="34">I67/G67</f>
        <v>0.28838016989457727</v>
      </c>
    </row>
    <row r="68" spans="2:13" x14ac:dyDescent="0.25">
      <c r="B68" s="89" t="s">
        <v>193</v>
      </c>
      <c r="C68" s="113">
        <v>38.520000000000003</v>
      </c>
      <c r="D68" s="72">
        <f>ROUND('PU Wise OWE'!$AP$128/10000,2)-D67</f>
        <v>8.6800000000000068</v>
      </c>
      <c r="E68" s="87">
        <f t="shared" si="31"/>
        <v>5.9364634271449621E-3</v>
      </c>
      <c r="F68" s="23"/>
      <c r="G68" s="22">
        <f>ROUND('PU Wise OWE'!$AP$126/10000,2)-G67</f>
        <v>35.230000000000018</v>
      </c>
      <c r="H68" s="24">
        <f t="shared" si="32"/>
        <v>4.4219907116857058E-3</v>
      </c>
      <c r="I68" s="23">
        <f>ROUND('PU Wise OWE'!$AP$129/10000,2)-I67</f>
        <v>8.8100000000000023</v>
      </c>
      <c r="J68" s="96">
        <f t="shared" si="33"/>
        <v>5.4623802585485335E-3</v>
      </c>
      <c r="K68" s="22">
        <f>I68-D68</f>
        <v>0.12999999999999545</v>
      </c>
      <c r="L68" s="54">
        <f>K68/D68</f>
        <v>1.4976958525345087E-2</v>
      </c>
      <c r="M68" s="54">
        <f t="shared" si="34"/>
        <v>0.25007096224808395</v>
      </c>
    </row>
    <row r="69" spans="2:13" s="36" customFormat="1" x14ac:dyDescent="0.25">
      <c r="B69" s="25" t="s">
        <v>130</v>
      </c>
      <c r="C69" s="26">
        <f>C67+C68</f>
        <v>1156.03</v>
      </c>
      <c r="D69" s="76">
        <f>SUM(D67:D68)</f>
        <v>404.71</v>
      </c>
      <c r="E69" s="88">
        <f t="shared" si="31"/>
        <v>0.27679102691242347</v>
      </c>
      <c r="F69" s="90"/>
      <c r="G69" s="91">
        <f>SUM(G67:G68)</f>
        <v>1578.54</v>
      </c>
      <c r="H69" s="92">
        <f t="shared" si="32"/>
        <v>0.19813480607505962</v>
      </c>
      <c r="I69" s="91">
        <f>SUM(I67:I68)</f>
        <v>453.87</v>
      </c>
      <c r="J69" s="56">
        <f t="shared" si="33"/>
        <v>0.28140868648665407</v>
      </c>
      <c r="K69" s="93">
        <f>I69-D69</f>
        <v>49.160000000000025</v>
      </c>
      <c r="L69" s="103">
        <f>K69/D69</f>
        <v>0.12146969434904012</v>
      </c>
    </row>
    <row r="70" spans="2:13" x14ac:dyDescent="0.25">
      <c r="F70" s="31"/>
      <c r="G70" s="34"/>
      <c r="H70" s="34"/>
      <c r="I70" s="31"/>
      <c r="J70" s="31"/>
      <c r="K70" s="34"/>
      <c r="L70" s="94"/>
    </row>
    <row r="71" spans="2:13" x14ac:dyDescent="0.25">
      <c r="B71" s="77" t="s">
        <v>195</v>
      </c>
      <c r="C71" s="77"/>
      <c r="F71" s="31"/>
      <c r="G71" s="34"/>
      <c r="H71" s="34"/>
      <c r="I71" s="31"/>
      <c r="J71" s="31"/>
      <c r="K71" s="34"/>
      <c r="L71" s="94"/>
    </row>
    <row r="72" spans="2:13" x14ac:dyDescent="0.25">
      <c r="B72" s="23" t="s">
        <v>194</v>
      </c>
      <c r="C72" s="22">
        <v>12.31</v>
      </c>
      <c r="D72" s="72">
        <f>ROUND('PU Wise OWE'!$AQ$29/10000,2)+ROUND('PU Wise OWE'!$BB$29/10000,2)</f>
        <v>4.49</v>
      </c>
      <c r="E72" s="87">
        <f t="shared" ref="E72:E74" si="35">D72/$D$7</f>
        <v>3.0708203672673803E-3</v>
      </c>
      <c r="F72" s="23"/>
      <c r="G72" s="72">
        <f>ROUND('PU Wise OWE'!$AQ$27/10000,2)+ROUND('PU Wise OWE'!$BB$27/10000,2)</f>
        <v>11.17</v>
      </c>
      <c r="H72" s="24">
        <f t="shared" ref="H72:H74" si="36">G72/$G$7</f>
        <v>1.402033387724363E-3</v>
      </c>
      <c r="I72" s="72">
        <f>ROUND('PU Wise OWE'!$AQ$30/10000,2)+ROUND('PU Wise OWE'!$BB$30/10000,2)</f>
        <v>2.15</v>
      </c>
      <c r="J72" s="96">
        <f t="shared" ref="J72:J74" si="37">I72/$I$7</f>
        <v>1.333043990451685E-3</v>
      </c>
      <c r="K72" s="22">
        <f>I72-D72</f>
        <v>-2.3400000000000003</v>
      </c>
      <c r="L72" s="54">
        <f>K72/D72</f>
        <v>-0.52115812917594662</v>
      </c>
      <c r="M72" s="54">
        <f t="shared" ref="M72:M73" si="38">I72/G72</f>
        <v>0.19247985675917637</v>
      </c>
    </row>
    <row r="73" spans="2:13" x14ac:dyDescent="0.25">
      <c r="B73" s="23" t="s">
        <v>196</v>
      </c>
      <c r="C73" s="22">
        <v>114.52</v>
      </c>
      <c r="D73" s="72">
        <f>ROUND('PU Wise OWE'!$AQ$40/10000,2)+ROUND('PU Wise OWE'!$BB$40/10000,2)</f>
        <v>4.63</v>
      </c>
      <c r="E73" s="87">
        <f t="shared" si="35"/>
        <v>3.1665697773826211E-3</v>
      </c>
      <c r="F73" s="23"/>
      <c r="G73" s="72">
        <f>ROUND('PU Wise OWE'!$AQ$38/10000,2)+ROUND('PU Wise OWE'!$BB$38/10000,2)</f>
        <v>79.58</v>
      </c>
      <c r="H73" s="24">
        <f t="shared" si="36"/>
        <v>9.9887034015313167E-3</v>
      </c>
      <c r="I73" s="72">
        <f>ROUND('PU Wise OWE'!$AQ$41/10000,2)+ROUND('PU Wise OWE'!$BB$41/10000,2)</f>
        <v>22.94</v>
      </c>
      <c r="J73" s="96">
        <f t="shared" si="37"/>
        <v>1.4223269367889141E-2</v>
      </c>
      <c r="K73" s="22">
        <f>I73-D73</f>
        <v>18.310000000000002</v>
      </c>
      <c r="L73" s="54">
        <f>K73/D73</f>
        <v>3.9546436285097197</v>
      </c>
      <c r="M73" s="54">
        <f t="shared" si="38"/>
        <v>0.28826338275948732</v>
      </c>
    </row>
    <row r="74" spans="2:13" s="36" customFormat="1" x14ac:dyDescent="0.25">
      <c r="B74" s="25" t="s">
        <v>130</v>
      </c>
      <c r="C74" s="26">
        <f>C72+C73</f>
        <v>126.83</v>
      </c>
      <c r="D74" s="76">
        <f>SUM(D72:D73)</f>
        <v>9.120000000000001</v>
      </c>
      <c r="E74" s="88">
        <f t="shared" si="35"/>
        <v>6.2373901446500018E-3</v>
      </c>
      <c r="F74" s="25"/>
      <c r="G74" s="76">
        <f>SUM(G72:G73)</f>
        <v>90.75</v>
      </c>
      <c r="H74" s="56">
        <f t="shared" si="36"/>
        <v>1.139073678925568E-2</v>
      </c>
      <c r="I74" s="76">
        <f t="shared" ref="I74" si="39">SUM(I72:I73)</f>
        <v>25.09</v>
      </c>
      <c r="J74" s="56">
        <f t="shared" si="37"/>
        <v>1.5556313358340826E-2</v>
      </c>
      <c r="K74" s="26">
        <f>I74-D74</f>
        <v>15.969999999999999</v>
      </c>
      <c r="L74" s="57">
        <f>K74/D74</f>
        <v>1.7510964912280698</v>
      </c>
    </row>
    <row r="75" spans="2:13" x14ac:dyDescent="0.25">
      <c r="E75" s="31"/>
      <c r="F75" s="31"/>
      <c r="G75" s="34"/>
      <c r="H75" s="34"/>
      <c r="I75" s="31"/>
      <c r="J75" s="31"/>
      <c r="K75" s="34"/>
      <c r="L75" s="94"/>
    </row>
    <row r="76" spans="2:13" x14ac:dyDescent="0.25">
      <c r="B76" s="77" t="s">
        <v>197</v>
      </c>
      <c r="C76" s="77"/>
      <c r="E76" s="31"/>
      <c r="F76" s="31"/>
      <c r="G76" s="34"/>
      <c r="H76" s="34"/>
      <c r="I76" s="31"/>
      <c r="J76" s="31"/>
      <c r="K76" s="34"/>
      <c r="L76" s="94"/>
    </row>
    <row r="77" spans="2:13" x14ac:dyDescent="0.25">
      <c r="B77" s="23" t="s">
        <v>199</v>
      </c>
      <c r="C77" s="22">
        <v>2</v>
      </c>
      <c r="D77" s="72">
        <f>ROUND('PU Wise OWE'!$AW$128/10000,2)</f>
        <v>0.37</v>
      </c>
      <c r="E77" s="87">
        <f t="shared" ref="E77:E83" si="40">D77/$D$7</f>
        <v>2.5305201244742328E-4</v>
      </c>
      <c r="F77" s="23"/>
      <c r="G77" s="22">
        <f>ROUND('PU Wise OWE'!$AW$126/10000,2)</f>
        <v>2.65</v>
      </c>
      <c r="H77" s="24">
        <f t="shared" ref="H77:H83" si="41">G77/$G$7</f>
        <v>3.3262206602234214E-4</v>
      </c>
      <c r="I77" s="23">
        <f>ROUND('PU Wise OWE'!$AW$129/10000,2)</f>
        <v>0.24</v>
      </c>
      <c r="J77" s="96">
        <f t="shared" ref="J77:J85" si="42">I77/$I$7</f>
        <v>1.4880491056204855E-4</v>
      </c>
      <c r="K77" s="22">
        <f t="shared" ref="K77:K83" si="43">I77-D77</f>
        <v>-0.13</v>
      </c>
      <c r="L77" s="54">
        <f t="shared" ref="L77:L83" si="44">K77/D77</f>
        <v>-0.35135135135135137</v>
      </c>
      <c r="M77" s="54">
        <f t="shared" ref="M77:M82" si="45">I77/G77</f>
        <v>9.056603773584905E-2</v>
      </c>
    </row>
    <row r="78" spans="2:13" x14ac:dyDescent="0.25">
      <c r="B78" s="23" t="s">
        <v>198</v>
      </c>
      <c r="C78" s="22">
        <v>1.66</v>
      </c>
      <c r="D78" s="72">
        <f>ROUND('PU Wise OWE'!$AX$128/10000,2)</f>
        <v>0.27</v>
      </c>
      <c r="E78" s="87">
        <f t="shared" si="40"/>
        <v>1.8465957665082241E-4</v>
      </c>
      <c r="F78" s="23"/>
      <c r="G78" s="22">
        <f>ROUND('PU Wise OWE'!$AX$126/10000,2)</f>
        <v>1.81</v>
      </c>
      <c r="H78" s="24">
        <f t="shared" si="41"/>
        <v>2.2718714698129785E-4</v>
      </c>
      <c r="I78" s="23">
        <f>ROUND('PU Wise OWE'!$AX$129/10000,2)</f>
        <v>0.22</v>
      </c>
      <c r="J78" s="96">
        <f t="shared" si="42"/>
        <v>1.3640450134854451E-4</v>
      </c>
      <c r="K78" s="22">
        <f t="shared" si="43"/>
        <v>-5.0000000000000017E-2</v>
      </c>
      <c r="L78" s="54">
        <f t="shared" si="44"/>
        <v>-0.18518518518518523</v>
      </c>
      <c r="M78" s="54">
        <f t="shared" si="45"/>
        <v>0.12154696132596685</v>
      </c>
    </row>
    <row r="79" spans="2:13" x14ac:dyDescent="0.25">
      <c r="B79" s="23" t="s">
        <v>200</v>
      </c>
      <c r="C79" s="22">
        <v>16.940000000000001</v>
      </c>
      <c r="D79" s="72">
        <f>ROUND('PU Wise OWE'!$BC$128/10000,2)</f>
        <v>3.22</v>
      </c>
      <c r="E79" s="87">
        <f t="shared" si="40"/>
        <v>2.2022364326505488E-3</v>
      </c>
      <c r="F79" s="23"/>
      <c r="G79" s="22">
        <f>ROUND('PU Wise OWE'!$BC$126/10000,2)</f>
        <v>14.88</v>
      </c>
      <c r="H79" s="24">
        <f t="shared" si="41"/>
        <v>1.8677042801556422E-3</v>
      </c>
      <c r="I79" s="23">
        <f>ROUND('PU Wise OWE'!$BC$129/10000,2)</f>
        <v>2.12</v>
      </c>
      <c r="J79" s="96">
        <f t="shared" si="42"/>
        <v>1.3144433766314289E-3</v>
      </c>
      <c r="K79" s="22">
        <f t="shared" si="43"/>
        <v>-1.1000000000000001</v>
      </c>
      <c r="L79" s="54">
        <f t="shared" si="44"/>
        <v>-0.34161490683229817</v>
      </c>
      <c r="M79" s="54">
        <f t="shared" si="45"/>
        <v>0.1424731182795699</v>
      </c>
    </row>
    <row r="80" spans="2:13" x14ac:dyDescent="0.25">
      <c r="B80" s="23" t="s">
        <v>201</v>
      </c>
      <c r="C80" s="22">
        <v>16.95</v>
      </c>
      <c r="D80" s="72">
        <f>ROUND('PU Wise OWE'!$BD$128/10000,2)</f>
        <v>3.08</v>
      </c>
      <c r="E80" s="87">
        <f t="shared" si="40"/>
        <v>2.1064870225353076E-3</v>
      </c>
      <c r="F80" s="23"/>
      <c r="G80" s="22">
        <f>ROUND('PU Wise OWE'!$BD$126/10000,2)</f>
        <v>14.88</v>
      </c>
      <c r="H80" s="24">
        <f t="shared" si="41"/>
        <v>1.8677042801556422E-3</v>
      </c>
      <c r="I80" s="23">
        <f>ROUND('PU Wise OWE'!$BD$129/10000,2)</f>
        <v>2.12</v>
      </c>
      <c r="J80" s="96">
        <f t="shared" si="42"/>
        <v>1.3144433766314289E-3</v>
      </c>
      <c r="K80" s="22">
        <f t="shared" si="43"/>
        <v>-0.96</v>
      </c>
      <c r="L80" s="54">
        <f t="shared" si="44"/>
        <v>-0.31168831168831168</v>
      </c>
      <c r="M80" s="54">
        <f t="shared" si="45"/>
        <v>0.1424731182795699</v>
      </c>
    </row>
    <row r="81" spans="2:13" x14ac:dyDescent="0.25">
      <c r="B81" s="23" t="s">
        <v>202</v>
      </c>
      <c r="C81" s="22">
        <v>17.329999999999998</v>
      </c>
      <c r="D81" s="72">
        <f>ROUND('PU Wise OWE'!$BF$128/10000,2)</f>
        <v>3.55</v>
      </c>
      <c r="E81" s="87">
        <f t="shared" si="40"/>
        <v>2.4279314707793317E-3</v>
      </c>
      <c r="F81" s="23"/>
      <c r="G81" s="22">
        <f>ROUND('PU Wise OWE'!$BF$126/10000,2)</f>
        <v>12.96</v>
      </c>
      <c r="H81" s="24">
        <f t="shared" si="41"/>
        <v>1.626710179490398E-3</v>
      </c>
      <c r="I81" s="23">
        <f>ROUND('PU Wise OWE'!$BF$129/10000,2)</f>
        <v>1.92</v>
      </c>
      <c r="J81" s="96">
        <f t="shared" si="42"/>
        <v>1.1904392844963884E-3</v>
      </c>
      <c r="K81" s="22">
        <f t="shared" si="43"/>
        <v>-1.63</v>
      </c>
      <c r="L81" s="54">
        <f t="shared" si="44"/>
        <v>-0.45915492957746479</v>
      </c>
      <c r="M81" s="54">
        <f t="shared" si="45"/>
        <v>0.14814814814814814</v>
      </c>
    </row>
    <row r="82" spans="2:13" x14ac:dyDescent="0.25">
      <c r="B82" s="23" t="s">
        <v>203</v>
      </c>
      <c r="C82" s="22">
        <v>166.71</v>
      </c>
      <c r="D82" s="72">
        <f>ROUND('PU Wise OWE'!$BG$128/10000,2)-ROUND('PU Wise OWE'!$BG$117/10000,2)</f>
        <v>12.1400000000001</v>
      </c>
      <c r="E82" s="87">
        <f t="shared" si="40"/>
        <v>8.3028417057074162E-3</v>
      </c>
      <c r="F82" s="23"/>
      <c r="G82" s="22">
        <f>ROUND('PU Wise OWE'!$BG$126/10000,2)-ROUND('PU Wise OWE'!$BG$115/10000,2)</f>
        <v>127.09000000000015</v>
      </c>
      <c r="H82" s="24">
        <f t="shared" si="41"/>
        <v>1.5952052215388497E-2</v>
      </c>
      <c r="I82" s="23">
        <f>ROUND('PU Wise OWE'!$BG$129/10000,2)-ROUND('PU Wise OWE'!$BG$118/10000,2)</f>
        <v>10.400000000000091</v>
      </c>
      <c r="J82" s="96">
        <f t="shared" si="42"/>
        <v>6.4482127910221601E-3</v>
      </c>
      <c r="K82" s="22">
        <f t="shared" si="43"/>
        <v>-1.7400000000000091</v>
      </c>
      <c r="L82" s="54">
        <f t="shared" si="44"/>
        <v>-0.14332784184513961</v>
      </c>
      <c r="M82" s="54">
        <f t="shared" si="45"/>
        <v>8.1831772759462421E-2</v>
      </c>
    </row>
    <row r="83" spans="2:13" s="36" customFormat="1" x14ac:dyDescent="0.25">
      <c r="B83" s="25" t="s">
        <v>130</v>
      </c>
      <c r="C83" s="26">
        <f>C77+C78+C79+C80+C81+C82</f>
        <v>221.59</v>
      </c>
      <c r="D83" s="76">
        <f>SUM(D77:D82)</f>
        <v>22.630000000000102</v>
      </c>
      <c r="E83" s="88">
        <f t="shared" si="40"/>
        <v>1.5477208220770852E-2</v>
      </c>
      <c r="F83" s="25"/>
      <c r="G83" s="76">
        <f>SUM(G77:G82)</f>
        <v>174.27000000000015</v>
      </c>
      <c r="H83" s="56">
        <f t="shared" si="41"/>
        <v>2.1873980168193818E-2</v>
      </c>
      <c r="I83" s="76">
        <f>SUM(I77:I82)</f>
        <v>17.020000000000092</v>
      </c>
      <c r="J83" s="56">
        <f t="shared" si="42"/>
        <v>1.0552748240692E-2</v>
      </c>
      <c r="K83" s="26">
        <f t="shared" si="43"/>
        <v>-5.6100000000000101</v>
      </c>
      <c r="L83" s="57">
        <f t="shared" si="44"/>
        <v>-0.24790101634997724</v>
      </c>
      <c r="M83" s="25"/>
    </row>
    <row r="85" spans="2:13" s="36" customFormat="1" ht="31.5" customHeight="1" x14ac:dyDescent="0.25">
      <c r="B85" s="95" t="s">
        <v>204</v>
      </c>
      <c r="C85" s="114">
        <v>3247.44</v>
      </c>
      <c r="D85" s="76">
        <f>D37+D49+D54+D56+D64+D69+D74+D83</f>
        <v>724.86</v>
      </c>
      <c r="E85" s="88">
        <f t="shared" ref="E85" si="46">D85/$D$7</f>
        <v>0.49574941011524121</v>
      </c>
      <c r="F85" s="25"/>
      <c r="G85" s="76">
        <f>G37+G49+G54+G56+G64+G69+G74+G83</f>
        <v>3345.3700000000003</v>
      </c>
      <c r="H85" s="56">
        <f t="shared" ref="H85" si="47">G85/$G$7</f>
        <v>0.41990335132421241</v>
      </c>
      <c r="I85" s="76">
        <f>I37+I49+I54+I56+I64+I69+I74+I83</f>
        <v>825.71000000000026</v>
      </c>
      <c r="J85" s="56">
        <f t="shared" si="42"/>
        <v>0.51195709458412142</v>
      </c>
      <c r="K85" s="26">
        <f>I85-D85</f>
        <v>100.85000000000025</v>
      </c>
      <c r="L85" s="57">
        <f>K85/D85</f>
        <v>0.13913031481941374</v>
      </c>
      <c r="M85" s="54">
        <f t="shared" ref="M85" si="48">I85/G85</f>
        <v>0.24682172674472486</v>
      </c>
    </row>
    <row r="86" spans="2:13" x14ac:dyDescent="0.25">
      <c r="B86" s="181"/>
      <c r="C86" s="181"/>
      <c r="D86" s="140"/>
      <c r="E86" s="181"/>
      <c r="F86" s="181"/>
      <c r="G86" s="181"/>
      <c r="H86" s="181"/>
      <c r="I86" s="181"/>
      <c r="J86" s="181"/>
      <c r="K86" s="181"/>
      <c r="L86" s="181"/>
      <c r="M86" s="181"/>
    </row>
    <row r="87" spans="2:13" s="150" customFormat="1" ht="16.5" customHeight="1" x14ac:dyDescent="0.25">
      <c r="B87" s="188"/>
      <c r="C87" s="244" t="s">
        <v>303</v>
      </c>
      <c r="D87" s="238" t="s">
        <v>304</v>
      </c>
      <c r="E87" s="244" t="s">
        <v>173</v>
      </c>
      <c r="F87" s="244"/>
      <c r="G87" s="274" t="s">
        <v>308</v>
      </c>
      <c r="H87" s="244" t="s">
        <v>310</v>
      </c>
      <c r="I87" s="238" t="s">
        <v>305</v>
      </c>
      <c r="J87" s="244" t="s">
        <v>205</v>
      </c>
      <c r="K87" s="245" t="s">
        <v>147</v>
      </c>
      <c r="L87" s="245"/>
      <c r="M87" s="246" t="s">
        <v>307</v>
      </c>
    </row>
    <row r="88" spans="2:13" s="150" customFormat="1" x14ac:dyDescent="0.25">
      <c r="B88" s="80" t="s">
        <v>254</v>
      </c>
      <c r="C88" s="239"/>
      <c r="D88" s="239"/>
      <c r="E88" s="239"/>
      <c r="F88" s="239"/>
      <c r="G88" s="275"/>
      <c r="H88" s="239"/>
      <c r="I88" s="247"/>
      <c r="J88" s="239"/>
      <c r="K88" s="81" t="s">
        <v>145</v>
      </c>
      <c r="L88" s="81" t="s">
        <v>146</v>
      </c>
      <c r="M88" s="246"/>
    </row>
    <row r="89" spans="2:13" s="150" customFormat="1" ht="15" customHeight="1" x14ac:dyDescent="0.25">
      <c r="B89" s="20" t="s">
        <v>255</v>
      </c>
      <c r="C89" s="20">
        <v>17</v>
      </c>
      <c r="D89" s="83">
        <v>0</v>
      </c>
      <c r="E89" s="87">
        <f t="shared" ref="E89:E102" si="49">D89/$D$7</f>
        <v>0</v>
      </c>
      <c r="F89" s="20"/>
      <c r="G89" s="107">
        <v>0.69</v>
      </c>
      <c r="H89" s="189">
        <f t="shared" ref="H89:H102" si="50">G89/$G$7</f>
        <v>8.66072549265721E-5</v>
      </c>
      <c r="I89" s="20">
        <v>0</v>
      </c>
      <c r="J89" s="189">
        <f t="shared" ref="J89:J102" si="51">I89/$I$7</f>
        <v>0</v>
      </c>
      <c r="K89" s="107">
        <f>I89-D89</f>
        <v>0</v>
      </c>
      <c r="L89" s="190">
        <v>0</v>
      </c>
      <c r="M89" s="190">
        <f t="shared" ref="M89:M102" si="52">I89/G89</f>
        <v>0</v>
      </c>
    </row>
    <row r="90" spans="2:13" s="150" customFormat="1" x14ac:dyDescent="0.25">
      <c r="B90" s="20" t="s">
        <v>256</v>
      </c>
      <c r="C90" s="20">
        <v>33.630000000000003</v>
      </c>
      <c r="D90" s="111">
        <v>1.86</v>
      </c>
      <c r="E90" s="87">
        <f t="shared" si="49"/>
        <v>1.2720993058167767E-3</v>
      </c>
      <c r="F90" s="20"/>
      <c r="G90" s="107">
        <v>33.28</v>
      </c>
      <c r="H90" s="189">
        <f t="shared" si="50"/>
        <v>4.1772310781975647E-3</v>
      </c>
      <c r="I90" s="107">
        <v>2.77</v>
      </c>
      <c r="J90" s="189">
        <f t="shared" si="51"/>
        <v>1.7174566760703104E-3</v>
      </c>
      <c r="K90" s="107">
        <f t="shared" ref="K90:K102" si="53">I90-D90</f>
        <v>0.90999999999999992</v>
      </c>
      <c r="L90" s="190">
        <f t="shared" ref="L90:L102" si="54">K90/D90</f>
        <v>0.48924731182795694</v>
      </c>
      <c r="M90" s="190">
        <f t="shared" si="52"/>
        <v>8.3233173076923073E-2</v>
      </c>
    </row>
    <row r="91" spans="2:13" s="150" customFormat="1" x14ac:dyDescent="0.25">
      <c r="B91" s="20" t="s">
        <v>266</v>
      </c>
      <c r="C91" s="20">
        <v>7.44</v>
      </c>
      <c r="D91" s="111">
        <v>0.04</v>
      </c>
      <c r="E91" s="87">
        <f t="shared" si="49"/>
        <v>2.7356974318640359E-5</v>
      </c>
      <c r="F91" s="20"/>
      <c r="G91" s="107">
        <v>0.53</v>
      </c>
      <c r="H91" s="189">
        <f t="shared" si="50"/>
        <v>6.6524413204468433E-5</v>
      </c>
      <c r="I91" s="107">
        <v>0</v>
      </c>
      <c r="J91" s="189">
        <f t="shared" si="51"/>
        <v>0</v>
      </c>
      <c r="K91" s="107">
        <f t="shared" si="53"/>
        <v>-0.04</v>
      </c>
      <c r="L91" s="190">
        <f t="shared" si="54"/>
        <v>-1</v>
      </c>
      <c r="M91" s="190">
        <f t="shared" si="52"/>
        <v>0</v>
      </c>
    </row>
    <row r="92" spans="2:13" s="150" customFormat="1" x14ac:dyDescent="0.25">
      <c r="B92" s="61" t="s">
        <v>257</v>
      </c>
      <c r="C92" s="27">
        <f>SUM(C89:C91)</f>
        <v>58.07</v>
      </c>
      <c r="D92" s="106">
        <f>SUM(D89:D91)</f>
        <v>1.9000000000000001</v>
      </c>
      <c r="E92" s="88">
        <f t="shared" si="49"/>
        <v>1.2994562801354171E-3</v>
      </c>
      <c r="F92" s="27">
        <f t="shared" ref="F92:G92" si="55">SUM(F89:F90)</f>
        <v>0</v>
      </c>
      <c r="G92" s="106">
        <f t="shared" si="55"/>
        <v>33.97</v>
      </c>
      <c r="H92" s="191">
        <f t="shared" si="50"/>
        <v>4.2638383331241366E-3</v>
      </c>
      <c r="I92" s="106">
        <f>SUM(I89:I91)</f>
        <v>2.77</v>
      </c>
      <c r="J92" s="191">
        <f t="shared" si="51"/>
        <v>1.7174566760703104E-3</v>
      </c>
      <c r="K92" s="106">
        <f t="shared" si="53"/>
        <v>0.86999999999999988</v>
      </c>
      <c r="L92" s="192">
        <f t="shared" si="54"/>
        <v>0.45789473684210519</v>
      </c>
      <c r="M92" s="192">
        <f t="shared" si="52"/>
        <v>8.1542537533117465E-2</v>
      </c>
    </row>
    <row r="93" spans="2:13" s="150" customFormat="1" x14ac:dyDescent="0.25">
      <c r="B93" s="20" t="s">
        <v>258</v>
      </c>
      <c r="C93" s="20">
        <v>0</v>
      </c>
      <c r="D93" s="83">
        <v>0</v>
      </c>
      <c r="E93" s="87">
        <f t="shared" si="49"/>
        <v>0</v>
      </c>
      <c r="F93" s="20"/>
      <c r="G93" s="107">
        <v>0</v>
      </c>
      <c r="H93" s="189">
        <f t="shared" si="50"/>
        <v>0</v>
      </c>
      <c r="I93" s="107">
        <v>0</v>
      </c>
      <c r="J93" s="189">
        <f t="shared" si="51"/>
        <v>0</v>
      </c>
      <c r="K93" s="107">
        <f t="shared" si="53"/>
        <v>0</v>
      </c>
      <c r="L93" s="190">
        <v>0</v>
      </c>
      <c r="M93" s="190">
        <v>0</v>
      </c>
    </row>
    <row r="94" spans="2:13" s="150" customFormat="1" x14ac:dyDescent="0.25">
      <c r="B94" s="20" t="s">
        <v>259</v>
      </c>
      <c r="C94" s="20">
        <v>13.17</v>
      </c>
      <c r="D94" s="111">
        <v>0.17</v>
      </c>
      <c r="E94" s="87">
        <f t="shared" si="49"/>
        <v>1.1626714085422152E-4</v>
      </c>
      <c r="F94" s="20"/>
      <c r="G94" s="107">
        <v>14.55</v>
      </c>
      <c r="H94" s="189">
        <f t="shared" si="50"/>
        <v>1.8262834191038033E-3</v>
      </c>
      <c r="I94" s="107">
        <v>3.38</v>
      </c>
      <c r="J94" s="189">
        <f t="shared" si="51"/>
        <v>2.0956691570821837E-3</v>
      </c>
      <c r="K94" s="107">
        <f t="shared" si="53"/>
        <v>3.21</v>
      </c>
      <c r="L94" s="190">
        <f t="shared" si="54"/>
        <v>18.882352941176467</v>
      </c>
      <c r="M94" s="190">
        <f t="shared" si="52"/>
        <v>0.23230240549828177</v>
      </c>
    </row>
    <row r="95" spans="2:13" s="150" customFormat="1" x14ac:dyDescent="0.25">
      <c r="B95" s="20" t="s">
        <v>267</v>
      </c>
      <c r="C95" s="20">
        <v>-0.3</v>
      </c>
      <c r="D95" s="111">
        <v>0</v>
      </c>
      <c r="E95" s="87">
        <f t="shared" si="49"/>
        <v>0</v>
      </c>
      <c r="F95" s="20"/>
      <c r="G95" s="107">
        <v>0.05</v>
      </c>
      <c r="H95" s="189">
        <f t="shared" si="50"/>
        <v>6.2758880381573994E-6</v>
      </c>
      <c r="I95" s="107">
        <v>0</v>
      </c>
      <c r="J95" s="189">
        <f t="shared" si="51"/>
        <v>0</v>
      </c>
      <c r="K95" s="107">
        <f t="shared" si="53"/>
        <v>0</v>
      </c>
      <c r="L95" s="190">
        <v>0</v>
      </c>
      <c r="M95" s="190">
        <v>0</v>
      </c>
    </row>
    <row r="96" spans="2:13" s="150" customFormat="1" x14ac:dyDescent="0.25">
      <c r="B96" s="61" t="s">
        <v>260</v>
      </c>
      <c r="C96" s="27">
        <f>SUM(C93:C95)</f>
        <v>12.87</v>
      </c>
      <c r="D96" s="27">
        <f>SUM(D93:D95)</f>
        <v>0.17</v>
      </c>
      <c r="E96" s="88">
        <f t="shared" si="49"/>
        <v>1.1626714085422152E-4</v>
      </c>
      <c r="F96" s="27">
        <f t="shared" ref="F96" si="56">SUM(F93:F94)</f>
        <v>0</v>
      </c>
      <c r="G96" s="106">
        <f>SUM(G93:G95)</f>
        <v>14.600000000000001</v>
      </c>
      <c r="H96" s="191">
        <f t="shared" si="50"/>
        <v>1.8325593071419608E-3</v>
      </c>
      <c r="I96" s="106">
        <f>SUM(I93:I95)</f>
        <v>3.38</v>
      </c>
      <c r="J96" s="191">
        <f t="shared" si="51"/>
        <v>2.0956691570821837E-3</v>
      </c>
      <c r="K96" s="106">
        <f t="shared" si="53"/>
        <v>3.21</v>
      </c>
      <c r="L96" s="192">
        <f t="shared" si="54"/>
        <v>18.882352941176467</v>
      </c>
      <c r="M96" s="192">
        <f t="shared" si="52"/>
        <v>0.23150684931506846</v>
      </c>
    </row>
    <row r="97" spans="2:13" s="150" customFormat="1" x14ac:dyDescent="0.25">
      <c r="B97" s="20" t="s">
        <v>261</v>
      </c>
      <c r="C97" s="107">
        <v>24.12</v>
      </c>
      <c r="D97" s="111">
        <v>1.61</v>
      </c>
      <c r="E97" s="87">
        <f t="shared" si="49"/>
        <v>1.1011182163252744E-3</v>
      </c>
      <c r="F97" s="20"/>
      <c r="G97" s="107">
        <v>17.600000000000001</v>
      </c>
      <c r="H97" s="189">
        <f t="shared" si="50"/>
        <v>2.2091125894314048E-3</v>
      </c>
      <c r="I97" s="107">
        <v>0.15</v>
      </c>
      <c r="J97" s="189">
        <f t="shared" si="51"/>
        <v>9.3003069101280339E-5</v>
      </c>
      <c r="K97" s="107">
        <f t="shared" si="53"/>
        <v>-1.4600000000000002</v>
      </c>
      <c r="L97" s="190">
        <f t="shared" si="54"/>
        <v>-0.90683229813664601</v>
      </c>
      <c r="M97" s="190">
        <f t="shared" si="52"/>
        <v>8.5227272727272721E-3</v>
      </c>
    </row>
    <row r="98" spans="2:13" s="150" customFormat="1" x14ac:dyDescent="0.25">
      <c r="B98" s="20" t="s">
        <v>262</v>
      </c>
      <c r="C98" s="20">
        <v>145.66</v>
      </c>
      <c r="D98" s="111">
        <v>4.3499999999999996</v>
      </c>
      <c r="E98" s="87">
        <f t="shared" si="49"/>
        <v>2.9750709571521386E-3</v>
      </c>
      <c r="F98" s="20"/>
      <c r="G98" s="107">
        <v>11.56</v>
      </c>
      <c r="H98" s="189">
        <f t="shared" si="50"/>
        <v>1.4509853144219907E-3</v>
      </c>
      <c r="I98" s="107">
        <v>6.27</v>
      </c>
      <c r="J98" s="189">
        <f t="shared" si="51"/>
        <v>3.8875282884335183E-3</v>
      </c>
      <c r="K98" s="107">
        <f t="shared" si="53"/>
        <v>1.92</v>
      </c>
      <c r="L98" s="190">
        <f t="shared" si="54"/>
        <v>0.44137931034482758</v>
      </c>
      <c r="M98" s="190">
        <f t="shared" si="52"/>
        <v>0.54238754325259508</v>
      </c>
    </row>
    <row r="99" spans="2:13" s="150" customFormat="1" x14ac:dyDescent="0.25">
      <c r="B99" s="61" t="s">
        <v>263</v>
      </c>
      <c r="C99" s="27">
        <f t="shared" ref="C99" si="57">SUM(C97:C98)</f>
        <v>169.78</v>
      </c>
      <c r="D99" s="106">
        <f t="shared" ref="D99:I99" si="58">SUM(D97:D98)</f>
        <v>5.96</v>
      </c>
      <c r="E99" s="88">
        <f t="shared" si="49"/>
        <v>4.076189173477413E-3</v>
      </c>
      <c r="F99" s="27">
        <f t="shared" si="58"/>
        <v>0</v>
      </c>
      <c r="G99" s="106">
        <f t="shared" si="58"/>
        <v>29.160000000000004</v>
      </c>
      <c r="H99" s="191">
        <f t="shared" si="50"/>
        <v>3.6600979038533955E-3</v>
      </c>
      <c r="I99" s="106">
        <f t="shared" si="58"/>
        <v>6.42</v>
      </c>
      <c r="J99" s="191">
        <f t="shared" si="51"/>
        <v>3.9805313575347985E-3</v>
      </c>
      <c r="K99" s="106">
        <f t="shared" si="53"/>
        <v>0.45999999999999996</v>
      </c>
      <c r="L99" s="192">
        <f t="shared" si="54"/>
        <v>7.7181208053691275E-2</v>
      </c>
      <c r="M99" s="192">
        <f t="shared" si="52"/>
        <v>0.22016460905349791</v>
      </c>
    </row>
    <row r="100" spans="2:13" s="150" customFormat="1" x14ac:dyDescent="0.25">
      <c r="B100" s="20" t="s">
        <v>264</v>
      </c>
      <c r="C100" s="107">
        <v>12.31</v>
      </c>
      <c r="D100" s="111">
        <v>4.28</v>
      </c>
      <c r="E100" s="87">
        <f t="shared" si="49"/>
        <v>2.9271962520945184E-3</v>
      </c>
      <c r="F100" s="20"/>
      <c r="G100" s="107">
        <v>13.17</v>
      </c>
      <c r="H100" s="189">
        <f t="shared" si="50"/>
        <v>1.6530689092506589E-3</v>
      </c>
      <c r="I100" s="107">
        <v>1.93</v>
      </c>
      <c r="J100" s="189">
        <f t="shared" si="51"/>
        <v>1.1966394891031404E-3</v>
      </c>
      <c r="K100" s="107">
        <f t="shared" si="53"/>
        <v>-2.3500000000000005</v>
      </c>
      <c r="L100" s="190">
        <f t="shared" si="54"/>
        <v>-0.54906542056074781</v>
      </c>
      <c r="M100" s="190">
        <f t="shared" si="52"/>
        <v>0.14654517843583903</v>
      </c>
    </row>
    <row r="101" spans="2:13" s="150" customFormat="1" x14ac:dyDescent="0.25">
      <c r="B101" s="20" t="s">
        <v>265</v>
      </c>
      <c r="C101" s="107">
        <v>101.34</v>
      </c>
      <c r="D101" s="111">
        <v>1.64</v>
      </c>
      <c r="E101" s="87">
        <f t="shared" si="49"/>
        <v>1.1216359470642547E-3</v>
      </c>
      <c r="F101" s="20"/>
      <c r="G101" s="107">
        <v>65.03</v>
      </c>
      <c r="H101" s="189">
        <f t="shared" si="50"/>
        <v>8.1624199824275132E-3</v>
      </c>
      <c r="I101" s="107">
        <v>5.95</v>
      </c>
      <c r="J101" s="189">
        <f t="shared" si="51"/>
        <v>3.6891217410174541E-3</v>
      </c>
      <c r="K101" s="107">
        <f t="shared" si="53"/>
        <v>4.3100000000000005</v>
      </c>
      <c r="L101" s="190">
        <f t="shared" si="54"/>
        <v>2.6280487804878052</v>
      </c>
      <c r="M101" s="190">
        <f t="shared" si="52"/>
        <v>9.1496232508073191E-2</v>
      </c>
    </row>
    <row r="102" spans="2:13" s="150" customFormat="1" x14ac:dyDescent="0.25">
      <c r="B102" s="61" t="s">
        <v>295</v>
      </c>
      <c r="C102" s="106">
        <f>SUM(C100:C101)</f>
        <v>113.65</v>
      </c>
      <c r="D102" s="106">
        <f t="shared" ref="D102:I102" si="59">SUM(D100:D101)</f>
        <v>5.92</v>
      </c>
      <c r="E102" s="88">
        <f t="shared" si="49"/>
        <v>4.0488321991587724E-3</v>
      </c>
      <c r="F102" s="27">
        <f t="shared" si="59"/>
        <v>0</v>
      </c>
      <c r="G102" s="106">
        <f t="shared" si="59"/>
        <v>78.2</v>
      </c>
      <c r="H102" s="191">
        <f t="shared" si="50"/>
        <v>9.815488891678173E-3</v>
      </c>
      <c r="I102" s="106">
        <f t="shared" si="59"/>
        <v>7.88</v>
      </c>
      <c r="J102" s="191">
        <f t="shared" si="51"/>
        <v>4.8857612301205942E-3</v>
      </c>
      <c r="K102" s="106">
        <f t="shared" si="53"/>
        <v>1.96</v>
      </c>
      <c r="L102" s="192">
        <f t="shared" si="54"/>
        <v>0.33108108108108109</v>
      </c>
      <c r="M102" s="192">
        <f t="shared" si="52"/>
        <v>0.10076726342710997</v>
      </c>
    </row>
    <row r="103" spans="2:13" x14ac:dyDescent="0.25">
      <c r="B103" s="181"/>
      <c r="C103" s="181"/>
      <c r="D103" s="140"/>
      <c r="E103" s="181"/>
      <c r="F103" s="181"/>
      <c r="G103" s="181"/>
      <c r="H103" s="181"/>
      <c r="I103" s="181"/>
      <c r="J103" s="181"/>
      <c r="K103" s="181"/>
      <c r="L103" s="181"/>
      <c r="M103" s="181"/>
    </row>
    <row r="104" spans="2:13" ht="15" customHeight="1" x14ac:dyDescent="0.25">
      <c r="B104" s="193"/>
      <c r="C104" s="244" t="s">
        <v>303</v>
      </c>
      <c r="D104" s="238" t="str">
        <f>'PU Wise OWE'!$B$7</f>
        <v>Actuals upto May' 20</v>
      </c>
      <c r="E104" s="244" t="s">
        <v>173</v>
      </c>
      <c r="F104" s="244"/>
      <c r="G104" s="274" t="str">
        <f>'PU Wise OWE'!$B$5</f>
        <v xml:space="preserve">OBG(SL) 2021-22 </v>
      </c>
      <c r="H104" s="244" t="s">
        <v>311</v>
      </c>
      <c r="I104" s="238" t="str">
        <f>I40</f>
        <v>Actuals upto May' 21</v>
      </c>
      <c r="J104" s="244" t="s">
        <v>205</v>
      </c>
      <c r="K104" s="245" t="s">
        <v>147</v>
      </c>
      <c r="L104" s="245"/>
      <c r="M104" s="246" t="s">
        <v>307</v>
      </c>
    </row>
    <row r="105" spans="2:13" x14ac:dyDescent="0.25">
      <c r="B105" s="80" t="s">
        <v>191</v>
      </c>
      <c r="C105" s="239"/>
      <c r="D105" s="239"/>
      <c r="E105" s="239"/>
      <c r="F105" s="239"/>
      <c r="G105" s="275"/>
      <c r="H105" s="239"/>
      <c r="I105" s="239"/>
      <c r="J105" s="239"/>
      <c r="K105" s="81" t="s">
        <v>145</v>
      </c>
      <c r="L105" s="81" t="s">
        <v>146</v>
      </c>
      <c r="M105" s="246"/>
    </row>
    <row r="106" spans="2:13" x14ac:dyDescent="0.25">
      <c r="B106" s="20" t="s">
        <v>218</v>
      </c>
      <c r="C106" s="20">
        <v>305.92</v>
      </c>
      <c r="D106" s="111">
        <v>19.18</v>
      </c>
      <c r="E106" s="87">
        <f t="shared" ref="E106:E109" si="60">D106/$D$7</f>
        <v>1.311766918578805E-2</v>
      </c>
      <c r="F106" s="20"/>
      <c r="G106" s="20">
        <v>115.89</v>
      </c>
      <c r="H106" s="189">
        <f t="shared" ref="H106:H109" si="61">G106/$G$7</f>
        <v>1.4546253294841219E-2</v>
      </c>
      <c r="I106" s="107">
        <v>28.26</v>
      </c>
      <c r="J106" s="189">
        <f t="shared" ref="J106:J109" si="62">I106/$I$7</f>
        <v>1.7521778218681217E-2</v>
      </c>
      <c r="K106" s="107">
        <f>I106-D106</f>
        <v>9.0800000000000018</v>
      </c>
      <c r="L106" s="190">
        <f>K106/D106</f>
        <v>0.47340980187695525</v>
      </c>
      <c r="M106" s="190">
        <f t="shared" ref="M106:M109" si="63">I106/G106</f>
        <v>0.24385192855293814</v>
      </c>
    </row>
    <row r="107" spans="2:13" x14ac:dyDescent="0.25">
      <c r="B107" s="20" t="s">
        <v>217</v>
      </c>
      <c r="C107" s="20">
        <v>266.58999999999997</v>
      </c>
      <c r="D107" s="83">
        <v>27.95</v>
      </c>
      <c r="E107" s="87">
        <f t="shared" si="60"/>
        <v>1.9115685805149947E-2</v>
      </c>
      <c r="F107" s="20"/>
      <c r="G107" s="107">
        <v>750</v>
      </c>
      <c r="H107" s="189">
        <f t="shared" si="61"/>
        <v>9.4138320572360989E-2</v>
      </c>
      <c r="I107" s="107">
        <v>40.58</v>
      </c>
      <c r="J107" s="189">
        <f t="shared" si="62"/>
        <v>2.5160430294199707E-2</v>
      </c>
      <c r="K107" s="107">
        <f t="shared" ref="K107:K109" si="64">I107-D107</f>
        <v>12.629999999999999</v>
      </c>
      <c r="L107" s="190">
        <f t="shared" ref="L107:L109" si="65">K107/D107</f>
        <v>0.45187835420393557</v>
      </c>
      <c r="M107" s="190">
        <f t="shared" si="63"/>
        <v>5.4106666666666664E-2</v>
      </c>
    </row>
    <row r="108" spans="2:13" ht="15.75" customHeight="1" x14ac:dyDescent="0.25">
      <c r="B108" s="194" t="s">
        <v>216</v>
      </c>
      <c r="C108" s="20">
        <v>544.78</v>
      </c>
      <c r="D108" s="83">
        <v>165.44</v>
      </c>
      <c r="E108" s="87">
        <f t="shared" si="60"/>
        <v>0.11314844578189652</v>
      </c>
      <c r="F108" s="20"/>
      <c r="G108" s="107">
        <v>676.5</v>
      </c>
      <c r="H108" s="189">
        <f t="shared" si="61"/>
        <v>8.491276515626961E-2</v>
      </c>
      <c r="I108" s="20">
        <v>301.26</v>
      </c>
      <c r="J108" s="189">
        <f t="shared" si="62"/>
        <v>0.18678736398301143</v>
      </c>
      <c r="K108" s="107">
        <f t="shared" si="64"/>
        <v>135.82</v>
      </c>
      <c r="L108" s="190">
        <f t="shared" si="65"/>
        <v>0.82096228239845259</v>
      </c>
      <c r="M108" s="190">
        <f t="shared" si="63"/>
        <v>0.44532150776053214</v>
      </c>
    </row>
    <row r="109" spans="2:13" x14ac:dyDescent="0.25">
      <c r="B109" s="27" t="s">
        <v>130</v>
      </c>
      <c r="C109" s="27">
        <f>SUM(C106:C108)</f>
        <v>1117.29</v>
      </c>
      <c r="D109" s="142">
        <f>+D106+D107+D108</f>
        <v>212.57</v>
      </c>
      <c r="E109" s="88">
        <f t="shared" si="60"/>
        <v>0.14538180077283452</v>
      </c>
      <c r="F109" s="27"/>
      <c r="G109" s="142">
        <f>+G106+G107+G108</f>
        <v>1542.3899999999999</v>
      </c>
      <c r="H109" s="191">
        <f t="shared" si="61"/>
        <v>0.19359733902347182</v>
      </c>
      <c r="I109" s="106">
        <f>SUM(I106:I108)</f>
        <v>370.1</v>
      </c>
      <c r="J109" s="191">
        <f t="shared" si="62"/>
        <v>0.22946957249589239</v>
      </c>
      <c r="K109" s="106">
        <f t="shared" si="64"/>
        <v>157.53000000000003</v>
      </c>
      <c r="L109" s="192">
        <f t="shared" si="65"/>
        <v>0.74107352871995125</v>
      </c>
      <c r="M109" s="192">
        <f t="shared" si="63"/>
        <v>0.23995228184830039</v>
      </c>
    </row>
    <row r="110" spans="2:13" x14ac:dyDescent="0.25">
      <c r="B110" s="181"/>
      <c r="C110" s="181"/>
      <c r="D110" s="140"/>
      <c r="E110" s="181"/>
      <c r="F110" s="181"/>
      <c r="G110" s="181"/>
      <c r="H110" s="181"/>
      <c r="I110" s="181"/>
      <c r="J110" s="181"/>
      <c r="K110" s="181"/>
      <c r="L110" s="181"/>
      <c r="M110" s="181"/>
    </row>
    <row r="111" spans="2:13" x14ac:dyDescent="0.25">
      <c r="B111" s="80" t="s">
        <v>219</v>
      </c>
      <c r="C111" s="20"/>
      <c r="D111" s="83"/>
      <c r="E111" s="20"/>
      <c r="F111" s="20"/>
      <c r="G111" s="20"/>
      <c r="H111" s="20"/>
      <c r="I111" s="20"/>
      <c r="J111" s="20"/>
      <c r="K111" s="20"/>
      <c r="L111" s="20"/>
      <c r="M111" s="20"/>
    </row>
    <row r="112" spans="2:13" x14ac:dyDescent="0.25">
      <c r="B112" s="20" t="s">
        <v>220</v>
      </c>
      <c r="C112" s="107">
        <v>28.69</v>
      </c>
      <c r="D112" s="111">
        <v>5.63</v>
      </c>
      <c r="E112" s="87">
        <f t="shared" ref="E112:E115" si="66">D112/$D$7</f>
        <v>3.8504941353486302E-3</v>
      </c>
      <c r="F112" s="20"/>
      <c r="G112" s="107">
        <v>27.91</v>
      </c>
      <c r="H112" s="189">
        <f t="shared" ref="H112:H115" si="67">G112/$G$7</f>
        <v>3.5032007028994601E-3</v>
      </c>
      <c r="I112" s="20">
        <v>0.22</v>
      </c>
      <c r="J112" s="189">
        <f t="shared" ref="J112" si="68">I112/$I$7</f>
        <v>1.3640450134854451E-4</v>
      </c>
      <c r="K112" s="107">
        <f>I112-D112</f>
        <v>-5.41</v>
      </c>
      <c r="L112" s="190">
        <f>K112/D112</f>
        <v>-0.96092362344582594</v>
      </c>
      <c r="M112" s="190">
        <f t="shared" ref="M112" si="69">I112/G112</f>
        <v>7.8824793980652088E-3</v>
      </c>
    </row>
    <row r="113" spans="2:13" x14ac:dyDescent="0.25">
      <c r="B113" s="20" t="s">
        <v>221</v>
      </c>
      <c r="C113" s="107">
        <v>38.6</v>
      </c>
      <c r="D113" s="83">
        <v>2.54</v>
      </c>
      <c r="E113" s="87">
        <f t="shared" si="66"/>
        <v>1.7371678692336627E-3</v>
      </c>
      <c r="F113" s="20"/>
      <c r="G113" s="20">
        <v>33.72</v>
      </c>
      <c r="H113" s="189">
        <f t="shared" si="67"/>
        <v>4.2324588929333502E-3</v>
      </c>
      <c r="I113" s="107">
        <v>0.11</v>
      </c>
      <c r="J113" s="189">
        <f t="shared" ref="J113:J115" si="70">I113/$I$7</f>
        <v>6.8202250674272256E-5</v>
      </c>
      <c r="K113" s="107">
        <f t="shared" ref="K113:K115" si="71">I113-D113</f>
        <v>-2.4300000000000002</v>
      </c>
      <c r="L113" s="190">
        <f t="shared" ref="L113:L115" si="72">K113/D113</f>
        <v>-0.95669291338582685</v>
      </c>
      <c r="M113" s="190">
        <f t="shared" ref="M113:M115" si="73">I113/G113</f>
        <v>3.2621589561091344E-3</v>
      </c>
    </row>
    <row r="114" spans="2:13" x14ac:dyDescent="0.25">
      <c r="B114" s="194" t="s">
        <v>222</v>
      </c>
      <c r="C114" s="20">
        <v>33.32</v>
      </c>
      <c r="D114" s="83">
        <v>2.81</v>
      </c>
      <c r="E114" s="87">
        <f t="shared" si="66"/>
        <v>1.921827445884485E-3</v>
      </c>
      <c r="F114" s="20"/>
      <c r="G114" s="20">
        <v>33.19</v>
      </c>
      <c r="H114" s="189">
        <f t="shared" si="67"/>
        <v>4.1659344797288812E-3</v>
      </c>
      <c r="I114" s="107">
        <v>3.03</v>
      </c>
      <c r="J114" s="189">
        <f t="shared" si="70"/>
        <v>1.8786619958458628E-3</v>
      </c>
      <c r="K114" s="107">
        <f t="shared" si="71"/>
        <v>0.21999999999999975</v>
      </c>
      <c r="L114" s="190">
        <f t="shared" si="72"/>
        <v>7.8291814946619132E-2</v>
      </c>
      <c r="M114" s="190">
        <f t="shared" si="73"/>
        <v>9.1292557999397408E-2</v>
      </c>
    </row>
    <row r="115" spans="2:13" x14ac:dyDescent="0.25">
      <c r="B115" s="27" t="s">
        <v>130</v>
      </c>
      <c r="C115" s="106">
        <f>SUM(C112:C114)</f>
        <v>100.61000000000001</v>
      </c>
      <c r="D115" s="149">
        <f>SUM(D112:D114)</f>
        <v>10.98</v>
      </c>
      <c r="E115" s="88">
        <f t="shared" si="66"/>
        <v>7.5094894504667779E-3</v>
      </c>
      <c r="F115" s="27"/>
      <c r="G115" s="27">
        <f>SUM(G112:G114)</f>
        <v>94.82</v>
      </c>
      <c r="H115" s="191">
        <f t="shared" si="67"/>
        <v>1.190159407556169E-2</v>
      </c>
      <c r="I115" s="27">
        <f>SUM(I112:I114)</f>
        <v>3.36</v>
      </c>
      <c r="J115" s="191">
        <f t="shared" si="70"/>
        <v>2.0832687478686798E-3</v>
      </c>
      <c r="K115" s="106">
        <f t="shared" si="71"/>
        <v>-7.620000000000001</v>
      </c>
      <c r="L115" s="192">
        <f t="shared" si="72"/>
        <v>-0.69398907103825147</v>
      </c>
      <c r="M115" s="192">
        <f t="shared" si="73"/>
        <v>3.543556211769669E-2</v>
      </c>
    </row>
    <row r="118" spans="2:13" x14ac:dyDescent="0.25">
      <c r="C118" s="34"/>
      <c r="D118" s="141"/>
      <c r="E118" s="31"/>
      <c r="F118" s="31"/>
      <c r="G118" s="31"/>
    </row>
    <row r="119" spans="2:13" x14ac:dyDescent="0.25">
      <c r="C119" s="31"/>
      <c r="D119" s="141"/>
      <c r="E119" s="31"/>
      <c r="F119" s="31"/>
      <c r="G119" s="31"/>
    </row>
    <row r="120" spans="2:13" x14ac:dyDescent="0.25">
      <c r="C120" s="31"/>
      <c r="D120" s="141"/>
      <c r="E120" s="31"/>
      <c r="F120" s="31"/>
      <c r="G120" s="31"/>
    </row>
    <row r="121" spans="2:13" x14ac:dyDescent="0.25">
      <c r="C121" s="31"/>
      <c r="D121" s="141"/>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x14ac:dyDescent="0.25">
      <c r="A1" s="133"/>
      <c r="B1" s="1"/>
      <c r="C1" s="232" t="s">
        <v>213</v>
      </c>
      <c r="D1" s="232"/>
      <c r="E1" s="232"/>
      <c r="F1" s="232"/>
      <c r="G1" s="232"/>
      <c r="H1" s="232"/>
      <c r="I1" s="232"/>
      <c r="J1" s="232"/>
      <c r="K1" s="23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x14ac:dyDescent="0.25">
      <c r="A2" s="133"/>
      <c r="B2" s="1"/>
      <c r="C2" s="1"/>
      <c r="D2" s="1"/>
      <c r="E2" s="1"/>
      <c r="F2" s="1"/>
      <c r="G2" s="1"/>
      <c r="H2" s="1"/>
      <c r="I2" s="1"/>
      <c r="J2" s="1"/>
      <c r="K2" s="1"/>
      <c r="L2" s="1"/>
      <c r="M2" s="233" t="s">
        <v>69</v>
      </c>
      <c r="N2" s="233"/>
      <c r="O2" s="233"/>
      <c r="P2" s="1"/>
      <c r="Q2" s="1"/>
      <c r="R2" s="1"/>
      <c r="S2" s="1"/>
      <c r="T2" s="1"/>
      <c r="U2" s="1"/>
      <c r="V2" s="1"/>
      <c r="W2" s="1"/>
      <c r="X2" s="1"/>
      <c r="Y2" s="1"/>
      <c r="Z2" s="1"/>
      <c r="AA2" s="1"/>
      <c r="AB2" s="1"/>
      <c r="AC2" s="2"/>
      <c r="AD2" s="1"/>
      <c r="AE2" s="1"/>
      <c r="AF2" s="1"/>
      <c r="AG2" s="1"/>
      <c r="AH2" s="1"/>
      <c r="AI2" s="1"/>
      <c r="AJ2" s="1"/>
      <c r="AK2" s="1"/>
      <c r="AL2" s="1"/>
      <c r="AM2" s="1"/>
      <c r="AN2" s="1"/>
      <c r="AO2" s="1"/>
      <c r="AP2" s="233" t="s">
        <v>69</v>
      </c>
      <c r="AQ2" s="233"/>
      <c r="AR2" s="233"/>
      <c r="AS2" s="1"/>
      <c r="AT2" s="1"/>
      <c r="AU2" s="1"/>
      <c r="AV2" s="2"/>
      <c r="AW2" s="1"/>
      <c r="AX2" s="1"/>
      <c r="AY2" s="1"/>
      <c r="AZ2" s="1"/>
      <c r="BA2" s="1"/>
      <c r="BB2" s="1"/>
      <c r="BC2" s="1"/>
      <c r="BD2" s="1"/>
      <c r="BE2" s="1"/>
      <c r="BF2" s="1"/>
      <c r="BG2" s="2"/>
      <c r="BH2" s="233" t="s">
        <v>69</v>
      </c>
      <c r="BI2" s="233"/>
      <c r="BJ2" s="233"/>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9" t="s">
        <v>128</v>
      </c>
    </row>
    <row r="4" spans="1:63" ht="15.75" x14ac:dyDescent="0.25">
      <c r="A4" s="130"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50"/>
    </row>
    <row r="5" spans="1:63" ht="15.75" x14ac:dyDescent="0.25">
      <c r="A5" s="8" t="s">
        <v>131</v>
      </c>
      <c r="B5" s="11" t="s">
        <v>214</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x14ac:dyDescent="0.25">
      <c r="A6" s="130"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x14ac:dyDescent="0.25">
      <c r="A7" s="130"/>
      <c r="B7" s="134"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x14ac:dyDescent="0.25">
      <c r="A8" s="130"/>
      <c r="B8" s="12" t="s">
        <v>212</v>
      </c>
      <c r="C8" s="9">
        <f>IF('Upto Month Current'!$B$4="",0,'Upto Month Current'!$B$4)</f>
        <v>504078</v>
      </c>
      <c r="D8" s="9">
        <f>IF('Upto Month Current'!$B$5="",0,'Upto Month Current'!$B$5)</f>
        <v>85088</v>
      </c>
      <c r="E8" s="9">
        <f>IF('Upto Month Current'!$B$6="",0,'Upto Month Current'!$B$6)</f>
        <v>111</v>
      </c>
      <c r="F8" s="9">
        <f>IF('Upto Month Current'!$B$7="",0,'Upto Month Current'!$B$7)</f>
        <v>51267</v>
      </c>
      <c r="G8" s="9">
        <f>IF('Upto Month Current'!$B$8="",0,'Upto Month Current'!$B$8)</f>
        <v>20564</v>
      </c>
      <c r="H8" s="9">
        <f>IF('Upto Month Current'!$B$9="",0,'Upto Month Current'!$B$9)</f>
        <v>0</v>
      </c>
      <c r="I8" s="9">
        <f>IF('Upto Month Current'!$B$10="",0,'Upto Month Current'!$B$10)</f>
        <v>0</v>
      </c>
      <c r="J8" s="9">
        <f>IF('Upto Month Current'!$B$11="",0,'Upto Month Current'!$B$11)</f>
        <v>488</v>
      </c>
      <c r="K8" s="9">
        <f>IF('Upto Month Current'!$B$12="",0,'Upto Month Current'!$B$12)</f>
        <v>0</v>
      </c>
      <c r="L8" s="9">
        <f>IF('Upto Month Current'!$B$13="",0,'Upto Month Current'!$B$13)</f>
        <v>302</v>
      </c>
      <c r="M8" s="9">
        <f>IF('Upto Month Current'!$B$14="",0,'Upto Month Current'!$B$14)</f>
        <v>685</v>
      </c>
      <c r="N8" s="9">
        <f>IF('Upto Month Current'!$B$15="",0,'Upto Month Current'!$B$15)</f>
        <v>721</v>
      </c>
      <c r="O8" s="9">
        <f>IF('Upto Month Current'!$B$16="",0,'Upto Month Current'!$B$16)</f>
        <v>1472</v>
      </c>
      <c r="P8" s="9">
        <f>IF('Upto Month Current'!$B$17="",0,'Upto Month Current'!$B$17)</f>
        <v>15090</v>
      </c>
      <c r="Q8" s="9">
        <f>IF('Upto Month Current'!$B$18="",0,'Upto Month Current'!$B$18)</f>
        <v>0</v>
      </c>
      <c r="R8" s="9">
        <f>IF('Upto Month Current'!$B$21="",0,'Upto Month Current'!$B$21)</f>
        <v>1661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1162</v>
      </c>
      <c r="Z8" s="9">
        <f>IF('Upto Month Current'!$B$43="",0,'Upto Month Current'!$B$43)</f>
        <v>228</v>
      </c>
      <c r="AA8" s="9">
        <f>IF('Upto Month Current'!$B$44="",0,'Upto Month Current'!$B$44)</f>
        <v>286</v>
      </c>
      <c r="AB8" s="9">
        <f>IF('Upto Month Current'!$B$51="",0,'Upto Month Current'!$B$51)</f>
        <v>0</v>
      </c>
      <c r="AC8" s="123">
        <f t="shared" si="0"/>
        <v>683203</v>
      </c>
      <c r="AD8" s="9">
        <f>IF('Upto Month Current'!$B$19="",0,'Upto Month Current'!$B$19)</f>
        <v>1608</v>
      </c>
      <c r="AE8" s="9">
        <f>IF('Upto Month Current'!$B$20="",0,'Upto Month Current'!$B$20)</f>
        <v>1160</v>
      </c>
      <c r="AF8" s="9">
        <f>IF('Upto Month Current'!$B$22="",0,'Upto Month Current'!$B$22)</f>
        <v>30602</v>
      </c>
      <c r="AG8" s="9">
        <f>IF('Upto Month Current'!$B$23="",0,'Upto Month Current'!$B$23)</f>
        <v>0</v>
      </c>
      <c r="AH8" s="9">
        <f>IF('Upto Month Current'!$B$24="",0,'Upto Month Current'!$B$24)</f>
        <v>0</v>
      </c>
      <c r="AI8" s="9">
        <f>IF('Upto Month Current'!$B$25="",0,'Upto Month Current'!$B$25)</f>
        <v>282</v>
      </c>
      <c r="AJ8" s="9">
        <f>IF('Upto Month Current'!$B$28="",0,'Upto Month Current'!$B$28)</f>
        <v>2326</v>
      </c>
      <c r="AK8" s="9">
        <f>IF('Upto Month Current'!$B$29="",0,'Upto Month Current'!$B$29)</f>
        <v>1801</v>
      </c>
      <c r="AL8" s="9">
        <f>IF('Upto Month Current'!$B$31="",0,'Upto Month Current'!$B$31)</f>
        <v>44</v>
      </c>
      <c r="AM8" s="9">
        <f>IF('Upto Month Current'!$B$32="",0,'Upto Month Current'!$B$32)</f>
        <v>0</v>
      </c>
      <c r="AN8" s="9">
        <f>IF('Upto Month Current'!$B$33="",0,'Upto Month Current'!$B$33)</f>
        <v>6918</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2421</v>
      </c>
      <c r="AW8" s="9">
        <f>IF('Upto Month Current'!$B$46="",0,'Upto Month Current'!$B$46)</f>
        <v>1024</v>
      </c>
      <c r="AX8" s="9">
        <f>IF('Upto Month Current'!$B$47="",0,'Upto Month Current'!$B$47)</f>
        <v>1120</v>
      </c>
      <c r="AY8" s="9">
        <f>IF('Upto Month Current'!$B$49="",0,'Upto Month Current'!$B$49)</f>
        <v>0</v>
      </c>
      <c r="AZ8" s="9">
        <f>IF('Upto Month Current'!$B$50="",0,'Upto Month Current'!$B$50)</f>
        <v>0</v>
      </c>
      <c r="BA8" s="9">
        <f>IF('Upto Month Current'!$B$52="",0,'Upto Month Current'!$B$52)</f>
        <v>0</v>
      </c>
      <c r="BB8" s="9">
        <f>IF('Upto Month Current'!$B$53="",0,'Upto Month Current'!$B$53)</f>
        <v>1271</v>
      </c>
      <c r="BC8" s="9">
        <f>IF('Upto Month Current'!$B$54="",0,'Upto Month Current'!$B$54)</f>
        <v>1271</v>
      </c>
      <c r="BD8" s="9">
        <f>IF('Upto Month Current'!$B$55="",0,'Upto Month Current'!$B$55)</f>
        <v>0</v>
      </c>
      <c r="BE8" s="9">
        <f>IF('Upto Month Current'!$B$56="",0,'Upto Month Current'!$B$56)</f>
        <v>369</v>
      </c>
      <c r="BF8" s="9">
        <f>IF('Upto Month Current'!$B$58="",0,'Upto Month Current'!$B$58)</f>
        <v>1563</v>
      </c>
      <c r="BG8" s="124">
        <f t="shared" si="2"/>
        <v>53780</v>
      </c>
      <c r="BH8" s="125">
        <f t="shared" si="3"/>
        <v>736983</v>
      </c>
      <c r="BI8" s="9">
        <f>IF('Upto Month Current'!$B$60="",0,'Upto Month Current'!$B$60)</f>
        <v>230</v>
      </c>
      <c r="BJ8" s="126">
        <f t="shared" si="1"/>
        <v>736753</v>
      </c>
      <c r="BK8">
        <f>'Upto Month Current'!$B$61</f>
        <v>738113</v>
      </c>
    </row>
    <row r="9" spans="1:63" ht="15.75" x14ac:dyDescent="0.25">
      <c r="A9" s="130"/>
      <c r="B9" s="5" t="s">
        <v>210</v>
      </c>
      <c r="C9" s="128">
        <f t="shared" ref="C9:AH9" si="6">C8/C5</f>
        <v>0.20744138424298492</v>
      </c>
      <c r="D9" s="128">
        <f t="shared" si="6"/>
        <v>0.19397520597099308</v>
      </c>
      <c r="E9" s="128">
        <f t="shared" si="6"/>
        <v>1.4458772958186792E-3</v>
      </c>
      <c r="F9" s="128">
        <f t="shared" si="6"/>
        <v>0.17700676373203331</v>
      </c>
      <c r="G9" s="128">
        <f t="shared" si="6"/>
        <v>0.19260632967115307</v>
      </c>
      <c r="H9" s="128" t="e">
        <f t="shared" si="6"/>
        <v>#DIV/0!</v>
      </c>
      <c r="I9" s="128" t="e">
        <f t="shared" si="6"/>
        <v>#DIV/0!</v>
      </c>
      <c r="J9" s="128" t="e">
        <f t="shared" si="6"/>
        <v>#DIV/0!</v>
      </c>
      <c r="K9" s="128" t="e">
        <f t="shared" si="6"/>
        <v>#DIV/0!</v>
      </c>
      <c r="L9" s="128">
        <f t="shared" si="6"/>
        <v>8.1621621621621621E-2</v>
      </c>
      <c r="M9" s="128">
        <f t="shared" si="6"/>
        <v>8.8216355441081779E-2</v>
      </c>
      <c r="N9" s="128">
        <f t="shared" si="6"/>
        <v>0.12164670153534672</v>
      </c>
      <c r="O9" s="128">
        <f t="shared" si="6"/>
        <v>0.11784484829076936</v>
      </c>
      <c r="P9" s="128">
        <f t="shared" si="6"/>
        <v>0.24043210860074568</v>
      </c>
      <c r="Q9" s="128" t="e">
        <f t="shared" si="6"/>
        <v>#DIV/0!</v>
      </c>
      <c r="R9" s="128">
        <f t="shared" si="6"/>
        <v>0.1472126207568909</v>
      </c>
      <c r="S9" s="128" t="e">
        <f t="shared" si="6"/>
        <v>#DIV/0!</v>
      </c>
      <c r="T9" s="128" t="e">
        <f t="shared" si="6"/>
        <v>#DIV/0!</v>
      </c>
      <c r="U9" s="128" t="e">
        <f t="shared" si="6"/>
        <v>#DIV/0!</v>
      </c>
      <c r="V9" s="128" t="e">
        <f t="shared" si="6"/>
        <v>#DIV/0!</v>
      </c>
      <c r="W9" s="128">
        <f t="shared" si="6"/>
        <v>0</v>
      </c>
      <c r="X9" s="128">
        <f t="shared" si="6"/>
        <v>0</v>
      </c>
      <c r="Y9" s="128">
        <f t="shared" si="6"/>
        <v>2.1924528301886794</v>
      </c>
      <c r="Z9" s="128" t="e">
        <f t="shared" si="6"/>
        <v>#DIV/0!</v>
      </c>
      <c r="AA9" s="128" t="e">
        <f t="shared" si="6"/>
        <v>#DIV/0!</v>
      </c>
      <c r="AB9" s="128" t="e">
        <f t="shared" si="6"/>
        <v>#DIV/0!</v>
      </c>
      <c r="AC9" s="128">
        <f t="shared" si="6"/>
        <v>0.19819162539626548</v>
      </c>
      <c r="AD9" s="128">
        <f t="shared" si="6"/>
        <v>1.9967218000298017E-2</v>
      </c>
      <c r="AE9" s="128">
        <f t="shared" si="6"/>
        <v>5.0373458398471425E-2</v>
      </c>
      <c r="AF9" s="128">
        <f t="shared" si="6"/>
        <v>2.5991166978087312</v>
      </c>
      <c r="AG9" s="128" t="e">
        <f t="shared" si="6"/>
        <v>#DIV/0!</v>
      </c>
      <c r="AH9" s="128">
        <f t="shared" si="6"/>
        <v>0</v>
      </c>
      <c r="AI9" s="128">
        <f t="shared" ref="AI9:BJ9" si="7">AI8/AI5</f>
        <v>1.175</v>
      </c>
      <c r="AJ9" s="128">
        <f t="shared" si="7"/>
        <v>0.2483981204613413</v>
      </c>
      <c r="AK9" s="128">
        <f t="shared" si="7"/>
        <v>0.10100953449242848</v>
      </c>
      <c r="AL9" s="128">
        <f t="shared" si="7"/>
        <v>4.1706161137440759E-2</v>
      </c>
      <c r="AM9" s="128">
        <f t="shared" si="7"/>
        <v>0</v>
      </c>
      <c r="AN9" s="128">
        <f t="shared" si="7"/>
        <v>8.6849538635365015E-2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0.20551782682512734</v>
      </c>
      <c r="AW9" s="128">
        <f t="shared" si="7"/>
        <v>9.8112484430391875E-2</v>
      </c>
      <c r="AX9" s="128">
        <f t="shared" si="7"/>
        <v>0.54928886709171165</v>
      </c>
      <c r="AY9" s="128" t="e">
        <f t="shared" si="7"/>
        <v>#DIV/0!</v>
      </c>
      <c r="AZ9" s="128" t="e">
        <f t="shared" si="7"/>
        <v>#DIV/0!</v>
      </c>
      <c r="BA9" s="128" t="e">
        <f t="shared" si="7"/>
        <v>#DIV/0!</v>
      </c>
      <c r="BB9" s="128">
        <f t="shared" si="7"/>
        <v>0.6710665258711721</v>
      </c>
      <c r="BC9" s="128">
        <f t="shared" si="7"/>
        <v>0.64550533265617061</v>
      </c>
      <c r="BD9" s="128">
        <f t="shared" si="7"/>
        <v>0</v>
      </c>
      <c r="BE9" s="128">
        <f t="shared" si="7"/>
        <v>0.49069148936170215</v>
      </c>
      <c r="BF9" s="128">
        <f t="shared" si="7"/>
        <v>1.914057238026427E-2</v>
      </c>
      <c r="BG9" s="128">
        <f t="shared" si="7"/>
        <v>0.16085999377856477</v>
      </c>
      <c r="BH9" s="128">
        <f t="shared" si="7"/>
        <v>0.19489109118257458</v>
      </c>
      <c r="BI9" s="128">
        <f t="shared" si="7"/>
        <v>1.2423702263274456E-2</v>
      </c>
      <c r="BJ9" s="128">
        <f t="shared" si="7"/>
        <v>0.19578878442433814</v>
      </c>
    </row>
    <row r="10" spans="1:63" ht="15.75" x14ac:dyDescent="0.2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x14ac:dyDescent="0.25">
      <c r="A11" s="15" t="s">
        <v>136</v>
      </c>
      <c r="B11" s="11" t="s">
        <v>214</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x14ac:dyDescent="0.25">
      <c r="A12" s="130"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x14ac:dyDescent="0.2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x14ac:dyDescent="0.25">
      <c r="A14" s="130"/>
      <c r="B14" s="12" t="s">
        <v>212</v>
      </c>
      <c r="C14" s="9">
        <f>IF('Upto Month Current'!$C$4="",0,'Upto Month Current'!$C$4)</f>
        <v>808154</v>
      </c>
      <c r="D14" s="9">
        <f>IF('Upto Month Current'!$C$5="",0,'Upto Month Current'!$C$5)</f>
        <v>128302</v>
      </c>
      <c r="E14" s="9">
        <f>IF('Upto Month Current'!$C$6="",0,'Upto Month Current'!$C$6)</f>
        <v>506</v>
      </c>
      <c r="F14" s="9">
        <f>IF('Upto Month Current'!$C$7="",0,'Upto Month Current'!$C$7)</f>
        <v>58664</v>
      </c>
      <c r="G14" s="9">
        <f>IF('Upto Month Current'!$C$8="",0,'Upto Month Current'!$C$8)</f>
        <v>43599</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11127</v>
      </c>
      <c r="M14" s="9">
        <f>IF('Upto Month Current'!$C$14="",0,'Upto Month Current'!$C$14)</f>
        <v>85825</v>
      </c>
      <c r="N14" s="9">
        <f>IF('Upto Month Current'!$C$15="",0,'Upto Month Current'!$C$15)</f>
        <v>26</v>
      </c>
      <c r="O14" s="9">
        <f>IF('Upto Month Current'!$C$16="",0,'Upto Month Current'!$C$16)</f>
        <v>721</v>
      </c>
      <c r="P14" s="9">
        <f>IF('Upto Month Current'!$C$17="",0,'Upto Month Current'!$C$17)</f>
        <v>59291</v>
      </c>
      <c r="Q14" s="9">
        <f>IF('Upto Month Current'!$C$18="",0,'Upto Month Current'!$C$18)</f>
        <v>0</v>
      </c>
      <c r="R14" s="9">
        <f>IF('Upto Month Current'!$C$21="",0,'Upto Month Current'!$C$21)</f>
        <v>1136</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8659</v>
      </c>
      <c r="Z14" s="9">
        <f>IF('Upto Month Current'!$C$43="",0,'Upto Month Current'!$C$43)</f>
        <v>681</v>
      </c>
      <c r="AA14" s="9">
        <f>IF('Upto Month Current'!$C$44="",0,'Upto Month Current'!$C$44)</f>
        <v>519</v>
      </c>
      <c r="AB14" s="9">
        <f>IF('Upto Month Current'!$C$51="",0,'Upto Month Current'!$C$51)</f>
        <v>0</v>
      </c>
      <c r="AC14" s="123">
        <f t="shared" si="8"/>
        <v>1207210</v>
      </c>
      <c r="AD14" s="9">
        <f>IF('Upto Month Current'!$C$19="",0,'Upto Month Current'!$C$19)</f>
        <v>329</v>
      </c>
      <c r="AE14" s="9">
        <f>IF('Upto Month Current'!$C$20="",0,'Upto Month Current'!$C$20)</f>
        <v>144</v>
      </c>
      <c r="AF14" s="9">
        <f>IF('Upto Month Current'!$C$22="",0,'Upto Month Current'!$C$22)</f>
        <v>11291</v>
      </c>
      <c r="AG14" s="9">
        <f>IF('Upto Month Current'!$C$23="",0,'Upto Month Current'!$C$23)</f>
        <v>0</v>
      </c>
      <c r="AH14" s="9">
        <f>IF('Upto Month Current'!$C$24="",0,'Upto Month Current'!$C$24)</f>
        <v>0</v>
      </c>
      <c r="AI14" s="9">
        <f>IF('Upto Month Current'!$C$25="",0,'Upto Month Current'!$C$25)</f>
        <v>34</v>
      </c>
      <c r="AJ14" s="9">
        <f>IF('Upto Month Current'!$C$28="",0,'Upto Month Current'!$C$28)</f>
        <v>35139</v>
      </c>
      <c r="AK14" s="9">
        <f>IF('Upto Month Current'!$C$29="",0,'Upto Month Current'!$C$29)</f>
        <v>26806</v>
      </c>
      <c r="AL14" s="9">
        <f>IF('Upto Month Current'!$C$31="",0,'Upto Month Current'!$C$31)</f>
        <v>0</v>
      </c>
      <c r="AM14" s="9">
        <f>IF('Upto Month Current'!$C$32="",0,'Upto Month Current'!$C$32)</f>
        <v>25689</v>
      </c>
      <c r="AN14" s="9">
        <f>IF('Upto Month Current'!$C$33="",0,'Upto Month Current'!$C$33)</f>
        <v>127186</v>
      </c>
      <c r="AO14" s="9">
        <f>IF('Upto Month Current'!$C$34="",0,'Upto Month Current'!$C$34)</f>
        <v>14419</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62</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5146</v>
      </c>
      <c r="BC14" s="9">
        <f>IF('Upto Month Current'!$C$54="",0,'Upto Month Current'!$C$54)</f>
        <v>5146</v>
      </c>
      <c r="BD14" s="9">
        <f>IF('Upto Month Current'!$C$55="",0,'Upto Month Current'!$C$55)</f>
        <v>0</v>
      </c>
      <c r="BE14" s="9">
        <f>IF('Upto Month Current'!$C$56="",0,'Upto Month Current'!$C$56)</f>
        <v>1742</v>
      </c>
      <c r="BF14" s="9">
        <f>IF('Upto Month Current'!$C$58="",0,'Upto Month Current'!$C$58)</f>
        <v>0</v>
      </c>
      <c r="BG14" s="124">
        <f t="shared" si="10"/>
        <v>253133</v>
      </c>
      <c r="BH14" s="125">
        <f t="shared" si="11"/>
        <v>1460343</v>
      </c>
      <c r="BI14" s="9">
        <f>IF('Upto Month Current'!$C$60="",0,'Upto Month Current'!$C$60)</f>
        <v>0</v>
      </c>
      <c r="BJ14" s="126">
        <f t="shared" si="9"/>
        <v>1460343</v>
      </c>
      <c r="BK14">
        <f>'Upto Month Current'!$C$61</f>
        <v>1460346</v>
      </c>
    </row>
    <row r="15" spans="1:63" ht="15.75" x14ac:dyDescent="0.25">
      <c r="A15" s="130"/>
      <c r="B15" s="5" t="s">
        <v>210</v>
      </c>
      <c r="C15" s="128">
        <f t="shared" ref="C15:AH15" si="14">C14/C11</f>
        <v>0.17341028307267381</v>
      </c>
      <c r="D15" s="128">
        <f t="shared" si="14"/>
        <v>0.17382763016885269</v>
      </c>
      <c r="E15" s="128">
        <f t="shared" si="14"/>
        <v>1.826220337453758E-3</v>
      </c>
      <c r="F15" s="128">
        <f t="shared" si="14"/>
        <v>0.17203468611528999</v>
      </c>
      <c r="G15" s="128">
        <f t="shared" si="14"/>
        <v>0.17147543046826452</v>
      </c>
      <c r="H15" s="128" t="e">
        <f t="shared" si="14"/>
        <v>#DIV/0!</v>
      </c>
      <c r="I15" s="128" t="e">
        <f t="shared" si="14"/>
        <v>#DIV/0!</v>
      </c>
      <c r="J15" s="128" t="e">
        <f t="shared" si="14"/>
        <v>#DIV/0!</v>
      </c>
      <c r="K15" s="128" t="e">
        <f t="shared" si="14"/>
        <v>#DIV/0!</v>
      </c>
      <c r="L15" s="128">
        <f t="shared" si="14"/>
        <v>0.21327532009507016</v>
      </c>
      <c r="M15" s="128">
        <f t="shared" si="14"/>
        <v>0.27816580723992751</v>
      </c>
      <c r="N15" s="128">
        <f t="shared" si="14"/>
        <v>9.8484848484848481E-2</v>
      </c>
      <c r="O15" s="128">
        <f t="shared" si="14"/>
        <v>8.0379041248606467E-2</v>
      </c>
      <c r="P15" s="128">
        <f t="shared" si="14"/>
        <v>0.24581369220117494</v>
      </c>
      <c r="Q15" s="128" t="e">
        <f t="shared" si="14"/>
        <v>#DIV/0!</v>
      </c>
      <c r="R15" s="128">
        <f t="shared" si="14"/>
        <v>0.25334522747546834</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0.17530291125015121</v>
      </c>
      <c r="AD15" s="128">
        <f t="shared" si="14"/>
        <v>3.3823378225557726E-2</v>
      </c>
      <c r="AE15" s="128">
        <f t="shared" si="14"/>
        <v>2.88</v>
      </c>
      <c r="AF15" s="128">
        <f t="shared" si="14"/>
        <v>0.37656750266808964</v>
      </c>
      <c r="AG15" s="128" t="e">
        <f t="shared" si="14"/>
        <v>#DIV/0!</v>
      </c>
      <c r="AH15" s="128" t="e">
        <f t="shared" si="14"/>
        <v>#DIV/0!</v>
      </c>
      <c r="AI15" s="128" t="e">
        <f t="shared" ref="AI15:BJ15" si="15">AI14/AI11</f>
        <v>#DIV/0!</v>
      </c>
      <c r="AJ15" s="128">
        <f t="shared" si="15"/>
        <v>0.16645034768933437</v>
      </c>
      <c r="AK15" s="128">
        <f t="shared" si="15"/>
        <v>7.7506469474201617E-2</v>
      </c>
      <c r="AL15" s="128" t="e">
        <f t="shared" si="15"/>
        <v>#DIV/0!</v>
      </c>
      <c r="AM15" s="128">
        <f t="shared" si="15"/>
        <v>0.7474903250210958</v>
      </c>
      <c r="AN15" s="128">
        <f t="shared" si="15"/>
        <v>0.14204330340639912</v>
      </c>
      <c r="AO15" s="128">
        <f t="shared" si="15"/>
        <v>-0.20437407869372945</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0.15577889447236182</v>
      </c>
      <c r="AX15" s="128">
        <f t="shared" si="15"/>
        <v>0</v>
      </c>
      <c r="AY15" s="128" t="e">
        <f t="shared" si="15"/>
        <v>#DIV/0!</v>
      </c>
      <c r="AZ15" s="128" t="e">
        <f t="shared" si="15"/>
        <v>#DIV/0!</v>
      </c>
      <c r="BA15" s="128" t="e">
        <f t="shared" si="15"/>
        <v>#DIV/0!</v>
      </c>
      <c r="BB15" s="128">
        <f t="shared" si="15"/>
        <v>0.21176954732510289</v>
      </c>
      <c r="BC15" s="128">
        <f t="shared" si="15"/>
        <v>0.21178697835212776</v>
      </c>
      <c r="BD15" s="128" t="e">
        <f t="shared" si="15"/>
        <v>#DIV/0!</v>
      </c>
      <c r="BE15" s="128">
        <f t="shared" si="15"/>
        <v>0.17242403246560428</v>
      </c>
      <c r="BF15" s="128">
        <f t="shared" si="15"/>
        <v>0</v>
      </c>
      <c r="BG15" s="128">
        <f t="shared" si="15"/>
        <v>0.16376084588173492</v>
      </c>
      <c r="BH15" s="128">
        <f t="shared" si="15"/>
        <v>0.17318707127737329</v>
      </c>
      <c r="BI15" s="128">
        <f t="shared" si="15"/>
        <v>0</v>
      </c>
      <c r="BJ15" s="128">
        <f t="shared" si="15"/>
        <v>0.1745107557026519</v>
      </c>
    </row>
    <row r="16" spans="1:63" ht="15.75" x14ac:dyDescent="0.2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x14ac:dyDescent="0.25">
      <c r="A17" s="15" t="s">
        <v>137</v>
      </c>
      <c r="B17" s="11" t="s">
        <v>214</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x14ac:dyDescent="0.25">
      <c r="A18" s="130"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x14ac:dyDescent="0.25">
      <c r="A19" s="130"/>
      <c r="B19" s="134"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x14ac:dyDescent="0.25">
      <c r="A20" s="130"/>
      <c r="B20" s="12" t="s">
        <v>212</v>
      </c>
      <c r="C20" s="9">
        <f>IF('Upto Month Current'!$D$4="",0,'Upto Month Current'!$D$4)</f>
        <v>167393</v>
      </c>
      <c r="D20" s="9">
        <f>IF('Upto Month Current'!$D$5="",0,'Upto Month Current'!$D$5)</f>
        <v>28014</v>
      </c>
      <c r="E20" s="9">
        <f>IF('Upto Month Current'!$D$6="",0,'Upto Month Current'!$D$6)</f>
        <v>16</v>
      </c>
      <c r="F20" s="9">
        <f>IF('Upto Month Current'!$D$7="",0,'Upto Month Current'!$D$7)</f>
        <v>18503</v>
      </c>
      <c r="G20" s="9">
        <f>IF('Upto Month Current'!$D$8="",0,'Upto Month Current'!$D$8)</f>
        <v>11988</v>
      </c>
      <c r="H20" s="9">
        <f>IF('Upto Month Current'!$D$9="",0,'Upto Month Current'!$D$9)</f>
        <v>0</v>
      </c>
      <c r="I20" s="9">
        <f>IF('Upto Month Current'!$D$10="",0,'Upto Month Current'!$D$10)</f>
        <v>0</v>
      </c>
      <c r="J20" s="9">
        <f>IF('Upto Month Current'!$D$11="",0,'Upto Month Current'!$D$11)</f>
        <v>0</v>
      </c>
      <c r="K20" s="9">
        <f>IF('Upto Month Current'!$D$12="",0,'Upto Month Current'!$D$12)</f>
        <v>313</v>
      </c>
      <c r="L20" s="9">
        <f>IF('Upto Month Current'!$D$13="",0,'Upto Month Current'!$D$13)</f>
        <v>929</v>
      </c>
      <c r="M20" s="9">
        <f>IF('Upto Month Current'!$D$14="",0,'Upto Month Current'!$D$14)</f>
        <v>779</v>
      </c>
      <c r="N20" s="9">
        <f>IF('Upto Month Current'!$D$15="",0,'Upto Month Current'!$D$15)</f>
        <v>16</v>
      </c>
      <c r="O20" s="9">
        <f>IF('Upto Month Current'!$D$16="",0,'Upto Month Current'!$D$16)</f>
        <v>137</v>
      </c>
      <c r="P20" s="9">
        <f>IF('Upto Month Current'!$D$17="",0,'Upto Month Current'!$D$17)</f>
        <v>1935</v>
      </c>
      <c r="Q20" s="9">
        <f>IF('Upto Month Current'!$D$18="",0,'Upto Month Current'!$D$18)</f>
        <v>0</v>
      </c>
      <c r="R20" s="9">
        <f>IF('Upto Month Current'!$D$21="",0,'Upto Month Current'!$D$21)</f>
        <v>193</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251</v>
      </c>
      <c r="Z20" s="9">
        <f>IF('Upto Month Current'!$D$43="",0,'Upto Month Current'!$D$43)</f>
        <v>23</v>
      </c>
      <c r="AA20" s="9">
        <f>IF('Upto Month Current'!$D$44="",0,'Upto Month Current'!$D$44)</f>
        <v>2</v>
      </c>
      <c r="AB20" s="9">
        <f>IF('Upto Month Current'!$D$51="",0,'Upto Month Current'!$D$51)</f>
        <v>7268</v>
      </c>
      <c r="AC20" s="123">
        <f t="shared" si="16"/>
        <v>237760</v>
      </c>
      <c r="AD20" s="9">
        <f>IF('Upto Month Current'!$D$19="",0,'Upto Month Current'!$D$19)</f>
        <v>154</v>
      </c>
      <c r="AE20" s="9">
        <f>IF('Upto Month Current'!$D$20="",0,'Upto Month Current'!$D$20)</f>
        <v>121</v>
      </c>
      <c r="AF20" s="9">
        <f>IF('Upto Month Current'!$D$22="",0,'Upto Month Current'!$D$22)</f>
        <v>0</v>
      </c>
      <c r="AG20" s="9">
        <f>IF('Upto Month Current'!$D$23="",0,'Upto Month Current'!$D$23)</f>
        <v>0</v>
      </c>
      <c r="AH20" s="9">
        <f>IF('Upto Month Current'!$D$24="",0,'Upto Month Current'!$D$24)</f>
        <v>0</v>
      </c>
      <c r="AI20" s="9">
        <f>IF('Upto Month Current'!$D$25="",0,'Upto Month Current'!$D$25)</f>
        <v>9</v>
      </c>
      <c r="AJ20" s="9">
        <f>IF('Upto Month Current'!$D$28="",0,'Upto Month Current'!$D$28)</f>
        <v>125026</v>
      </c>
      <c r="AK20" s="9">
        <f>IF('Upto Month Current'!$D$29="",0,'Upto Month Current'!$D$29)</f>
        <v>4335</v>
      </c>
      <c r="AL20" s="9">
        <f>IF('Upto Month Current'!$D$31="",0,'Upto Month Current'!$D$31)</f>
        <v>0</v>
      </c>
      <c r="AM20" s="9">
        <f>IF('Upto Month Current'!$D$32="",0,'Upto Month Current'!$D$32)</f>
        <v>30</v>
      </c>
      <c r="AN20" s="9">
        <f>IF('Upto Month Current'!$D$33="",0,'Upto Month Current'!$D$33)</f>
        <v>3069</v>
      </c>
      <c r="AO20" s="9">
        <f>IF('Upto Month Current'!$D$34="",0,'Upto Month Current'!$D$34)</f>
        <v>10588</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21505</v>
      </c>
      <c r="BB20" s="9">
        <f>IF('Upto Month Current'!$D$53="",0,'Upto Month Current'!$D$53)</f>
        <v>178</v>
      </c>
      <c r="BC20" s="9">
        <f>IF('Upto Month Current'!$D$54="",0,'Upto Month Current'!$D$54)</f>
        <v>178</v>
      </c>
      <c r="BD20" s="9">
        <f>IF('Upto Month Current'!$D$55="",0,'Upto Month Current'!$D$55)</f>
        <v>0</v>
      </c>
      <c r="BE20" s="9">
        <f>IF('Upto Month Current'!$D$56="",0,'Upto Month Current'!$D$56)</f>
        <v>331</v>
      </c>
      <c r="BF20" s="9">
        <f>IF('Upto Month Current'!$D$58="",0,'Upto Month Current'!$D$58)</f>
        <v>8</v>
      </c>
      <c r="BG20" s="124">
        <f t="shared" si="18"/>
        <v>165532</v>
      </c>
      <c r="BH20" s="125">
        <f t="shared" si="19"/>
        <v>403292</v>
      </c>
      <c r="BI20" s="9">
        <f>IF('Upto Month Current'!$D$60="",0,'Upto Month Current'!$D$60)</f>
        <v>0</v>
      </c>
      <c r="BJ20" s="126">
        <f t="shared" si="17"/>
        <v>403292</v>
      </c>
      <c r="BK20">
        <f>'Upto Month Current'!$D$61</f>
        <v>403291</v>
      </c>
    </row>
    <row r="21" spans="1:63" ht="15.75" x14ac:dyDescent="0.25">
      <c r="A21" s="130"/>
      <c r="B21" s="5" t="s">
        <v>210</v>
      </c>
      <c r="C21" s="128">
        <f t="shared" ref="C21:AH21" si="22">C20/C17</f>
        <v>0.2116830135614311</v>
      </c>
      <c r="D21" s="128">
        <f t="shared" si="22"/>
        <v>0.17508312292192696</v>
      </c>
      <c r="E21" s="128">
        <f t="shared" si="22"/>
        <v>3.5803795202291446E-4</v>
      </c>
      <c r="F21" s="128">
        <f t="shared" si="22"/>
        <v>0.19592126301076862</v>
      </c>
      <c r="G21" s="128">
        <f t="shared" si="22"/>
        <v>0.17369633568541085</v>
      </c>
      <c r="H21" s="128" t="e">
        <f t="shared" si="22"/>
        <v>#DIV/0!</v>
      </c>
      <c r="I21" s="128" t="e">
        <f t="shared" si="22"/>
        <v>#DIV/0!</v>
      </c>
      <c r="J21" s="128" t="e">
        <f t="shared" si="22"/>
        <v>#DIV/0!</v>
      </c>
      <c r="K21" s="128">
        <f t="shared" si="22"/>
        <v>0.3854679802955665</v>
      </c>
      <c r="L21" s="128">
        <f t="shared" si="22"/>
        <v>0.12325859095130688</v>
      </c>
      <c r="M21" s="128">
        <f t="shared" si="22"/>
        <v>0.11606078665077472</v>
      </c>
      <c r="N21" s="128">
        <f t="shared" si="22"/>
        <v>1.0666666666666667</v>
      </c>
      <c r="O21" s="128">
        <f t="shared" si="22"/>
        <v>0.05</v>
      </c>
      <c r="P21" s="128">
        <f t="shared" si="22"/>
        <v>0.15619954794962868</v>
      </c>
      <c r="Q21" s="128" t="e">
        <f t="shared" si="22"/>
        <v>#DIV/0!</v>
      </c>
      <c r="R21" s="128">
        <f t="shared" si="22"/>
        <v>0.13102511880515955</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2.3569700546759977E-2</v>
      </c>
      <c r="AC21" s="128">
        <f t="shared" si="22"/>
        <v>0.15789277953981587</v>
      </c>
      <c r="AD21" s="128">
        <f t="shared" si="22"/>
        <v>0.23192771084337349</v>
      </c>
      <c r="AE21" s="128" t="e">
        <f t="shared" si="22"/>
        <v>#DIV/0!</v>
      </c>
      <c r="AF21" s="128">
        <f t="shared" si="22"/>
        <v>0</v>
      </c>
      <c r="AG21" s="128" t="e">
        <f t="shared" si="22"/>
        <v>#DIV/0!</v>
      </c>
      <c r="AH21" s="128" t="e">
        <f t="shared" si="22"/>
        <v>#DIV/0!</v>
      </c>
      <c r="AI21" s="128" t="e">
        <f t="shared" ref="AI21:BJ21" si="23">AI20/AI17</f>
        <v>#DIV/0!</v>
      </c>
      <c r="AJ21" s="128">
        <f t="shared" si="23"/>
        <v>0.37207904291411226</v>
      </c>
      <c r="AK21" s="128">
        <f t="shared" si="23"/>
        <v>4.421574427286265E-2</v>
      </c>
      <c r="AL21" s="128" t="e">
        <f t="shared" si="23"/>
        <v>#DIV/0!</v>
      </c>
      <c r="AM21" s="128" t="e">
        <f t="shared" si="23"/>
        <v>#DIV/0!</v>
      </c>
      <c r="AN21" s="128">
        <f t="shared" si="23"/>
        <v>2.9577586954636133E-2</v>
      </c>
      <c r="AO21" s="128">
        <f t="shared" si="23"/>
        <v>0.10254522914810367</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v>
      </c>
      <c r="AY21" s="128" t="e">
        <f t="shared" si="23"/>
        <v>#DIV/0!</v>
      </c>
      <c r="AZ21" s="128" t="e">
        <f t="shared" si="23"/>
        <v>#DIV/0!</v>
      </c>
      <c r="BA21" s="128">
        <f t="shared" si="23"/>
        <v>9.3153711204002509E-2</v>
      </c>
      <c r="BB21" s="128">
        <f t="shared" si="23"/>
        <v>6.9153069153069152E-2</v>
      </c>
      <c r="BC21" s="128">
        <f t="shared" si="23"/>
        <v>6.9153069153069152E-2</v>
      </c>
      <c r="BD21" s="128" t="e">
        <f t="shared" si="23"/>
        <v>#DIV/0!</v>
      </c>
      <c r="BE21" s="128">
        <f t="shared" si="23"/>
        <v>8.9314624932541831E-2</v>
      </c>
      <c r="BF21" s="128">
        <f t="shared" si="23"/>
        <v>8.8790233074361822E-3</v>
      </c>
      <c r="BG21" s="128">
        <f t="shared" si="23"/>
        <v>0.18748541747366085</v>
      </c>
      <c r="BH21" s="128">
        <f t="shared" si="23"/>
        <v>0.16883057078675015</v>
      </c>
      <c r="BI21" s="128">
        <f t="shared" si="23"/>
        <v>0</v>
      </c>
      <c r="BJ21" s="128">
        <f t="shared" si="23"/>
        <v>0.17402854072900978</v>
      </c>
    </row>
    <row r="22" spans="1:63" ht="15.75" x14ac:dyDescent="0.2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x14ac:dyDescent="0.25">
      <c r="A23" s="15" t="s">
        <v>138</v>
      </c>
      <c r="B23" s="11" t="s">
        <v>214</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x14ac:dyDescent="0.25">
      <c r="A24" s="130"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x14ac:dyDescent="0.2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x14ac:dyDescent="0.25">
      <c r="A26" s="130"/>
      <c r="B26" s="12" t="s">
        <v>212</v>
      </c>
      <c r="C26" s="9">
        <f>IF('Upto Month Current'!$E$4="",0,'Upto Month Current'!$E$4)</f>
        <v>277939</v>
      </c>
      <c r="D26" s="9">
        <f>IF('Upto Month Current'!$E$5="",0,'Upto Month Current'!$E$5)</f>
        <v>46658</v>
      </c>
      <c r="E26" s="9">
        <f>IF('Upto Month Current'!$E$6="",0,'Upto Month Current'!$E$6)</f>
        <v>127</v>
      </c>
      <c r="F26" s="9">
        <f>IF('Upto Month Current'!$E$7="",0,'Upto Month Current'!$E$7)</f>
        <v>30968</v>
      </c>
      <c r="G26" s="9">
        <f>IF('Upto Month Current'!$E$8="",0,'Upto Month Current'!$E$8)</f>
        <v>15682</v>
      </c>
      <c r="H26" s="9">
        <f>IF('Upto Month Current'!$E$9="",0,'Upto Month Current'!$E$9)</f>
        <v>0</v>
      </c>
      <c r="I26" s="9">
        <f>IF('Upto Month Current'!$E$10="",0,'Upto Month Current'!$E$10)</f>
        <v>0</v>
      </c>
      <c r="J26" s="9">
        <f>IF('Upto Month Current'!$E$11="",0,'Upto Month Current'!$E$11)</f>
        <v>0</v>
      </c>
      <c r="K26" s="9">
        <f>IF('Upto Month Current'!$E$12="",0,'Upto Month Current'!$E$12)</f>
        <v>36</v>
      </c>
      <c r="L26" s="9">
        <f>IF('Upto Month Current'!$E$13="",0,'Upto Month Current'!$E$13)</f>
        <v>3165</v>
      </c>
      <c r="M26" s="9">
        <f>IF('Upto Month Current'!$E$14="",0,'Upto Month Current'!$E$14)</f>
        <v>2635</v>
      </c>
      <c r="N26" s="9">
        <f>IF('Upto Month Current'!$E$15="",0,'Upto Month Current'!$E$15)</f>
        <v>4</v>
      </c>
      <c r="O26" s="9">
        <f>IF('Upto Month Current'!$E$16="",0,'Upto Month Current'!$E$16)</f>
        <v>168</v>
      </c>
      <c r="P26" s="9">
        <f>IF('Upto Month Current'!$E$17="",0,'Upto Month Current'!$E$17)</f>
        <v>6432</v>
      </c>
      <c r="Q26" s="9">
        <f>IF('Upto Month Current'!$E$18="",0,'Upto Month Current'!$E$18)</f>
        <v>0</v>
      </c>
      <c r="R26" s="9">
        <f>IF('Upto Month Current'!$E$21="",0,'Upto Month Current'!$E$21)</f>
        <v>496</v>
      </c>
      <c r="S26" s="9">
        <f>IF('Upto Month Current'!$E$26="",0,'Upto Month Current'!$E$26)</f>
        <v>0</v>
      </c>
      <c r="T26" s="9">
        <f>IF('Upto Month Current'!$E$27="",0,'Upto Month Current'!$E$27)</f>
        <v>0</v>
      </c>
      <c r="U26" s="9">
        <f>IF('Upto Month Current'!$E$30="",0,'Upto Month Current'!$E$30)</f>
        <v>0</v>
      </c>
      <c r="V26" s="9">
        <f>IF('Upto Month Current'!$E$35="",0,'Upto Month Current'!$E$35)</f>
        <v>54836</v>
      </c>
      <c r="W26" s="9">
        <f>IF('Upto Month Current'!$E$39="",0,'Upto Month Current'!$E$39)</f>
        <v>0</v>
      </c>
      <c r="X26" s="9">
        <f>IF('Upto Month Current'!$E$40="",0,'Upto Month Current'!$E$40)</f>
        <v>0</v>
      </c>
      <c r="Y26" s="9">
        <f>IF('Upto Month Current'!$E$42="",0,'Upto Month Current'!$E$42)</f>
        <v>1794</v>
      </c>
      <c r="Z26" s="9">
        <f>IF('Upto Month Current'!$E$43="",0,'Upto Month Current'!$E$43)</f>
        <v>166</v>
      </c>
      <c r="AA26" s="9">
        <f>IF('Upto Month Current'!$E$44="",0,'Upto Month Current'!$E$44)</f>
        <v>241</v>
      </c>
      <c r="AB26" s="9">
        <f>IF('Upto Month Current'!$E$51="",0,'Upto Month Current'!$E$51)</f>
        <v>216856</v>
      </c>
      <c r="AC26" s="123">
        <f t="shared" si="24"/>
        <v>658203</v>
      </c>
      <c r="AD26" s="9">
        <f>IF('Upto Month Current'!$E$19="",0,'Upto Month Current'!$E$19)</f>
        <v>26</v>
      </c>
      <c r="AE26" s="9">
        <f>IF('Upto Month Current'!$E$20="",0,'Upto Month Current'!$E$20)</f>
        <v>16</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53220</v>
      </c>
      <c r="AK26" s="9">
        <f>IF('Upto Month Current'!$E$29="",0,'Upto Month Current'!$E$29)</f>
        <v>826</v>
      </c>
      <c r="AL26" s="9">
        <f>IF('Upto Month Current'!$E$31="",0,'Upto Month Current'!$E$31)</f>
        <v>18</v>
      </c>
      <c r="AM26" s="9">
        <f>IF('Upto Month Current'!$E$32="",0,'Upto Month Current'!$E$32)</f>
        <v>0</v>
      </c>
      <c r="AN26" s="9">
        <f>IF('Upto Month Current'!$E$33="",0,'Upto Month Current'!$E$33)</f>
        <v>17201</v>
      </c>
      <c r="AO26" s="9">
        <f>IF('Upto Month Current'!$E$34="",0,'Upto Month Current'!$E$34)</f>
        <v>18723</v>
      </c>
      <c r="AP26" s="9">
        <f>IF('Upto Month Current'!$E$36="",0,'Upto Month Current'!$E$36)</f>
        <v>51625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129</v>
      </c>
      <c r="AY26" s="9">
        <f>IF('Upto Month Current'!$E$49="",0,'Upto Month Current'!$E$49)</f>
        <v>0</v>
      </c>
      <c r="AZ26" s="9">
        <f>IF('Upto Month Current'!$E$50="",0,'Upto Month Current'!$E$50)</f>
        <v>0</v>
      </c>
      <c r="BA26" s="9">
        <f>IF('Upto Month Current'!$E$52="",0,'Upto Month Current'!$E$52)</f>
        <v>177846</v>
      </c>
      <c r="BB26" s="9">
        <f>IF('Upto Month Current'!$E$53="",0,'Upto Month Current'!$E$53)</f>
        <v>631</v>
      </c>
      <c r="BC26" s="9">
        <f>IF('Upto Month Current'!$E$54="",0,'Upto Month Current'!$E$54)</f>
        <v>631</v>
      </c>
      <c r="BD26" s="9">
        <f>IF('Upto Month Current'!$E$55="",0,'Upto Month Current'!$E$55)</f>
        <v>0</v>
      </c>
      <c r="BE26" s="9">
        <f>IF('Upto Month Current'!$E$56="",0,'Upto Month Current'!$E$56)</f>
        <v>1320</v>
      </c>
      <c r="BF26" s="9">
        <f>IF('Upto Month Current'!$E$58="",0,'Upto Month Current'!$E$58)</f>
        <v>-14</v>
      </c>
      <c r="BG26" s="124">
        <f t="shared" si="26"/>
        <v>322198</v>
      </c>
      <c r="BH26" s="125">
        <f t="shared" si="27"/>
        <v>980401</v>
      </c>
      <c r="BI26" s="9">
        <f>IF('Upto Month Current'!$E$60="",0,'Upto Month Current'!$E$60)</f>
        <v>0</v>
      </c>
      <c r="BJ26" s="126">
        <f t="shared" si="25"/>
        <v>980401</v>
      </c>
      <c r="BK26">
        <f>'Upto Month Current'!$E$61</f>
        <v>980452</v>
      </c>
    </row>
    <row r="27" spans="1:63" ht="15.75" x14ac:dyDescent="0.25">
      <c r="A27" s="130"/>
      <c r="B27" s="5" t="s">
        <v>210</v>
      </c>
      <c r="C27" s="128">
        <f t="shared" ref="C27:AH27" si="30">C26/C23</f>
        <v>0.19473661347368657</v>
      </c>
      <c r="D27" s="128">
        <f t="shared" si="30"/>
        <v>0.18652157922509874</v>
      </c>
      <c r="E27" s="128">
        <f t="shared" si="30"/>
        <v>1.9179075175934036E-3</v>
      </c>
      <c r="F27" s="128">
        <f t="shared" si="30"/>
        <v>0.18193995652429351</v>
      </c>
      <c r="G27" s="128">
        <f t="shared" si="30"/>
        <v>0.17774201226354147</v>
      </c>
      <c r="H27" s="128" t="e">
        <f t="shared" si="30"/>
        <v>#DIV/0!</v>
      </c>
      <c r="I27" s="128" t="e">
        <f t="shared" si="30"/>
        <v>#DIV/0!</v>
      </c>
      <c r="J27" s="128" t="e">
        <f t="shared" si="30"/>
        <v>#DIV/0!</v>
      </c>
      <c r="K27" s="128">
        <f t="shared" si="30"/>
        <v>1.4616321559074299E-2</v>
      </c>
      <c r="L27" s="128">
        <f t="shared" si="30"/>
        <v>0.10245370969830377</v>
      </c>
      <c r="M27" s="128">
        <f t="shared" si="30"/>
        <v>0.15428303764857426</v>
      </c>
      <c r="N27" s="128">
        <f t="shared" si="30"/>
        <v>3.1496062992125984E-2</v>
      </c>
      <c r="O27" s="128">
        <f t="shared" si="30"/>
        <v>6.0627932154456873E-2</v>
      </c>
      <c r="P27" s="128">
        <f t="shared" si="30"/>
        <v>0.32234138518592764</v>
      </c>
      <c r="Q27" s="128" t="e">
        <f t="shared" si="30"/>
        <v>#DIV/0!</v>
      </c>
      <c r="R27" s="128">
        <f t="shared" si="30"/>
        <v>0.2340726757904672</v>
      </c>
      <c r="S27" s="128" t="e">
        <f t="shared" si="30"/>
        <v>#DIV/0!</v>
      </c>
      <c r="T27" s="128" t="e">
        <f t="shared" si="30"/>
        <v>#DIV/0!</v>
      </c>
      <c r="U27" s="128" t="e">
        <f t="shared" si="30"/>
        <v>#DIV/0!</v>
      </c>
      <c r="V27" s="128">
        <f t="shared" si="30"/>
        <v>0.18683793591032216</v>
      </c>
      <c r="W27" s="128" t="e">
        <f t="shared" si="30"/>
        <v>#DIV/0!</v>
      </c>
      <c r="X27" s="128" t="e">
        <f t="shared" si="30"/>
        <v>#DIV/0!</v>
      </c>
      <c r="Y27" s="128">
        <f t="shared" si="30"/>
        <v>5.3234421364985165</v>
      </c>
      <c r="Z27" s="128">
        <f t="shared" si="30"/>
        <v>7.5454545454545459</v>
      </c>
      <c r="AA27" s="128">
        <f t="shared" si="30"/>
        <v>4.7254901960784315</v>
      </c>
      <c r="AB27" s="128">
        <f t="shared" si="30"/>
        <v>0.15667110742492854</v>
      </c>
      <c r="AC27" s="128">
        <f t="shared" si="30"/>
        <v>0.17526285980712653</v>
      </c>
      <c r="AD27" s="128">
        <f t="shared" si="30"/>
        <v>1.7844886753603295E-2</v>
      </c>
      <c r="AE27" s="128">
        <f t="shared" si="30"/>
        <v>0.2711864406779661</v>
      </c>
      <c r="AF27" s="128" t="e">
        <f t="shared" si="30"/>
        <v>#DIV/0!</v>
      </c>
      <c r="AG27" s="128" t="e">
        <f t="shared" si="30"/>
        <v>#DIV/0!</v>
      </c>
      <c r="AH27" s="128" t="e">
        <f t="shared" si="30"/>
        <v>#DIV/0!</v>
      </c>
      <c r="AI27" s="128" t="e">
        <f t="shared" ref="AI27:BJ27" si="31">AI26/AI23</f>
        <v>#DIV/0!</v>
      </c>
      <c r="AJ27" s="128">
        <f t="shared" si="31"/>
        <v>0.31790215638253388</v>
      </c>
      <c r="AK27" s="128">
        <f t="shared" si="31"/>
        <v>2.578993380791807E-2</v>
      </c>
      <c r="AL27" s="128">
        <f t="shared" si="31"/>
        <v>4.6391752577319589E-2</v>
      </c>
      <c r="AM27" s="128" t="e">
        <f t="shared" si="31"/>
        <v>#DIV/0!</v>
      </c>
      <c r="AN27" s="128">
        <f t="shared" si="31"/>
        <v>0.14198218722399689</v>
      </c>
      <c r="AO27" s="128">
        <f t="shared" si="31"/>
        <v>0.45187527151614615</v>
      </c>
      <c r="AP27" s="128">
        <f t="shared" si="31"/>
        <v>0.76435054263336344</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0.33866075084024411</v>
      </c>
      <c r="BB27" s="128">
        <f t="shared" si="31"/>
        <v>0.54869565217391303</v>
      </c>
      <c r="BC27" s="128">
        <f t="shared" si="31"/>
        <v>0.54869565217391303</v>
      </c>
      <c r="BD27" s="128" t="e">
        <f t="shared" si="31"/>
        <v>#DIV/0!</v>
      </c>
      <c r="BE27" s="128">
        <f t="shared" si="31"/>
        <v>0.63309352517985606</v>
      </c>
      <c r="BF27" s="128">
        <f t="shared" si="31"/>
        <v>-2.7833001988071572E-2</v>
      </c>
      <c r="BG27" s="128">
        <f t="shared" si="31"/>
        <v>0.335099672490559</v>
      </c>
      <c r="BH27" s="128">
        <f t="shared" si="31"/>
        <v>0.20784338749608333</v>
      </c>
      <c r="BI27" s="128">
        <f t="shared" si="31"/>
        <v>0</v>
      </c>
      <c r="BJ27" s="128">
        <f t="shared" si="31"/>
        <v>0.21257532225054679</v>
      </c>
    </row>
    <row r="28" spans="1:63" ht="15.75" x14ac:dyDescent="0.2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x14ac:dyDescent="0.25">
      <c r="A29" s="15" t="s">
        <v>139</v>
      </c>
      <c r="B29" s="11" t="s">
        <v>214</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x14ac:dyDescent="0.25">
      <c r="A30" s="130"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x14ac:dyDescent="0.2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x14ac:dyDescent="0.25">
      <c r="A32" s="130"/>
      <c r="B32" s="12" t="s">
        <v>212</v>
      </c>
      <c r="C32" s="9">
        <f>IF('Upto Month Current'!$F$4="",0,'Upto Month Current'!$F$4)</f>
        <v>389534</v>
      </c>
      <c r="D32" s="9">
        <f>IF('Upto Month Current'!$F$5="",0,'Upto Month Current'!$F$5)</f>
        <v>65802</v>
      </c>
      <c r="E32" s="9">
        <f>IF('Upto Month Current'!$F$6="",0,'Upto Month Current'!$F$6)</f>
        <v>159</v>
      </c>
      <c r="F32" s="9">
        <f>IF('Upto Month Current'!$F$7="",0,'Upto Month Current'!$F$7)</f>
        <v>31230</v>
      </c>
      <c r="G32" s="9">
        <f>IF('Upto Month Current'!$F$8="",0,'Upto Month Current'!$F$8)</f>
        <v>21633</v>
      </c>
      <c r="H32" s="9">
        <f>IF('Upto Month Current'!$F$9="",0,'Upto Month Current'!$F$9)</f>
        <v>0</v>
      </c>
      <c r="I32" s="9">
        <f>IF('Upto Month Current'!$F$10="",0,'Upto Month Current'!$F$10)</f>
        <v>0</v>
      </c>
      <c r="J32" s="9">
        <f>IF('Upto Month Current'!$F$11="",0,'Upto Month Current'!$F$11)</f>
        <v>283</v>
      </c>
      <c r="K32" s="9">
        <f>IF('Upto Month Current'!$F$12="",0,'Upto Month Current'!$F$12)</f>
        <v>31</v>
      </c>
      <c r="L32" s="9">
        <f>IF('Upto Month Current'!$F$13="",0,'Upto Month Current'!$F$13)</f>
        <v>3565</v>
      </c>
      <c r="M32" s="9">
        <f>IF('Upto Month Current'!$F$14="",0,'Upto Month Current'!$F$14)</f>
        <v>3300</v>
      </c>
      <c r="N32" s="9">
        <f>IF('Upto Month Current'!$F$15="",0,'Upto Month Current'!$F$15)</f>
        <v>20</v>
      </c>
      <c r="O32" s="9">
        <f>IF('Upto Month Current'!$F$16="",0,'Upto Month Current'!$F$16)</f>
        <v>818</v>
      </c>
      <c r="P32" s="9">
        <f>IF('Upto Month Current'!$F$17="",0,'Upto Month Current'!$F$17)</f>
        <v>39684</v>
      </c>
      <c r="Q32" s="9">
        <f>IF('Upto Month Current'!$F$18="",0,'Upto Month Current'!$F$18)</f>
        <v>0</v>
      </c>
      <c r="R32" s="9">
        <f>IF('Upto Month Current'!$F$21="",0,'Upto Month Current'!$F$21)</f>
        <v>460</v>
      </c>
      <c r="S32" s="9">
        <f>IF('Upto Month Current'!$F$26="",0,'Upto Month Current'!$F$26)</f>
        <v>0</v>
      </c>
      <c r="T32" s="9">
        <f>IF('Upto Month Current'!$F$27="",0,'Upto Month Current'!$F$27)</f>
        <v>0</v>
      </c>
      <c r="U32" s="9">
        <f>IF('Upto Month Current'!$F$30="",0,'Upto Month Current'!$F$30)</f>
        <v>0</v>
      </c>
      <c r="V32" s="9">
        <f>IF('Upto Month Current'!$F$35="",0,'Upto Month Current'!$F$35)</f>
        <v>2365</v>
      </c>
      <c r="W32" s="9">
        <f>IF('Upto Month Current'!$F$39="",0,'Upto Month Current'!$F$39)</f>
        <v>0</v>
      </c>
      <c r="X32" s="9">
        <f>IF('Upto Month Current'!$F$40="",0,'Upto Month Current'!$F$40)</f>
        <v>0</v>
      </c>
      <c r="Y32" s="9">
        <f>IF('Upto Month Current'!$F$42="",0,'Upto Month Current'!$F$42)</f>
        <v>4971</v>
      </c>
      <c r="Z32" s="9">
        <f>IF('Upto Month Current'!$F$43="",0,'Upto Month Current'!$F$43)</f>
        <v>491</v>
      </c>
      <c r="AA32" s="9">
        <f>IF('Upto Month Current'!$F$44="",0,'Upto Month Current'!$F$44)</f>
        <v>258</v>
      </c>
      <c r="AB32" s="9">
        <f>IF('Upto Month Current'!$F$51="",0,'Upto Month Current'!$F$51)</f>
        <v>0</v>
      </c>
      <c r="AC32" s="123">
        <f t="shared" si="32"/>
        <v>564604</v>
      </c>
      <c r="AD32" s="9">
        <f>IF('Upto Month Current'!$F$19="",0,'Upto Month Current'!$F$19)</f>
        <v>341</v>
      </c>
      <c r="AE32" s="9">
        <f>IF('Upto Month Current'!$F$20="",0,'Upto Month Current'!$F$20)</f>
        <v>454</v>
      </c>
      <c r="AF32" s="9">
        <f>IF('Upto Month Current'!$F$22="",0,'Upto Month Current'!$F$22)</f>
        <v>1088</v>
      </c>
      <c r="AG32" s="9">
        <f>IF('Upto Month Current'!$F$23="",0,'Upto Month Current'!$F$23)</f>
        <v>0</v>
      </c>
      <c r="AH32" s="9">
        <f>IF('Upto Month Current'!$F$24="",0,'Upto Month Current'!$F$24)</f>
        <v>0</v>
      </c>
      <c r="AI32" s="9">
        <f>IF('Upto Month Current'!$F$25="",0,'Upto Month Current'!$F$25)</f>
        <v>68</v>
      </c>
      <c r="AJ32" s="9">
        <f>IF('Upto Month Current'!$F$28="",0,'Upto Month Current'!$F$28)</f>
        <v>87312</v>
      </c>
      <c r="AK32" s="9">
        <f>IF('Upto Month Current'!$F$29="",0,'Upto Month Current'!$F$29)</f>
        <v>18274</v>
      </c>
      <c r="AL32" s="9">
        <f>IF('Upto Month Current'!$F$31="",0,'Upto Month Current'!$F$31)</f>
        <v>0</v>
      </c>
      <c r="AM32" s="9">
        <f>IF('Upto Month Current'!$F$32="",0,'Upto Month Current'!$F$32)</f>
        <v>310</v>
      </c>
      <c r="AN32" s="9">
        <f>IF('Upto Month Current'!$F$33="",0,'Upto Month Current'!$F$33)</f>
        <v>108262</v>
      </c>
      <c r="AO32" s="9">
        <f>IF('Upto Month Current'!$F$34="",0,'Upto Month Current'!$F$34)</f>
        <v>11663</v>
      </c>
      <c r="AP32" s="9">
        <f>IF('Upto Month Current'!$F$36="",0,'Upto Month Current'!$F$36)</f>
        <v>7334</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2752</v>
      </c>
      <c r="BC32" s="9">
        <f>IF('Upto Month Current'!$F$54="",0,'Upto Month Current'!$F$54)</f>
        <v>2752</v>
      </c>
      <c r="BD32" s="9">
        <f>IF('Upto Month Current'!$F$55="",0,'Upto Month Current'!$F$55)</f>
        <v>0</v>
      </c>
      <c r="BE32" s="9">
        <f>IF('Upto Month Current'!$F$56="",0,'Upto Month Current'!$F$56)</f>
        <v>10067</v>
      </c>
      <c r="BF32" s="9">
        <f>IF('Upto Month Current'!$F$58="",0,'Upto Month Current'!$F$58)</f>
        <v>38307</v>
      </c>
      <c r="BG32" s="124">
        <f t="shared" si="34"/>
        <v>288984</v>
      </c>
      <c r="BH32" s="125">
        <f t="shared" si="35"/>
        <v>853588</v>
      </c>
      <c r="BI32" s="9">
        <f>IF('Upto Month Current'!$F$60="",0,'Upto Month Current'!$F$60)</f>
        <v>0</v>
      </c>
      <c r="BJ32" s="126">
        <f t="shared" si="33"/>
        <v>853588</v>
      </c>
      <c r="BK32">
        <f>'Upto Month Current'!$F$61</f>
        <v>853589</v>
      </c>
    </row>
    <row r="33" spans="1:63" ht="15.75" x14ac:dyDescent="0.25">
      <c r="A33" s="130"/>
      <c r="B33" s="5" t="s">
        <v>210</v>
      </c>
      <c r="C33" s="128">
        <f t="shared" ref="C33:AH33" si="38">C32/C29</f>
        <v>0.15513905538717657</v>
      </c>
      <c r="D33" s="128">
        <f t="shared" si="38"/>
        <v>0.16791621796802034</v>
      </c>
      <c r="E33" s="128">
        <f t="shared" si="38"/>
        <v>1.2492143306096794E-3</v>
      </c>
      <c r="F33" s="128">
        <f t="shared" si="38"/>
        <v>0.15932210307216685</v>
      </c>
      <c r="G33" s="128">
        <f t="shared" si="38"/>
        <v>0.16009739202510287</v>
      </c>
      <c r="H33" s="128" t="e">
        <f t="shared" si="38"/>
        <v>#DIV/0!</v>
      </c>
      <c r="I33" s="128" t="e">
        <f t="shared" si="38"/>
        <v>#DIV/0!</v>
      </c>
      <c r="J33" s="128">
        <f t="shared" si="38"/>
        <v>0.25703905540417804</v>
      </c>
      <c r="K33" s="128">
        <f t="shared" si="38"/>
        <v>2.1423635107118175E-2</v>
      </c>
      <c r="L33" s="128">
        <f t="shared" si="38"/>
        <v>0.11986819542046333</v>
      </c>
      <c r="M33" s="128">
        <f t="shared" si="38"/>
        <v>6.7552353073632068E-2</v>
      </c>
      <c r="N33" s="128">
        <f t="shared" si="38"/>
        <v>8.1300813008130079E-2</v>
      </c>
      <c r="O33" s="128">
        <f t="shared" si="38"/>
        <v>0.13423039054808009</v>
      </c>
      <c r="P33" s="128">
        <f t="shared" si="38"/>
        <v>0.24883370955605719</v>
      </c>
      <c r="Q33" s="128" t="e">
        <f t="shared" si="38"/>
        <v>#DIV/0!</v>
      </c>
      <c r="R33" s="128">
        <f t="shared" si="38"/>
        <v>0.11914011914011914</v>
      </c>
      <c r="S33" s="128" t="e">
        <f t="shared" si="38"/>
        <v>#DIV/0!</v>
      </c>
      <c r="T33" s="128" t="e">
        <f t="shared" si="38"/>
        <v>#DIV/0!</v>
      </c>
      <c r="U33" s="128" t="e">
        <f t="shared" si="38"/>
        <v>#DIV/0!</v>
      </c>
      <c r="V33" s="128">
        <f t="shared" si="38"/>
        <v>0.12965297955155966</v>
      </c>
      <c r="W33" s="128" t="e">
        <f t="shared" si="38"/>
        <v>#DIV/0!</v>
      </c>
      <c r="X33" s="128" t="e">
        <f t="shared" si="38"/>
        <v>#DIV/0!</v>
      </c>
      <c r="Y33" s="128">
        <f t="shared" si="38"/>
        <v>8.1894563426688638</v>
      </c>
      <c r="Z33" s="128" t="e">
        <f t="shared" si="38"/>
        <v>#DIV/0!</v>
      </c>
      <c r="AA33" s="128">
        <f t="shared" si="38"/>
        <v>64.5</v>
      </c>
      <c r="AB33" s="128" t="e">
        <f t="shared" si="38"/>
        <v>#DIV/0!</v>
      </c>
      <c r="AC33" s="128">
        <f t="shared" si="38"/>
        <v>0.15550235083406341</v>
      </c>
      <c r="AD33" s="128">
        <f t="shared" si="38"/>
        <v>6.732477788746298E-2</v>
      </c>
      <c r="AE33" s="128">
        <f t="shared" si="38"/>
        <v>1.8409634645797007E-2</v>
      </c>
      <c r="AF33" s="128">
        <f t="shared" si="38"/>
        <v>0.19886675196490586</v>
      </c>
      <c r="AG33" s="128" t="e">
        <f t="shared" si="38"/>
        <v>#DIV/0!</v>
      </c>
      <c r="AH33" s="128" t="e">
        <f t="shared" si="38"/>
        <v>#DIV/0!</v>
      </c>
      <c r="AI33" s="128">
        <f t="shared" ref="AI33:BJ33" si="39">AI32/AI29</f>
        <v>0.53968253968253965</v>
      </c>
      <c r="AJ33" s="128">
        <f t="shared" si="39"/>
        <v>0.38848671184298927</v>
      </c>
      <c r="AK33" s="128">
        <f t="shared" si="39"/>
        <v>4.7034538495790465E-2</v>
      </c>
      <c r="AL33" s="128" t="e">
        <f t="shared" si="39"/>
        <v>#DIV/0!</v>
      </c>
      <c r="AM33" s="128">
        <f t="shared" si="39"/>
        <v>0.23956723338485317</v>
      </c>
      <c r="AN33" s="128">
        <f t="shared" si="39"/>
        <v>0.21204767361009097</v>
      </c>
      <c r="AO33" s="128">
        <f t="shared" si="39"/>
        <v>6.1632036187617575E-2</v>
      </c>
      <c r="AP33" s="128">
        <f t="shared" si="39"/>
        <v>0.45530171343431836</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0.25120949338201737</v>
      </c>
      <c r="BC33" s="128">
        <f t="shared" si="39"/>
        <v>0.2511407191093265</v>
      </c>
      <c r="BD33" s="128" t="e">
        <f t="shared" si="39"/>
        <v>#DIV/0!</v>
      </c>
      <c r="BE33" s="128">
        <f t="shared" si="39"/>
        <v>2.0386796273795058</v>
      </c>
      <c r="BF33" s="128">
        <f t="shared" si="39"/>
        <v>0.14169200381721742</v>
      </c>
      <c r="BG33" s="128">
        <f t="shared" si="39"/>
        <v>0.17376757990895036</v>
      </c>
      <c r="BH33" s="128">
        <f t="shared" si="39"/>
        <v>0.1612402831340595</v>
      </c>
      <c r="BI33" s="128">
        <f t="shared" si="39"/>
        <v>0</v>
      </c>
      <c r="BJ33" s="128">
        <f t="shared" si="39"/>
        <v>0.16390634087967251</v>
      </c>
    </row>
    <row r="34" spans="1:63" ht="15.75" x14ac:dyDescent="0.2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x14ac:dyDescent="0.25">
      <c r="A35" s="15" t="s">
        <v>140</v>
      </c>
      <c r="B35" s="11" t="s">
        <v>214</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x14ac:dyDescent="0.25">
      <c r="A36" s="130"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x14ac:dyDescent="0.2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x14ac:dyDescent="0.25">
      <c r="A38" s="130"/>
      <c r="B38" s="12" t="s">
        <v>212</v>
      </c>
      <c r="C38" s="9">
        <f>IF('Upto Month Current'!$G$4="",0,'Upto Month Current'!$G$4)</f>
        <v>818936</v>
      </c>
      <c r="D38" s="9">
        <f>IF('Upto Month Current'!$G$5="",0,'Upto Month Current'!$G$5)</f>
        <v>169414</v>
      </c>
      <c r="E38" s="9">
        <f>IF('Upto Month Current'!$G$6="",0,'Upto Month Current'!$G$6)</f>
        <v>308</v>
      </c>
      <c r="F38" s="9">
        <f>IF('Upto Month Current'!$G$7="",0,'Upto Month Current'!$G$7)</f>
        <v>124435</v>
      </c>
      <c r="G38" s="9">
        <f>IF('Upto Month Current'!$G$8="",0,'Upto Month Current'!$G$8)</f>
        <v>42698</v>
      </c>
      <c r="H38" s="9">
        <f>IF('Upto Month Current'!$G$9="",0,'Upto Month Current'!$G$9)</f>
        <v>0</v>
      </c>
      <c r="I38" s="9">
        <f>IF('Upto Month Current'!$G$10="",0,'Upto Month Current'!$G$10)</f>
        <v>0</v>
      </c>
      <c r="J38" s="9">
        <f>IF('Upto Month Current'!$G$11="",0,'Upto Month Current'!$G$11)</f>
        <v>248805</v>
      </c>
      <c r="K38" s="9">
        <f>IF('Upto Month Current'!$G$12="",0,'Upto Month Current'!$G$12)</f>
        <v>450</v>
      </c>
      <c r="L38" s="9">
        <f>IF('Upto Month Current'!$G$13="",0,'Upto Month Current'!$G$13)</f>
        <v>13992</v>
      </c>
      <c r="M38" s="9">
        <f>IF('Upto Month Current'!$G$14="",0,'Upto Month Current'!$G$14)</f>
        <v>45963</v>
      </c>
      <c r="N38" s="9">
        <f>IF('Upto Month Current'!$G$15="",0,'Upto Month Current'!$G$15)</f>
        <v>7</v>
      </c>
      <c r="O38" s="9">
        <f>IF('Upto Month Current'!$G$16="",0,'Upto Month Current'!$G$16)</f>
        <v>666</v>
      </c>
      <c r="P38" s="9">
        <f>IF('Upto Month Current'!$G$17="",0,'Upto Month Current'!$G$17)</f>
        <v>3070</v>
      </c>
      <c r="Q38" s="9">
        <f>IF('Upto Month Current'!$G$18="",0,'Upto Month Current'!$G$18)</f>
        <v>0</v>
      </c>
      <c r="R38" s="9">
        <f>IF('Upto Month Current'!$G$21="",0,'Upto Month Current'!$G$21)</f>
        <v>964</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1108</v>
      </c>
      <c r="Z38" s="9">
        <f>IF('Upto Month Current'!$G$43="",0,'Upto Month Current'!$G$43)</f>
        <v>148</v>
      </c>
      <c r="AA38" s="9">
        <f>IF('Upto Month Current'!$G$44="",0,'Upto Month Current'!$G$44)</f>
        <v>376</v>
      </c>
      <c r="AB38" s="9">
        <f>IF('Upto Month Current'!$G$51="",0,'Upto Month Current'!$G$51)</f>
        <v>0</v>
      </c>
      <c r="AC38" s="123">
        <f t="shared" si="40"/>
        <v>1471340</v>
      </c>
      <c r="AD38" s="9">
        <f>IF('Upto Month Current'!$G$19="",0,'Upto Month Current'!$G$19)</f>
        <v>519</v>
      </c>
      <c r="AE38" s="9">
        <f>IF('Upto Month Current'!$G$20="",0,'Upto Month Current'!$G$20)</f>
        <v>357</v>
      </c>
      <c r="AF38" s="9">
        <f>IF('Upto Month Current'!$G$22="",0,'Upto Month Current'!$G$22)</f>
        <v>1168</v>
      </c>
      <c r="AG38" s="9">
        <f>IF('Upto Month Current'!$G$23="",0,'Upto Month Current'!$G$23)</f>
        <v>0</v>
      </c>
      <c r="AH38" s="9">
        <f>IF('Upto Month Current'!$G$24="",0,'Upto Month Current'!$G$24)</f>
        <v>0</v>
      </c>
      <c r="AI38" s="9">
        <f>IF('Upto Month Current'!$G$25="",0,'Upto Month Current'!$G$25)</f>
        <v>0</v>
      </c>
      <c r="AJ38" s="9">
        <f>IF('Upto Month Current'!$G$28="",0,'Upto Month Current'!$G$28)</f>
        <v>7352</v>
      </c>
      <c r="AK38" s="9">
        <f>IF('Upto Month Current'!$G$29="",0,'Upto Month Current'!$G$29)</f>
        <v>2505</v>
      </c>
      <c r="AL38" s="9">
        <f>IF('Upto Month Current'!$G$31="",0,'Upto Month Current'!$G$31)</f>
        <v>140292</v>
      </c>
      <c r="AM38" s="9">
        <f>IF('Upto Month Current'!$G$32="",0,'Upto Month Current'!$G$32)</f>
        <v>11892</v>
      </c>
      <c r="AN38" s="9">
        <f>IF('Upto Month Current'!$G$33="",0,'Upto Month Current'!$G$33)</f>
        <v>62088</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3857</v>
      </c>
      <c r="BC38" s="9">
        <f>IF('Upto Month Current'!$G$54="",0,'Upto Month Current'!$G$54)</f>
        <v>3857</v>
      </c>
      <c r="BD38" s="9">
        <f>IF('Upto Month Current'!$G$55="",0,'Upto Month Current'!$G$55)</f>
        <v>0</v>
      </c>
      <c r="BE38" s="9">
        <f>IF('Upto Month Current'!$G$56="",0,'Upto Month Current'!$G$56)</f>
        <v>2482</v>
      </c>
      <c r="BF38" s="9">
        <f>IF('Upto Month Current'!$G$58="",0,'Upto Month Current'!$G$58)</f>
        <v>0</v>
      </c>
      <c r="BG38" s="124">
        <f t="shared" si="42"/>
        <v>236369</v>
      </c>
      <c r="BH38" s="125">
        <f t="shared" si="43"/>
        <v>1707709</v>
      </c>
      <c r="BI38" s="9">
        <f>IF('Upto Month Current'!$G$60="",0,'Upto Month Current'!$G$60)</f>
        <v>923</v>
      </c>
      <c r="BJ38" s="126">
        <f t="shared" si="41"/>
        <v>1706786</v>
      </c>
      <c r="BK38">
        <f>'Upto Month Current'!$G$61</f>
        <v>1706786</v>
      </c>
    </row>
    <row r="39" spans="1:63" ht="15.75" x14ac:dyDescent="0.25">
      <c r="A39" s="130"/>
      <c r="B39" s="5" t="s">
        <v>210</v>
      </c>
      <c r="C39" s="128">
        <f t="shared" ref="C39:AH39" si="46">C38/C35</f>
        <v>0.19066271063007892</v>
      </c>
      <c r="D39" s="128">
        <f t="shared" si="46"/>
        <v>0.18543726302331895</v>
      </c>
      <c r="E39" s="128">
        <f t="shared" si="46"/>
        <v>1.9365223077309995E-3</v>
      </c>
      <c r="F39" s="128">
        <f t="shared" si="46"/>
        <v>0.19233949811037862</v>
      </c>
      <c r="G39" s="128">
        <f t="shared" si="46"/>
        <v>0.1963604924418364</v>
      </c>
      <c r="H39" s="128" t="e">
        <f t="shared" si="46"/>
        <v>#DIV/0!</v>
      </c>
      <c r="I39" s="128" t="e">
        <f t="shared" si="46"/>
        <v>#DIV/0!</v>
      </c>
      <c r="J39" s="128">
        <f t="shared" si="46"/>
        <v>0.27896783973574829</v>
      </c>
      <c r="K39" s="128">
        <f t="shared" si="46"/>
        <v>4.4776119402985077E-3</v>
      </c>
      <c r="L39" s="128">
        <f t="shared" si="46"/>
        <v>0.10660490205788908</v>
      </c>
      <c r="M39" s="128">
        <f t="shared" si="46"/>
        <v>0.22074672455526953</v>
      </c>
      <c r="N39" s="128">
        <f t="shared" si="46"/>
        <v>1.977401129943503E-2</v>
      </c>
      <c r="O39" s="128">
        <f t="shared" si="46"/>
        <v>0.12283290298782737</v>
      </c>
      <c r="P39" s="128">
        <f t="shared" si="46"/>
        <v>0.34953888193100308</v>
      </c>
      <c r="Q39" s="128" t="e">
        <f t="shared" si="46"/>
        <v>#DIV/0!</v>
      </c>
      <c r="R39" s="128">
        <f t="shared" si="46"/>
        <v>8.5933321447673378E-2</v>
      </c>
      <c r="S39" s="128" t="e">
        <f t="shared" si="46"/>
        <v>#DIV/0!</v>
      </c>
      <c r="T39" s="128" t="e">
        <f t="shared" si="46"/>
        <v>#DIV/0!</v>
      </c>
      <c r="U39" s="128" t="e">
        <f t="shared" si="46"/>
        <v>#DIV/0!</v>
      </c>
      <c r="V39" s="128" t="e">
        <f t="shared" si="46"/>
        <v>#DIV/0!</v>
      </c>
      <c r="W39" s="128" t="e">
        <f t="shared" si="46"/>
        <v>#DIV/0!</v>
      </c>
      <c r="X39" s="128" t="e">
        <f t="shared" si="46"/>
        <v>#DIV/0!</v>
      </c>
      <c r="Y39" s="128">
        <f t="shared" si="46"/>
        <v>3.0949720670391061</v>
      </c>
      <c r="Z39" s="128">
        <f t="shared" si="46"/>
        <v>3.1489361702127661</v>
      </c>
      <c r="AA39" s="128">
        <f t="shared" si="46"/>
        <v>8.628800917957544E-3</v>
      </c>
      <c r="AB39" s="128" t="e">
        <f t="shared" si="46"/>
        <v>#DIV/0!</v>
      </c>
      <c r="AC39" s="128">
        <f t="shared" si="46"/>
        <v>0.19273889417019011</v>
      </c>
      <c r="AD39" s="128">
        <f t="shared" si="46"/>
        <v>0.21825063078216989</v>
      </c>
      <c r="AE39" s="128">
        <f t="shared" si="46"/>
        <v>13.73076923076923</v>
      </c>
      <c r="AF39" s="128">
        <f t="shared" si="46"/>
        <v>0.20596014812202434</v>
      </c>
      <c r="AG39" s="128" t="e">
        <f t="shared" si="46"/>
        <v>#DIV/0!</v>
      </c>
      <c r="AH39" s="128" t="e">
        <f t="shared" si="46"/>
        <v>#DIV/0!</v>
      </c>
      <c r="AI39" s="128">
        <f t="shared" ref="AI39:BJ39" si="47">AI38/AI35</f>
        <v>0</v>
      </c>
      <c r="AJ39" s="128">
        <f t="shared" si="47"/>
        <v>7.8401262610105146E-2</v>
      </c>
      <c r="AK39" s="128">
        <f t="shared" si="47"/>
        <v>2.1508423059090207E-2</v>
      </c>
      <c r="AL39" s="128">
        <f t="shared" si="47"/>
        <v>0.25245405452094877</v>
      </c>
      <c r="AM39" s="128">
        <f t="shared" si="47"/>
        <v>0.15832146233008934</v>
      </c>
      <c r="AN39" s="128">
        <f t="shared" si="47"/>
        <v>0.15826461554147922</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1.426405325443787</v>
      </c>
      <c r="BC39" s="128">
        <f t="shared" si="47"/>
        <v>1.4237726098191215</v>
      </c>
      <c r="BD39" s="128" t="e">
        <f t="shared" si="47"/>
        <v>#DIV/0!</v>
      </c>
      <c r="BE39" s="128">
        <f t="shared" si="47"/>
        <v>5.6027088036117378</v>
      </c>
      <c r="BF39" s="128">
        <f t="shared" si="47"/>
        <v>0</v>
      </c>
      <c r="BG39" s="128">
        <f t="shared" si="47"/>
        <v>0.19507382251235877</v>
      </c>
      <c r="BH39" s="128">
        <f t="shared" si="47"/>
        <v>0.19305873999114356</v>
      </c>
      <c r="BI39" s="128">
        <f t="shared" si="47"/>
        <v>2.6402357046826284E-2</v>
      </c>
      <c r="BJ39" s="128">
        <f t="shared" si="47"/>
        <v>0.19372000623795341</v>
      </c>
    </row>
    <row r="40" spans="1:63" ht="15.75" x14ac:dyDescent="0.2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x14ac:dyDescent="0.25">
      <c r="A41" s="15" t="s">
        <v>141</v>
      </c>
      <c r="B41" s="11" t="s">
        <v>214</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x14ac:dyDescent="0.25">
      <c r="A42" s="130"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x14ac:dyDescent="0.2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x14ac:dyDescent="0.25">
      <c r="A44" s="130"/>
      <c r="B44" s="12" t="s">
        <v>212</v>
      </c>
      <c r="C44" s="9">
        <f>IF('Upto Month Current'!$H$4="",0,'Upto Month Current'!$H$4)</f>
        <v>929953</v>
      </c>
      <c r="D44" s="9">
        <f>IF('Upto Month Current'!$H$5="",0,'Upto Month Current'!$H$5)</f>
        <v>168226</v>
      </c>
      <c r="E44" s="9">
        <f>IF('Upto Month Current'!$H$6="",0,'Upto Month Current'!$H$6)</f>
        <v>115</v>
      </c>
      <c r="F44" s="9">
        <f>IF('Upto Month Current'!$H$7="",0,'Upto Month Current'!$H$7)</f>
        <v>104558</v>
      </c>
      <c r="G44" s="9">
        <f>IF('Upto Month Current'!$H$8="",0,'Upto Month Current'!$H$8)</f>
        <v>50818</v>
      </c>
      <c r="H44" s="9">
        <f>IF('Upto Month Current'!$H$9="",0,'Upto Month Current'!$H$9)</f>
        <v>0</v>
      </c>
      <c r="I44" s="9">
        <f>IF('Upto Month Current'!$H$10="",0,'Upto Month Current'!$H$10)</f>
        <v>0</v>
      </c>
      <c r="J44" s="9">
        <f>IF('Upto Month Current'!$H$11="",0,'Upto Month Current'!$H$11)</f>
        <v>104654</v>
      </c>
      <c r="K44" s="9">
        <f>IF('Upto Month Current'!$H$12="",0,'Upto Month Current'!$H$12)</f>
        <v>442</v>
      </c>
      <c r="L44" s="9">
        <f>IF('Upto Month Current'!$H$13="",0,'Upto Month Current'!$H$13)</f>
        <v>20978</v>
      </c>
      <c r="M44" s="9">
        <f>IF('Upto Month Current'!$H$14="",0,'Upto Month Current'!$H$14)</f>
        <v>26342</v>
      </c>
      <c r="N44" s="9">
        <f>IF('Upto Month Current'!$H$15="",0,'Upto Month Current'!$H$15)</f>
        <v>10</v>
      </c>
      <c r="O44" s="9">
        <f>IF('Upto Month Current'!$H$16="",0,'Upto Month Current'!$H$16)</f>
        <v>2252</v>
      </c>
      <c r="P44" s="9">
        <f>IF('Upto Month Current'!$H$17="",0,'Upto Month Current'!$H$17)</f>
        <v>45927</v>
      </c>
      <c r="Q44" s="9">
        <f>IF('Upto Month Current'!$H$18="",0,'Upto Month Current'!$H$18)</f>
        <v>0</v>
      </c>
      <c r="R44" s="9">
        <f>IF('Upto Month Current'!$H$21="",0,'Upto Month Current'!$H$21)</f>
        <v>1011</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1722</v>
      </c>
      <c r="Z44" s="9">
        <f>IF('Upto Month Current'!$H$43="",0,'Upto Month Current'!$H$43)</f>
        <v>251</v>
      </c>
      <c r="AA44" s="9">
        <f>IF('Upto Month Current'!$H$44="",0,'Upto Month Current'!$H$44)</f>
        <v>642</v>
      </c>
      <c r="AB44" s="9">
        <f>IF('Upto Month Current'!$H$51="",0,'Upto Month Current'!$H$51)</f>
        <v>0</v>
      </c>
      <c r="AC44" s="123">
        <f t="shared" si="48"/>
        <v>1457901</v>
      </c>
      <c r="AD44" s="9">
        <f>IF('Upto Month Current'!$H$19="",0,'Upto Month Current'!$H$19)</f>
        <v>1448</v>
      </c>
      <c r="AE44" s="9">
        <f>IF('Upto Month Current'!$H$20="",0,'Upto Month Current'!$H$20)</f>
        <v>231</v>
      </c>
      <c r="AF44" s="9">
        <f>IF('Upto Month Current'!$H$22="",0,'Upto Month Current'!$H$22)</f>
        <v>3669</v>
      </c>
      <c r="AG44" s="9">
        <f>IF('Upto Month Current'!$H$23="",0,'Upto Month Current'!$H$23)</f>
        <v>0</v>
      </c>
      <c r="AH44" s="9">
        <f>IF('Upto Month Current'!$H$24="",0,'Upto Month Current'!$H$24)</f>
        <v>0</v>
      </c>
      <c r="AI44" s="9">
        <f>IF('Upto Month Current'!$H$25="",0,'Upto Month Current'!$H$25)</f>
        <v>1128</v>
      </c>
      <c r="AJ44" s="9">
        <f>IF('Upto Month Current'!$H$28="",0,'Upto Month Current'!$H$28)</f>
        <v>6019</v>
      </c>
      <c r="AK44" s="9">
        <f>IF('Upto Month Current'!$H$29="",0,'Upto Month Current'!$H$29)</f>
        <v>2631</v>
      </c>
      <c r="AL44" s="9">
        <f>IF('Upto Month Current'!$H$31="",0,'Upto Month Current'!$H$31)</f>
        <v>0</v>
      </c>
      <c r="AM44" s="9">
        <f>IF('Upto Month Current'!$H$32="",0,'Upto Month Current'!$H$32)</f>
        <v>0</v>
      </c>
      <c r="AN44" s="9">
        <f>IF('Upto Month Current'!$H$33="",0,'Upto Month Current'!$H$33)</f>
        <v>31551</v>
      </c>
      <c r="AO44" s="9">
        <f>IF('Upto Month Current'!$H$34="",0,'Upto Month Current'!$H$34)</f>
        <v>4450567</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917</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2520</v>
      </c>
      <c r="BC44" s="9">
        <f>IF('Upto Month Current'!$H$54="",0,'Upto Month Current'!$H$54)</f>
        <v>2520</v>
      </c>
      <c r="BD44" s="9">
        <f>IF('Upto Month Current'!$H$55="",0,'Upto Month Current'!$H$55)</f>
        <v>0</v>
      </c>
      <c r="BE44" s="9">
        <f>IF('Upto Month Current'!$H$56="",0,'Upto Month Current'!$H$56)</f>
        <v>832</v>
      </c>
      <c r="BF44" s="9">
        <f>IF('Upto Month Current'!$H$58="",0,'Upto Month Current'!$H$58)</f>
        <v>1104</v>
      </c>
      <c r="BG44" s="124">
        <f t="shared" si="50"/>
        <v>4505137</v>
      </c>
      <c r="BH44" s="125">
        <f t="shared" si="51"/>
        <v>5963038</v>
      </c>
      <c r="BI44" s="9">
        <f>IF('Upto Month Current'!$H$60="",0,'Upto Month Current'!$H$60)</f>
        <v>0</v>
      </c>
      <c r="BJ44" s="126">
        <f t="shared" si="49"/>
        <v>5963038</v>
      </c>
      <c r="BK44">
        <f>'Upto Month Current'!$H$61</f>
        <v>5963036</v>
      </c>
    </row>
    <row r="45" spans="1:63" ht="15.75" x14ac:dyDescent="0.25">
      <c r="A45" s="130"/>
      <c r="B45" s="5" t="s">
        <v>210</v>
      </c>
      <c r="C45" s="128">
        <f t="shared" ref="C45:AH45" si="54">C44/C41</f>
        <v>0.16012684753535109</v>
      </c>
      <c r="D45" s="128">
        <f t="shared" si="54"/>
        <v>0.1677720089437981</v>
      </c>
      <c r="E45" s="128">
        <f t="shared" si="54"/>
        <v>5.3048929564860389E-4</v>
      </c>
      <c r="F45" s="128">
        <f t="shared" si="54"/>
        <v>0.16761757581489894</v>
      </c>
      <c r="G45" s="128">
        <f t="shared" si="54"/>
        <v>0.16220443286859712</v>
      </c>
      <c r="H45" s="128" t="e">
        <f t="shared" si="54"/>
        <v>#DIV/0!</v>
      </c>
      <c r="I45" s="128" t="e">
        <f t="shared" si="54"/>
        <v>#DIV/0!</v>
      </c>
      <c r="J45" s="128">
        <f t="shared" si="54"/>
        <v>0.29934755310963451</v>
      </c>
      <c r="K45" s="128">
        <f t="shared" si="54"/>
        <v>5.2037344447191511E-3</v>
      </c>
      <c r="L45" s="128">
        <f t="shared" si="54"/>
        <v>0.11448248763929667</v>
      </c>
      <c r="M45" s="128">
        <f t="shared" si="54"/>
        <v>0.16503668247573819</v>
      </c>
      <c r="N45" s="128">
        <f t="shared" si="54"/>
        <v>1.016260162601626E-2</v>
      </c>
      <c r="O45" s="128">
        <f t="shared" si="54"/>
        <v>0.12166396542409508</v>
      </c>
      <c r="P45" s="128">
        <f t="shared" si="54"/>
        <v>0.33518709084141618</v>
      </c>
      <c r="Q45" s="128" t="e">
        <f t="shared" si="54"/>
        <v>#DIV/0!</v>
      </c>
      <c r="R45" s="128">
        <f t="shared" si="54"/>
        <v>0.15413935051074859</v>
      </c>
      <c r="S45" s="128" t="e">
        <f t="shared" si="54"/>
        <v>#DIV/0!</v>
      </c>
      <c r="T45" s="128" t="e">
        <f t="shared" si="54"/>
        <v>#DIV/0!</v>
      </c>
      <c r="U45" s="128" t="e">
        <f t="shared" si="54"/>
        <v>#DIV/0!</v>
      </c>
      <c r="V45" s="128" t="e">
        <f t="shared" si="54"/>
        <v>#DIV/0!</v>
      </c>
      <c r="W45" s="128" t="e">
        <f t="shared" si="54"/>
        <v>#DIV/0!</v>
      </c>
      <c r="X45" s="128" t="e">
        <f t="shared" si="54"/>
        <v>#DIV/0!</v>
      </c>
      <c r="Y45" s="128">
        <f t="shared" si="54"/>
        <v>0.40280701754385967</v>
      </c>
      <c r="Z45" s="128">
        <f t="shared" si="54"/>
        <v>0.39280125195618154</v>
      </c>
      <c r="AA45" s="128">
        <f t="shared" si="54"/>
        <v>1.02555910543131</v>
      </c>
      <c r="AB45" s="128" t="e">
        <f t="shared" si="54"/>
        <v>#DIV/0!</v>
      </c>
      <c r="AC45" s="128">
        <f t="shared" si="54"/>
        <v>0.16362181848708673</v>
      </c>
      <c r="AD45" s="128">
        <f t="shared" si="54"/>
        <v>0.14663291139240506</v>
      </c>
      <c r="AE45" s="128">
        <f t="shared" si="54"/>
        <v>0.6</v>
      </c>
      <c r="AF45" s="128">
        <f t="shared" si="54"/>
        <v>0.51509195563666998</v>
      </c>
      <c r="AG45" s="128" t="e">
        <f t="shared" si="54"/>
        <v>#DIV/0!</v>
      </c>
      <c r="AH45" s="128" t="e">
        <f t="shared" si="54"/>
        <v>#DIV/0!</v>
      </c>
      <c r="AI45" s="128">
        <f t="shared" ref="AI45:BJ45" si="55">AI44/AI41</f>
        <v>0.10981308411214953</v>
      </c>
      <c r="AJ45" s="128">
        <f t="shared" si="55"/>
        <v>0.55643893870758987</v>
      </c>
      <c r="AK45" s="128">
        <f t="shared" si="55"/>
        <v>9.1599066949831151E-2</v>
      </c>
      <c r="AL45" s="128" t="e">
        <f t="shared" si="55"/>
        <v>#DIV/0!</v>
      </c>
      <c r="AM45" s="128">
        <f t="shared" si="55"/>
        <v>0</v>
      </c>
      <c r="AN45" s="128">
        <f t="shared" si="55"/>
        <v>0.11084722539392555</v>
      </c>
      <c r="AO45" s="128">
        <f t="shared" si="55"/>
        <v>0.26481675170862395</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0.92068273092369479</v>
      </c>
      <c r="AX45" s="128">
        <f t="shared" si="55"/>
        <v>0</v>
      </c>
      <c r="AY45" s="128" t="e">
        <f t="shared" si="55"/>
        <v>#DIV/0!</v>
      </c>
      <c r="AZ45" s="128" t="e">
        <f t="shared" si="55"/>
        <v>#DIV/0!</v>
      </c>
      <c r="BA45" s="128" t="e">
        <f t="shared" si="55"/>
        <v>#DIV/0!</v>
      </c>
      <c r="BB45" s="128">
        <f t="shared" si="55"/>
        <v>0.65625</v>
      </c>
      <c r="BC45" s="128">
        <f t="shared" si="55"/>
        <v>0.65625</v>
      </c>
      <c r="BD45" s="128" t="e">
        <f t="shared" si="55"/>
        <v>#DIV/0!</v>
      </c>
      <c r="BE45" s="128">
        <f t="shared" si="55"/>
        <v>8.4236104080186294E-2</v>
      </c>
      <c r="BF45" s="128">
        <f t="shared" si="55"/>
        <v>0.3968368080517613</v>
      </c>
      <c r="BG45" s="128">
        <f t="shared" si="55"/>
        <v>0.262235901407189</v>
      </c>
      <c r="BH45" s="128">
        <f t="shared" si="55"/>
        <v>0.22855735196818325</v>
      </c>
      <c r="BI45" s="128" t="e">
        <f t="shared" si="55"/>
        <v>#DIV/0!</v>
      </c>
      <c r="BJ45" s="128">
        <f t="shared" si="55"/>
        <v>0.22855735196818325</v>
      </c>
    </row>
    <row r="46" spans="1:63" ht="15.75" x14ac:dyDescent="0.2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x14ac:dyDescent="0.25">
      <c r="A47" s="15" t="s">
        <v>34</v>
      </c>
      <c r="B47" s="11" t="s">
        <v>214</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x14ac:dyDescent="0.25">
      <c r="A48" s="130"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x14ac:dyDescent="0.2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x14ac:dyDescent="0.25">
      <c r="A50" s="130"/>
      <c r="B50" s="12" t="s">
        <v>212</v>
      </c>
      <c r="C50" s="9">
        <f>IF('Upto Month Current'!$I$4="",0,'Upto Month Current'!$I$4)</f>
        <v>2390</v>
      </c>
      <c r="D50" s="9">
        <f>IF('Upto Month Current'!$I$5="",0,'Upto Month Current'!$I$5)</f>
        <v>406</v>
      </c>
      <c r="E50" s="9">
        <f>IF('Upto Month Current'!$I$6="",0,'Upto Month Current'!$I$6)</f>
        <v>0</v>
      </c>
      <c r="F50" s="9">
        <f>IF('Upto Month Current'!$I$7="",0,'Upto Month Current'!$I$7)</f>
        <v>258</v>
      </c>
      <c r="G50" s="9">
        <f>IF('Upto Month Current'!$I$8="",0,'Upto Month Current'!$I$8)</f>
        <v>107</v>
      </c>
      <c r="H50" s="9">
        <f>IF('Upto Month Current'!$I$9="",0,'Upto Month Current'!$I$9)</f>
        <v>0</v>
      </c>
      <c r="I50" s="9">
        <f>IF('Upto Month Current'!$I$10="",0,'Upto Month Current'!$I$10)</f>
        <v>0</v>
      </c>
      <c r="J50" s="9">
        <f>IF('Upto Month Current'!$I$11="",0,'Upto Month Current'!$I$11)</f>
        <v>67</v>
      </c>
      <c r="K50" s="9">
        <f>IF('Upto Month Current'!$I$12="",0,'Upto Month Current'!$I$12)</f>
        <v>0</v>
      </c>
      <c r="L50" s="9">
        <f>IF('Upto Month Current'!$I$13="",0,'Upto Month Current'!$I$13)</f>
        <v>57</v>
      </c>
      <c r="M50" s="9">
        <f>IF('Upto Month Current'!$I$14="",0,'Upto Month Current'!$I$14)</f>
        <v>33</v>
      </c>
      <c r="N50" s="9">
        <f>IF('Upto Month Current'!$I$15="",0,'Upto Month Current'!$I$15)</f>
        <v>0</v>
      </c>
      <c r="O50" s="9">
        <f>IF('Upto Month Current'!$I$16="",0,'Upto Month Current'!$I$16)</f>
        <v>0</v>
      </c>
      <c r="P50" s="9">
        <f>IF('Upto Month Current'!$I$17="",0,'Upto Month Current'!$I$17)</f>
        <v>13</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3331</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63731</v>
      </c>
      <c r="AK50" s="9">
        <f>IF('Upto Month Current'!$I$29="",0,'Upto Month Current'!$I$29)</f>
        <v>0</v>
      </c>
      <c r="AL50" s="9">
        <f>IF('Upto Month Current'!$I$31="",0,'Upto Month Current'!$I$31)</f>
        <v>1304736</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338211</v>
      </c>
      <c r="AR50" s="9">
        <v>0</v>
      </c>
      <c r="AS50" s="9">
        <f>IF('Upto Month Current'!$I$38="",0,'Upto Month Current'!$I$38)</f>
        <v>0</v>
      </c>
      <c r="AT50" s="9">
        <f>IF('Upto Month Current'!$I$41="",0,'Upto Month Current'!$I$41)</f>
        <v>140459</v>
      </c>
      <c r="AU50" s="9">
        <v>0</v>
      </c>
      <c r="AV50" s="9">
        <f>IF('Upto Month Current'!$I$45="",0,'Upto Month Current'!$I$45)</f>
        <v>0</v>
      </c>
      <c r="AW50" s="9">
        <f>IF('Upto Month Current'!$I$46="",0,'Upto Month Current'!$I$46)</f>
        <v>0</v>
      </c>
      <c r="AX50" s="9">
        <f>IF('Upto Month Current'!$I$47="",0,'Upto Month Current'!$I$47)</f>
        <v>0</v>
      </c>
      <c r="AY50" s="9">
        <f>IF('Upto Month Current'!$I$49="",0,'Upto Month Current'!$I$49)</f>
        <v>243459</v>
      </c>
      <c r="AZ50" s="9">
        <f>IF('Upto Month Current'!$I$50="",0,'Upto Month Current'!$I$50)</f>
        <v>123997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39717</v>
      </c>
      <c r="BG50" s="124">
        <f t="shared" si="58"/>
        <v>2254311</v>
      </c>
      <c r="BH50" s="125">
        <f t="shared" si="59"/>
        <v>2257642</v>
      </c>
      <c r="BI50" s="9">
        <f>IF('Upto Month Current'!$I$60="",0,'Upto Month Current'!$I$60)-'Upto Month Current'!I57</f>
        <v>6004</v>
      </c>
      <c r="BJ50" s="126">
        <f t="shared" si="57"/>
        <v>2251638</v>
      </c>
      <c r="BK50" s="101">
        <f>'Upto Month Current'!$I$61</f>
        <v>2251637</v>
      </c>
    </row>
    <row r="51" spans="1:64" ht="15.75" x14ac:dyDescent="0.25">
      <c r="A51" s="130"/>
      <c r="B51" s="5" t="s">
        <v>210</v>
      </c>
      <c r="C51" s="128">
        <f t="shared" ref="C51:AH51" si="62">C50/C47</f>
        <v>0.16169406670725933</v>
      </c>
      <c r="D51" s="128">
        <f t="shared" si="62"/>
        <v>0.15884194053208137</v>
      </c>
      <c r="E51" s="128">
        <f t="shared" si="62"/>
        <v>0</v>
      </c>
      <c r="F51" s="128">
        <f t="shared" si="62"/>
        <v>0.14559819413092551</v>
      </c>
      <c r="G51" s="128">
        <f t="shared" si="62"/>
        <v>0.16903633491311215</v>
      </c>
      <c r="H51" s="128" t="e">
        <f t="shared" si="62"/>
        <v>#DIV/0!</v>
      </c>
      <c r="I51" s="128" t="e">
        <f t="shared" si="62"/>
        <v>#DIV/0!</v>
      </c>
      <c r="J51" s="128">
        <f t="shared" si="62"/>
        <v>0.15022421524663676</v>
      </c>
      <c r="K51" s="128" t="e">
        <f t="shared" si="62"/>
        <v>#DIV/0!</v>
      </c>
      <c r="L51" s="128">
        <f t="shared" si="62"/>
        <v>0.14357682619647355</v>
      </c>
      <c r="M51" s="128">
        <f t="shared" si="62"/>
        <v>0.27731092436974791</v>
      </c>
      <c r="N51" s="128" t="e">
        <f t="shared" si="62"/>
        <v>#DIV/0!</v>
      </c>
      <c r="O51" s="128" t="e">
        <f t="shared" si="62"/>
        <v>#DIV/0!</v>
      </c>
      <c r="P51" s="128">
        <f t="shared" si="62"/>
        <v>0.11926605504587157</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0.15542905137417759</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0.32905987319027652</v>
      </c>
      <c r="AK51" s="128">
        <f t="shared" si="63"/>
        <v>0</v>
      </c>
      <c r="AL51" s="128">
        <f t="shared" si="63"/>
        <v>0.20663520319280351</v>
      </c>
      <c r="AM51" s="128" t="e">
        <f t="shared" si="63"/>
        <v>#DIV/0!</v>
      </c>
      <c r="AN51" s="128" t="e">
        <f t="shared" si="63"/>
        <v>#DIV/0!</v>
      </c>
      <c r="AO51" s="128" t="e">
        <f t="shared" si="63"/>
        <v>#DIV/0!</v>
      </c>
      <c r="AP51" s="128" t="e">
        <f t="shared" si="63"/>
        <v>#DIV/0!</v>
      </c>
      <c r="AQ51" s="128">
        <f t="shared" si="63"/>
        <v>0.37223884145254277</v>
      </c>
      <c r="AR51" s="128" t="e">
        <f t="shared" si="63"/>
        <v>#DIV/0!</v>
      </c>
      <c r="AS51" s="128" t="e">
        <f t="shared" si="63"/>
        <v>#DIV/0!</v>
      </c>
      <c r="AT51" s="128">
        <f t="shared" si="63"/>
        <v>0.2456882678906272</v>
      </c>
      <c r="AU51" s="128" t="e">
        <f t="shared" si="63"/>
        <v>#DIV/0!</v>
      </c>
      <c r="AV51" s="128" t="e">
        <f t="shared" si="63"/>
        <v>#DIV/0!</v>
      </c>
      <c r="AW51" s="128" t="e">
        <f t="shared" si="63"/>
        <v>#DIV/0!</v>
      </c>
      <c r="AX51" s="128" t="e">
        <f t="shared" si="63"/>
        <v>#DIV/0!</v>
      </c>
      <c r="AY51" s="128">
        <f t="shared" si="63"/>
        <v>1.669975169083451</v>
      </c>
      <c r="AZ51" s="128">
        <f t="shared" si="63"/>
        <v>0.12552920953154201</v>
      </c>
      <c r="BA51" s="128" t="e">
        <f t="shared" si="63"/>
        <v>#DIV/0!</v>
      </c>
      <c r="BB51" s="128" t="e">
        <f t="shared" si="63"/>
        <v>#DIV/0!</v>
      </c>
      <c r="BC51" s="128" t="e">
        <f t="shared" si="63"/>
        <v>#DIV/0!</v>
      </c>
      <c r="BD51" s="128" t="e">
        <f t="shared" si="63"/>
        <v>#DIV/0!</v>
      </c>
      <c r="BE51" s="128" t="e">
        <f t="shared" si="63"/>
        <v>#DIV/0!</v>
      </c>
      <c r="BF51" s="128">
        <f t="shared" si="63"/>
        <v>0.46097866709997909</v>
      </c>
      <c r="BG51" s="128">
        <f t="shared" si="63"/>
        <v>0.24455532653504014</v>
      </c>
      <c r="BH51" s="128">
        <f t="shared" si="63"/>
        <v>0.24434859679129592</v>
      </c>
      <c r="BI51" s="128">
        <f t="shared" si="63"/>
        <v>9.919851433537491E-3</v>
      </c>
      <c r="BJ51" s="128">
        <f t="shared" si="63"/>
        <v>0.26078191559592223</v>
      </c>
    </row>
    <row r="52" spans="1:64" ht="15.75" x14ac:dyDescent="0.2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x14ac:dyDescent="0.25">
      <c r="A53" s="15" t="s">
        <v>142</v>
      </c>
      <c r="B53" s="11" t="s">
        <v>214</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x14ac:dyDescent="0.25">
      <c r="A54" s="130"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x14ac:dyDescent="0.2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x14ac:dyDescent="0.25">
      <c r="A56" s="130"/>
      <c r="B56" s="12" t="s">
        <v>212</v>
      </c>
      <c r="C56" s="9">
        <f>IF('Upto Month Current'!$J$4="",0,'Upto Month Current'!$J$4)</f>
        <v>139416</v>
      </c>
      <c r="D56" s="9">
        <f>IF('Upto Month Current'!$J$5="",0,'Upto Month Current'!$J$5)</f>
        <v>23617</v>
      </c>
      <c r="E56" s="9">
        <f>IF('Upto Month Current'!$J$6="",0,'Upto Month Current'!$J$6)</f>
        <v>0</v>
      </c>
      <c r="F56" s="9">
        <f>IF('Upto Month Current'!$J$7="",0,'Upto Month Current'!$J$7)</f>
        <v>11734</v>
      </c>
      <c r="G56" s="9">
        <f>IF('Upto Month Current'!$J$8="",0,'Upto Month Current'!$J$8)</f>
        <v>8183</v>
      </c>
      <c r="H56" s="9">
        <f>IF('Upto Month Current'!$J$9="",0,'Upto Month Current'!$J$9)</f>
        <v>0</v>
      </c>
      <c r="I56" s="9">
        <f>IF('Upto Month Current'!$J$10="",0,'Upto Month Current'!$J$10)</f>
        <v>0</v>
      </c>
      <c r="J56" s="9">
        <f>IF('Upto Month Current'!$J$11="",0,'Upto Month Current'!$J$11)</f>
        <v>0</v>
      </c>
      <c r="K56" s="9">
        <f>IF('Upto Month Current'!$J$12="",0,'Upto Month Current'!$J$12)</f>
        <v>823</v>
      </c>
      <c r="L56" s="9">
        <f>IF('Upto Month Current'!$J$13="",0,'Upto Month Current'!$J$13)</f>
        <v>330</v>
      </c>
      <c r="M56" s="9">
        <f>IF('Upto Month Current'!$J$14="",0,'Upto Month Current'!$J$14)</f>
        <v>11110</v>
      </c>
      <c r="N56" s="9">
        <f>IF('Upto Month Current'!$J$15="",0,'Upto Month Current'!$J$15)</f>
        <v>1145</v>
      </c>
      <c r="O56" s="9">
        <f>IF('Upto Month Current'!$J$16="",0,'Upto Month Current'!$J$16)</f>
        <v>81</v>
      </c>
      <c r="P56" s="9">
        <f>IF('Upto Month Current'!$J$17="",0,'Upto Month Current'!$J$17)</f>
        <v>1677</v>
      </c>
      <c r="Q56" s="9">
        <f>IF('Upto Month Current'!$J$18="",0,'Upto Month Current'!$J$18)</f>
        <v>0</v>
      </c>
      <c r="R56" s="9">
        <f>IF('Upto Month Current'!$J$21="",0,'Upto Month Current'!$J$21)</f>
        <v>344</v>
      </c>
      <c r="S56" s="9">
        <f>IF('Upto Month Current'!$J$26="",0,'Upto Month Current'!$J$26)</f>
        <v>163549</v>
      </c>
      <c r="T56" s="9">
        <f>IF('Upto Month Current'!$J$27="",0,'Upto Month Current'!$J$27)</f>
        <v>129918</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104</v>
      </c>
      <c r="Z56" s="9">
        <f>IF('Upto Month Current'!$J$43="",0,'Upto Month Current'!$J$43)</f>
        <v>4</v>
      </c>
      <c r="AA56" s="9">
        <f>IF('Upto Month Current'!$J$44="",0,'Upto Month Current'!$J$44)</f>
        <v>4</v>
      </c>
      <c r="AB56" s="9">
        <f>IF('Upto Month Current'!$J$51="",0,'Upto Month Current'!$J$51)</f>
        <v>0</v>
      </c>
      <c r="AC56" s="123">
        <f t="shared" si="64"/>
        <v>492039</v>
      </c>
      <c r="AD56" s="9">
        <f>IF('Upto Month Current'!$J$19="",0,'Upto Month Current'!$J$19)</f>
        <v>96</v>
      </c>
      <c r="AE56" s="9">
        <f>IF('Upto Month Current'!$J$20="",0,'Upto Month Current'!$J$20)</f>
        <v>45</v>
      </c>
      <c r="AF56" s="9">
        <f>IF('Upto Month Current'!$J$22="",0,'Upto Month Current'!$J$22)</f>
        <v>979</v>
      </c>
      <c r="AG56" s="9">
        <f>IF('Upto Month Current'!$J$23="",0,'Upto Month Current'!$J$23)</f>
        <v>0</v>
      </c>
      <c r="AH56" s="9">
        <f>IF('Upto Month Current'!$J$24="",0,'Upto Month Current'!$J$24)</f>
        <v>0</v>
      </c>
      <c r="AI56" s="9">
        <f>IF('Upto Month Current'!$J$25="",0,'Upto Month Current'!$J$25)</f>
        <v>3</v>
      </c>
      <c r="AJ56" s="9">
        <f>IF('Upto Month Current'!$J$28="",0,'Upto Month Current'!$J$28)</f>
        <v>658</v>
      </c>
      <c r="AK56" s="9">
        <f>IF('Upto Month Current'!$J$29="",0,'Upto Month Current'!$J$29)</f>
        <v>42195</v>
      </c>
      <c r="AL56" s="9">
        <f>IF('Upto Month Current'!$J$31="",0,'Upto Month Current'!$J$31)</f>
        <v>13797</v>
      </c>
      <c r="AM56" s="9">
        <f>IF('Upto Month Current'!$J$32="",0,'Upto Month Current'!$J$32)</f>
        <v>2</v>
      </c>
      <c r="AN56" s="9">
        <f>IF('Upto Month Current'!$J$33="",0,'Upto Month Current'!$J$33)</f>
        <v>45703</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47</v>
      </c>
      <c r="AX56" s="9">
        <f>IF('Upto Month Current'!$J$47="",0,'Upto Month Current'!$J$47)</f>
        <v>159</v>
      </c>
      <c r="AY56" s="9">
        <f>IF('Upto Month Current'!$J$49="",0,'Upto Month Current'!$J$49)</f>
        <v>0</v>
      </c>
      <c r="AZ56" s="9">
        <f>IF('Upto Month Current'!$J$50="",0,'Upto Month Current'!$J$50)</f>
        <v>0</v>
      </c>
      <c r="BA56" s="9">
        <f>IF('Upto Month Current'!$J$52="",0,'Upto Month Current'!$J$52)</f>
        <v>0</v>
      </c>
      <c r="BB56" s="9">
        <f>IF('Upto Month Current'!$J$53="",0,'Upto Month Current'!$J$53)</f>
        <v>4518</v>
      </c>
      <c r="BC56" s="9">
        <f>IF('Upto Month Current'!$J$54="",0,'Upto Month Current'!$J$54)</f>
        <v>4518</v>
      </c>
      <c r="BD56" s="9">
        <f>IF('Upto Month Current'!$J$55="",0,'Upto Month Current'!$J$55)</f>
        <v>0</v>
      </c>
      <c r="BE56" s="9">
        <f>IF('Upto Month Current'!$J$56="",0,'Upto Month Current'!$J$56)</f>
        <v>427</v>
      </c>
      <c r="BF56" s="9">
        <f>IF('Upto Month Current'!$J$58="",0,'Upto Month Current'!$J$58)</f>
        <v>-46761</v>
      </c>
      <c r="BG56" s="124">
        <f t="shared" si="66"/>
        <v>66386</v>
      </c>
      <c r="BH56" s="125">
        <f t="shared" si="67"/>
        <v>558425</v>
      </c>
      <c r="BI56" s="9">
        <f>IF('Upto Month Current'!$J$60="",0,'Upto Month Current'!$J$60)</f>
        <v>0</v>
      </c>
      <c r="BJ56" s="126">
        <f t="shared" si="65"/>
        <v>558425</v>
      </c>
      <c r="BK56">
        <f>'Upto Month Current'!$J$61</f>
        <v>558502</v>
      </c>
      <c r="BL56" s="30"/>
    </row>
    <row r="57" spans="1:64" ht="15.75" x14ac:dyDescent="0.25">
      <c r="A57" s="130"/>
      <c r="B57" s="5" t="s">
        <v>210</v>
      </c>
      <c r="C57" s="128">
        <f t="shared" ref="C57:AH57" si="69">C56/C53</f>
        <v>0.15781770185386218</v>
      </c>
      <c r="D57" s="128">
        <f t="shared" si="69"/>
        <v>0.16523010620286285</v>
      </c>
      <c r="E57" s="128">
        <f t="shared" si="69"/>
        <v>0</v>
      </c>
      <c r="F57" s="128">
        <f t="shared" si="69"/>
        <v>0.16975045207956602</v>
      </c>
      <c r="G57" s="128">
        <f t="shared" si="69"/>
        <v>0.12892298966473406</v>
      </c>
      <c r="H57" s="128" t="e">
        <f t="shared" si="69"/>
        <v>#DIV/0!</v>
      </c>
      <c r="I57" s="128" t="e">
        <f t="shared" si="69"/>
        <v>#DIV/0!</v>
      </c>
      <c r="J57" s="128" t="e">
        <f t="shared" si="69"/>
        <v>#DIV/0!</v>
      </c>
      <c r="K57" s="128">
        <f t="shared" si="69"/>
        <v>5.878571428571429</v>
      </c>
      <c r="L57" s="128">
        <f t="shared" si="69"/>
        <v>0.22372881355932203</v>
      </c>
      <c r="M57" s="128">
        <f t="shared" si="69"/>
        <v>0.17686295111196013</v>
      </c>
      <c r="N57" s="128">
        <f t="shared" si="69"/>
        <v>0.19864677307425399</v>
      </c>
      <c r="O57" s="128">
        <f t="shared" si="69"/>
        <v>3.9454456892352656E-2</v>
      </c>
      <c r="P57" s="128">
        <f t="shared" si="69"/>
        <v>0.20483693660681568</v>
      </c>
      <c r="Q57" s="128" t="e">
        <f t="shared" si="69"/>
        <v>#DIV/0!</v>
      </c>
      <c r="R57" s="128">
        <f t="shared" si="69"/>
        <v>0.35209825997952915</v>
      </c>
      <c r="S57" s="128">
        <f t="shared" si="69"/>
        <v>0.214438464110347</v>
      </c>
      <c r="T57" s="128">
        <f t="shared" si="69"/>
        <v>0.12945880960234049</v>
      </c>
      <c r="U57" s="128" t="e">
        <f t="shared" si="69"/>
        <v>#DIV/0!</v>
      </c>
      <c r="V57" s="128" t="e">
        <f t="shared" si="69"/>
        <v>#DIV/0!</v>
      </c>
      <c r="W57" s="128" t="e">
        <f t="shared" si="69"/>
        <v>#DIV/0!</v>
      </c>
      <c r="X57" s="128" t="e">
        <f t="shared" si="69"/>
        <v>#DIV/0!</v>
      </c>
      <c r="Y57" s="128">
        <f t="shared" si="69"/>
        <v>0.5</v>
      </c>
      <c r="Z57" s="128">
        <f t="shared" si="69"/>
        <v>0.2857142857142857</v>
      </c>
      <c r="AA57" s="128">
        <f t="shared" si="69"/>
        <v>1.7543859649122806E-2</v>
      </c>
      <c r="AB57" s="128" t="e">
        <f t="shared" si="69"/>
        <v>#DIV/0!</v>
      </c>
      <c r="AC57" s="128">
        <f t="shared" si="69"/>
        <v>0.16158539488898616</v>
      </c>
      <c r="AD57" s="128">
        <f t="shared" si="69"/>
        <v>5.7971014492753624E-2</v>
      </c>
      <c r="AE57" s="128">
        <f t="shared" si="69"/>
        <v>0.45918367346938777</v>
      </c>
      <c r="AF57" s="128">
        <f t="shared" si="69"/>
        <v>0.79723127035830621</v>
      </c>
      <c r="AG57" s="128" t="e">
        <f t="shared" si="69"/>
        <v>#DIV/0!</v>
      </c>
      <c r="AH57" s="128" t="e">
        <f t="shared" si="69"/>
        <v>#DIV/0!</v>
      </c>
      <c r="AI57" s="128">
        <f t="shared" ref="AI57:BJ57" si="70">AI56/AI53</f>
        <v>0.16666666666666666</v>
      </c>
      <c r="AJ57" s="128">
        <f t="shared" si="70"/>
        <v>0.11798457952304106</v>
      </c>
      <c r="AK57" s="128">
        <f t="shared" si="70"/>
        <v>0.18978545405478342</v>
      </c>
      <c r="AL57" s="128">
        <f t="shared" si="70"/>
        <v>7.3918703891219448E-2</v>
      </c>
      <c r="AM57" s="128" t="e">
        <f t="shared" si="70"/>
        <v>#DIV/0!</v>
      </c>
      <c r="AN57" s="128">
        <f t="shared" si="70"/>
        <v>0.14101424860074915</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0.19183673469387755</v>
      </c>
      <c r="AX57" s="128">
        <f t="shared" si="70"/>
        <v>0.26949152542372884</v>
      </c>
      <c r="AY57" s="128" t="e">
        <f t="shared" si="70"/>
        <v>#DIV/0!</v>
      </c>
      <c r="AZ57" s="128" t="e">
        <f t="shared" si="70"/>
        <v>#DIV/0!</v>
      </c>
      <c r="BA57" s="128" t="e">
        <f t="shared" si="70"/>
        <v>#DIV/0!</v>
      </c>
      <c r="BB57" s="128">
        <f t="shared" si="70"/>
        <v>0.21260175991718036</v>
      </c>
      <c r="BC57" s="128">
        <f t="shared" si="70"/>
        <v>0.21260175991718036</v>
      </c>
      <c r="BD57" s="128">
        <f t="shared" si="70"/>
        <v>0</v>
      </c>
      <c r="BE57" s="128">
        <f t="shared" si="70"/>
        <v>0.22700691121743755</v>
      </c>
      <c r="BF57" s="128">
        <f t="shared" si="70"/>
        <v>0.45339163822525597</v>
      </c>
      <c r="BG57" s="128">
        <f t="shared" si="70"/>
        <v>9.7028319536036661E-2</v>
      </c>
      <c r="BH57" s="128">
        <f t="shared" si="70"/>
        <v>0.14974138321700561</v>
      </c>
      <c r="BI57" s="128">
        <f t="shared" si="70"/>
        <v>0</v>
      </c>
      <c r="BJ57" s="128">
        <f t="shared" si="70"/>
        <v>0.14974539863234726</v>
      </c>
    </row>
    <row r="58" spans="1:64" ht="15.75" x14ac:dyDescent="0.2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x14ac:dyDescent="0.25">
      <c r="A59" s="15" t="s">
        <v>42</v>
      </c>
      <c r="B59" s="11" t="s">
        <v>214</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x14ac:dyDescent="0.25">
      <c r="A60" s="130">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x14ac:dyDescent="0.2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x14ac:dyDescent="0.25">
      <c r="A62" s="130"/>
      <c r="B62" s="12" t="s">
        <v>212</v>
      </c>
      <c r="C62" s="9">
        <f>IF('Upto Month Current'!$K$4="",0,'Upto Month Current'!$K$4)</f>
        <v>285443</v>
      </c>
      <c r="D62" s="9">
        <f>IF('Upto Month Current'!$K$5="",0,'Upto Month Current'!$K$5)</f>
        <v>48224</v>
      </c>
      <c r="E62" s="9">
        <f>IF('Upto Month Current'!$K$6="",0,'Upto Month Current'!$K$6)</f>
        <v>115</v>
      </c>
      <c r="F62" s="9">
        <f>IF('Upto Month Current'!$K$7="",0,'Upto Month Current'!$K$7)</f>
        <v>25586</v>
      </c>
      <c r="G62" s="9">
        <f>IF('Upto Month Current'!$K$8="",0,'Upto Month Current'!$K$8)</f>
        <v>15582</v>
      </c>
      <c r="H62" s="9">
        <f>IF('Upto Month Current'!$K$9="",0,'Upto Month Current'!$K$9)</f>
        <v>0</v>
      </c>
      <c r="I62" s="9">
        <f>IF('Upto Month Current'!$K$10="",0,'Upto Month Current'!$K$10)</f>
        <v>0</v>
      </c>
      <c r="J62" s="9">
        <f>IF('Upto Month Current'!$K$11="",0,'Upto Month Current'!$K$11)</f>
        <v>20</v>
      </c>
      <c r="K62" s="9">
        <f>IF('Upto Month Current'!$K$12="",0,'Upto Month Current'!$K$12)</f>
        <v>0</v>
      </c>
      <c r="L62" s="9">
        <f>IF('Upto Month Current'!$K$13="",0,'Upto Month Current'!$K$13)</f>
        <v>61</v>
      </c>
      <c r="M62" s="9">
        <f>IF('Upto Month Current'!$K$14="",0,'Upto Month Current'!$K$14)</f>
        <v>21769</v>
      </c>
      <c r="N62" s="9">
        <f>IF('Upto Month Current'!$K$15="",0,'Upto Month Current'!$K$15)</f>
        <v>67</v>
      </c>
      <c r="O62" s="9">
        <f>IF('Upto Month Current'!$K$16="",0,'Upto Month Current'!$K$16)</f>
        <v>1391</v>
      </c>
      <c r="P62" s="9">
        <f>IF('Upto Month Current'!$K$17="",0,'Upto Month Current'!$K$17)</f>
        <v>50760</v>
      </c>
      <c r="Q62" s="9">
        <f>IF('Upto Month Current'!$K$18="",0,'Upto Month Current'!$K$18)</f>
        <v>0</v>
      </c>
      <c r="R62" s="9">
        <f>IF('Upto Month Current'!$K$21="",0,'Upto Month Current'!$K$21)</f>
        <v>490</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853</v>
      </c>
      <c r="Z62" s="9">
        <f>IF('Upto Month Current'!$K$43="",0,'Upto Month Current'!$K$43)</f>
        <v>143</v>
      </c>
      <c r="AA62" s="9">
        <f>IF('Upto Month Current'!$K$44="",0,'Upto Month Current'!$K$44)</f>
        <v>507</v>
      </c>
      <c r="AB62" s="9">
        <f>IF('Upto Month Current'!$K$51="",0,'Upto Month Current'!$K$51)</f>
        <v>0</v>
      </c>
      <c r="AC62" s="123">
        <f t="shared" si="71"/>
        <v>451011</v>
      </c>
      <c r="AD62" s="9">
        <f>IF('Upto Month Current'!$K$19="",0,'Upto Month Current'!$K$19)</f>
        <v>585</v>
      </c>
      <c r="AE62" s="9">
        <f>IF('Upto Month Current'!$K$20="",0,'Upto Month Current'!$K$20)</f>
        <v>94</v>
      </c>
      <c r="AF62" s="9">
        <f>IF('Upto Month Current'!$K$22="",0,'Upto Month Current'!$K$22)</f>
        <v>193</v>
      </c>
      <c r="AG62" s="9">
        <f>IF('Upto Month Current'!$K$23="",0,'Upto Month Current'!$K$23)</f>
        <v>0</v>
      </c>
      <c r="AH62" s="9">
        <f>IF('Upto Month Current'!$K$24="",0,'Upto Month Current'!$K$24)</f>
        <v>0</v>
      </c>
      <c r="AI62" s="9">
        <f>IF('Upto Month Current'!$K$25="",0,'Upto Month Current'!$K$25)</f>
        <v>0</v>
      </c>
      <c r="AJ62" s="9">
        <f>IF('Upto Month Current'!$K$28="",0,'Upto Month Current'!$K$28)</f>
        <v>1230</v>
      </c>
      <c r="AK62" s="9">
        <f>IF('Upto Month Current'!$K$29="",0,'Upto Month Current'!$K$29)</f>
        <v>3801</v>
      </c>
      <c r="AL62" s="9">
        <f>IF('Upto Month Current'!$K$31="",0,'Upto Month Current'!$K$31)</f>
        <v>8</v>
      </c>
      <c r="AM62" s="9">
        <f>IF('Upto Month Current'!$K$32="",0,'Upto Month Current'!$K$32)</f>
        <v>0</v>
      </c>
      <c r="AN62" s="9">
        <f>IF('Upto Month Current'!$K$33="",0,'Upto Month Current'!$K$33)</f>
        <v>15296</v>
      </c>
      <c r="AO62" s="9">
        <f>IF('Upto Month Current'!$K$34="",0,'Upto Month Current'!$K$34)</f>
        <v>32755</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188</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294</v>
      </c>
      <c r="BC62" s="9">
        <f>IF('Upto Month Current'!$K$54="",0,'Upto Month Current'!$K$54)</f>
        <v>294</v>
      </c>
      <c r="BD62" s="9">
        <f>IF('Upto Month Current'!$K$55="",0,'Upto Month Current'!$K$55)</f>
        <v>0</v>
      </c>
      <c r="BE62" s="9">
        <f>IF('Upto Month Current'!$K$56="",0,'Upto Month Current'!$K$56)</f>
        <v>1642</v>
      </c>
      <c r="BF62" s="9">
        <f>IF('Upto Month Current'!$K$58="",0,'Upto Month Current'!$K$58)</f>
        <v>70039</v>
      </c>
      <c r="BG62" s="124">
        <f t="shared" si="73"/>
        <v>126419</v>
      </c>
      <c r="BH62" s="125">
        <f t="shared" si="74"/>
        <v>577430</v>
      </c>
      <c r="BI62" s="9">
        <f>IF('Upto Month Current'!$K$60="",0,'Upto Month Current'!$K$60)</f>
        <v>0</v>
      </c>
      <c r="BJ62" s="126">
        <f t="shared" si="72"/>
        <v>577430</v>
      </c>
      <c r="BK62">
        <f>'Upto Month Current'!$K$61</f>
        <v>577432</v>
      </c>
    </row>
    <row r="63" spans="1:64" ht="15.75" x14ac:dyDescent="0.25">
      <c r="A63" s="130"/>
      <c r="B63" s="5" t="s">
        <v>210</v>
      </c>
      <c r="C63" s="128">
        <f t="shared" ref="C63:AH63" si="77">C62/C59</f>
        <v>0.21649662030969372</v>
      </c>
      <c r="D63" s="128">
        <f t="shared" si="77"/>
        <v>0.18916342725343521</v>
      </c>
      <c r="E63" s="128">
        <f t="shared" si="77"/>
        <v>4.5698390621895487E-3</v>
      </c>
      <c r="F63" s="128">
        <f t="shared" si="77"/>
        <v>0.1979773594249325</v>
      </c>
      <c r="G63" s="128">
        <f t="shared" si="77"/>
        <v>0.18052482187337079</v>
      </c>
      <c r="H63" s="128" t="e">
        <f t="shared" si="77"/>
        <v>#DIV/0!</v>
      </c>
      <c r="I63" s="128" t="e">
        <f t="shared" si="77"/>
        <v>#DIV/0!</v>
      </c>
      <c r="J63" s="128">
        <f t="shared" si="77"/>
        <v>7.9827572443521991E-4</v>
      </c>
      <c r="K63" s="128">
        <f t="shared" si="77"/>
        <v>0</v>
      </c>
      <c r="L63" s="128">
        <f t="shared" si="77"/>
        <v>4.9352750809061485E-2</v>
      </c>
      <c r="M63" s="128">
        <f t="shared" si="77"/>
        <v>0.18990334287110056</v>
      </c>
      <c r="N63" s="128">
        <f t="shared" si="77"/>
        <v>9.2413793103448272E-2</v>
      </c>
      <c r="O63" s="128">
        <f t="shared" si="77"/>
        <v>6.8834125098970703E-2</v>
      </c>
      <c r="P63" s="128">
        <f t="shared" si="77"/>
        <v>0.47834896103284175</v>
      </c>
      <c r="Q63" s="128" t="e">
        <f t="shared" si="77"/>
        <v>#DIV/0!</v>
      </c>
      <c r="R63" s="128">
        <f t="shared" si="77"/>
        <v>0.16420911528150134</v>
      </c>
      <c r="S63" s="128" t="e">
        <f t="shared" si="77"/>
        <v>#DIV/0!</v>
      </c>
      <c r="T63" s="128" t="e">
        <f t="shared" si="77"/>
        <v>#DIV/0!</v>
      </c>
      <c r="U63" s="128" t="e">
        <f t="shared" si="77"/>
        <v>#DIV/0!</v>
      </c>
      <c r="V63" s="128" t="e">
        <f t="shared" si="77"/>
        <v>#DIV/0!</v>
      </c>
      <c r="W63" s="128" t="e">
        <f t="shared" si="77"/>
        <v>#DIV/0!</v>
      </c>
      <c r="X63" s="128" t="e">
        <f t="shared" si="77"/>
        <v>#DIV/0!</v>
      </c>
      <c r="Y63" s="128">
        <f t="shared" si="77"/>
        <v>0.46258134490238612</v>
      </c>
      <c r="Z63" s="128">
        <f t="shared" si="77"/>
        <v>0.20487106017191978</v>
      </c>
      <c r="AA63" s="128">
        <f t="shared" si="77"/>
        <v>1.1393258426966293</v>
      </c>
      <c r="AB63" s="128" t="e">
        <f t="shared" si="77"/>
        <v>#DIV/0!</v>
      </c>
      <c r="AC63" s="128">
        <f t="shared" si="77"/>
        <v>0.21598550681606815</v>
      </c>
      <c r="AD63" s="128">
        <f t="shared" si="77"/>
        <v>4.8199719864875999E-2</v>
      </c>
      <c r="AE63" s="128">
        <f t="shared" si="77"/>
        <v>1.2533333333333334</v>
      </c>
      <c r="AF63" s="128">
        <f t="shared" si="77"/>
        <v>0.49487179487179489</v>
      </c>
      <c r="AG63" s="128" t="e">
        <f t="shared" si="77"/>
        <v>#DIV/0!</v>
      </c>
      <c r="AH63" s="128" t="e">
        <f t="shared" si="77"/>
        <v>#DIV/0!</v>
      </c>
      <c r="AI63" s="128">
        <f t="shared" ref="AI63:BJ63" si="78">AI62/AI59</f>
        <v>0</v>
      </c>
      <c r="AJ63" s="128">
        <f t="shared" si="78"/>
        <v>0.33414832925835369</v>
      </c>
      <c r="AK63" s="128">
        <f t="shared" si="78"/>
        <v>0.37253748897383121</v>
      </c>
      <c r="AL63" s="128">
        <f t="shared" si="78"/>
        <v>3.4334763948497854E-2</v>
      </c>
      <c r="AM63" s="128">
        <f t="shared" si="78"/>
        <v>0</v>
      </c>
      <c r="AN63" s="128">
        <f t="shared" si="78"/>
        <v>0.1616383637497226</v>
      </c>
      <c r="AO63" s="128">
        <f t="shared" si="78"/>
        <v>0.16798211199491259</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0.1891348088531187</v>
      </c>
      <c r="AX63" s="128">
        <f t="shared" si="78"/>
        <v>0</v>
      </c>
      <c r="AY63" s="128" t="e">
        <f t="shared" si="78"/>
        <v>#DIV/0!</v>
      </c>
      <c r="AZ63" s="128" t="e">
        <f t="shared" si="78"/>
        <v>#DIV/0!</v>
      </c>
      <c r="BA63" s="128" t="e">
        <f t="shared" si="78"/>
        <v>#DIV/0!</v>
      </c>
      <c r="BB63" s="128">
        <f t="shared" si="78"/>
        <v>8.5889570552147243E-2</v>
      </c>
      <c r="BC63" s="128">
        <f t="shared" si="78"/>
        <v>8.5889570552147243E-2</v>
      </c>
      <c r="BD63" s="128">
        <f t="shared" si="78"/>
        <v>0</v>
      </c>
      <c r="BE63" s="128">
        <f t="shared" si="78"/>
        <v>29.854545454545455</v>
      </c>
      <c r="BF63" s="128">
        <f t="shared" si="78"/>
        <v>7.5874261856605993E-2</v>
      </c>
      <c r="BG63" s="128">
        <f t="shared" si="78"/>
        <v>0.10121317462973475</v>
      </c>
      <c r="BH63" s="128">
        <f t="shared" si="78"/>
        <v>0.1730287538232004</v>
      </c>
      <c r="BI63" s="128">
        <f t="shared" si="78"/>
        <v>0</v>
      </c>
      <c r="BJ63" s="128">
        <f t="shared" si="78"/>
        <v>0.1835374739957058</v>
      </c>
    </row>
    <row r="64" spans="1:64" ht="15.75" x14ac:dyDescent="0.2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x14ac:dyDescent="0.25">
      <c r="A65" s="15" t="s">
        <v>143</v>
      </c>
      <c r="B65" s="11" t="s">
        <v>214</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x14ac:dyDescent="0.25">
      <c r="A66" s="130"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x14ac:dyDescent="0.2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x14ac:dyDescent="0.25">
      <c r="A68" s="130"/>
      <c r="B68" s="12" t="s">
        <v>212</v>
      </c>
      <c r="C68" s="9">
        <f>IF('Upto Month Current'!$L$4="",0,'Upto Month Current'!$L$4)</f>
        <v>35</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633871</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633906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14028539</v>
      </c>
      <c r="BG68" s="124">
        <f t="shared" si="81"/>
        <v>14028539</v>
      </c>
      <c r="BH68" s="125">
        <f t="shared" si="82"/>
        <v>14662445</v>
      </c>
      <c r="BI68" s="9">
        <f>IF('Upto Month Current'!$L$60="",0,'Upto Month Current'!$L$60)</f>
        <v>14027083</v>
      </c>
      <c r="BJ68" s="126">
        <f t="shared" si="80"/>
        <v>635362</v>
      </c>
      <c r="BK68">
        <f>'Upto Month Current'!$L$61</f>
        <v>635363</v>
      </c>
    </row>
    <row r="69" spans="1:63" ht="15.75" x14ac:dyDescent="0.25">
      <c r="A69" s="130"/>
      <c r="B69" s="5" t="s">
        <v>210</v>
      </c>
      <c r="C69" s="128" t="e">
        <f t="shared" ref="C69:AH69" si="85">C68/C65</f>
        <v>#DIV/0!</v>
      </c>
      <c r="D69" s="128" t="e">
        <f t="shared" si="85"/>
        <v>#DIV/0!</v>
      </c>
      <c r="E69" s="128" t="e">
        <f t="shared" si="85"/>
        <v>#DIV/0!</v>
      </c>
      <c r="F69" s="128" t="e">
        <f t="shared" si="85"/>
        <v>#DIV/0!</v>
      </c>
      <c r="G69" s="128" t="e">
        <f t="shared" si="85"/>
        <v>#DIV/0!</v>
      </c>
      <c r="H69" s="128">
        <f t="shared" si="85"/>
        <v>0.23780022291742714</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0.23781335336163756</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0.19511626941789878</v>
      </c>
      <c r="BG69" s="128">
        <f t="shared" si="86"/>
        <v>0.19511626941789878</v>
      </c>
      <c r="BH69" s="128">
        <f t="shared" si="86"/>
        <v>0.19664263346036395</v>
      </c>
      <c r="BI69" s="128">
        <f t="shared" si="86"/>
        <v>0.1952093892558234</v>
      </c>
      <c r="BJ69" s="128">
        <f t="shared" si="86"/>
        <v>0.23468326760405228</v>
      </c>
    </row>
    <row r="70" spans="1:63" ht="15.75" x14ac:dyDescent="0.2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x14ac:dyDescent="0.25">
      <c r="A71" s="130"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x14ac:dyDescent="0.2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x14ac:dyDescent="0.2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x14ac:dyDescent="0.25">
      <c r="A74" s="130"/>
      <c r="B74" s="12" t="str">
        <f>B68</f>
        <v>Actuals upto Sep' 20</v>
      </c>
      <c r="C74" s="5">
        <f>C8+C14+C20+C26+C32+C38+C44+C50+C56+C62+C68</f>
        <v>4323271</v>
      </c>
      <c r="D74" s="5">
        <f t="shared" ref="D74:AB74" si="95">D8+D14+D20+D26+D32+D38+D44+D50+D56+D62+D68</f>
        <v>763751</v>
      </c>
      <c r="E74" s="5">
        <f t="shared" si="95"/>
        <v>1457</v>
      </c>
      <c r="F74" s="5">
        <f t="shared" si="95"/>
        <v>457203</v>
      </c>
      <c r="G74" s="5">
        <f t="shared" si="95"/>
        <v>230854</v>
      </c>
      <c r="H74" s="5">
        <f t="shared" si="95"/>
        <v>633871</v>
      </c>
      <c r="I74" s="5">
        <f t="shared" si="95"/>
        <v>0</v>
      </c>
      <c r="J74" s="5">
        <f t="shared" si="95"/>
        <v>354317</v>
      </c>
      <c r="K74" s="5">
        <f t="shared" si="95"/>
        <v>2095</v>
      </c>
      <c r="L74" s="5">
        <f t="shared" si="95"/>
        <v>54506</v>
      </c>
      <c r="M74" s="5">
        <f t="shared" si="95"/>
        <v>198441</v>
      </c>
      <c r="N74" s="5">
        <f t="shared" si="95"/>
        <v>2016</v>
      </c>
      <c r="O74" s="5">
        <f t="shared" si="95"/>
        <v>7706</v>
      </c>
      <c r="P74" s="5">
        <f t="shared" si="95"/>
        <v>223879</v>
      </c>
      <c r="Q74" s="5">
        <f t="shared" si="95"/>
        <v>0</v>
      </c>
      <c r="R74" s="5">
        <f t="shared" si="95"/>
        <v>6755</v>
      </c>
      <c r="S74" s="5">
        <f t="shared" si="95"/>
        <v>163549</v>
      </c>
      <c r="T74" s="5">
        <f t="shared" si="95"/>
        <v>129918</v>
      </c>
      <c r="U74" s="5">
        <f t="shared" si="95"/>
        <v>0</v>
      </c>
      <c r="V74" s="5">
        <f t="shared" si="95"/>
        <v>57201</v>
      </c>
      <c r="W74" s="5">
        <f t="shared" si="95"/>
        <v>0</v>
      </c>
      <c r="X74" s="5">
        <f t="shared" si="95"/>
        <v>0</v>
      </c>
      <c r="Y74" s="5">
        <f t="shared" si="95"/>
        <v>20624</v>
      </c>
      <c r="Z74" s="5">
        <f t="shared" si="95"/>
        <v>2135</v>
      </c>
      <c r="AA74" s="5">
        <f t="shared" si="95"/>
        <v>2835</v>
      </c>
      <c r="AB74" s="5">
        <f t="shared" si="95"/>
        <v>224124</v>
      </c>
      <c r="AC74" s="123">
        <f t="shared" si="88"/>
        <v>7860508</v>
      </c>
      <c r="AD74" s="5">
        <f>AD8+AD14+AD20+AD26+AD32+AD38+AD44+AD50+AD56+AD62+AD68</f>
        <v>5106</v>
      </c>
      <c r="AE74" s="5">
        <f t="shared" ref="AE74:BF74" si="96">AE8+AE14+AE20+AE26+AE32+AE38+AE44+AE50+AE56+AE62+AE68</f>
        <v>2623</v>
      </c>
      <c r="AF74" s="5">
        <f t="shared" si="96"/>
        <v>48990</v>
      </c>
      <c r="AG74" s="5">
        <f t="shared" si="96"/>
        <v>0</v>
      </c>
      <c r="AH74" s="5">
        <f t="shared" si="96"/>
        <v>0</v>
      </c>
      <c r="AI74" s="5">
        <f t="shared" si="96"/>
        <v>1524</v>
      </c>
      <c r="AJ74" s="5">
        <f t="shared" si="96"/>
        <v>382013</v>
      </c>
      <c r="AK74" s="5">
        <f t="shared" si="96"/>
        <v>103174</v>
      </c>
      <c r="AL74" s="5">
        <f t="shared" si="96"/>
        <v>1458895</v>
      </c>
      <c r="AM74" s="5">
        <f t="shared" si="96"/>
        <v>37923</v>
      </c>
      <c r="AN74" s="5">
        <f t="shared" si="96"/>
        <v>417274</v>
      </c>
      <c r="AO74" s="5">
        <f t="shared" si="96"/>
        <v>4538715</v>
      </c>
      <c r="AP74" s="5">
        <f t="shared" si="96"/>
        <v>58959</v>
      </c>
      <c r="AQ74" s="5">
        <f t="shared" si="96"/>
        <v>338211</v>
      </c>
      <c r="AR74" s="5">
        <f t="shared" si="96"/>
        <v>0</v>
      </c>
      <c r="AS74" s="5">
        <f t="shared" si="96"/>
        <v>0</v>
      </c>
      <c r="AT74" s="5">
        <f t="shared" si="96"/>
        <v>140459</v>
      </c>
      <c r="AU74" s="5">
        <f t="shared" si="96"/>
        <v>0</v>
      </c>
      <c r="AV74" s="5">
        <f t="shared" si="96"/>
        <v>2421</v>
      </c>
      <c r="AW74" s="5">
        <f t="shared" si="96"/>
        <v>2238</v>
      </c>
      <c r="AX74" s="5">
        <f t="shared" si="96"/>
        <v>1408</v>
      </c>
      <c r="AY74" s="5">
        <f t="shared" si="96"/>
        <v>243459</v>
      </c>
      <c r="AZ74" s="5">
        <f t="shared" si="96"/>
        <v>123997</v>
      </c>
      <c r="BA74" s="5">
        <f t="shared" si="96"/>
        <v>199351</v>
      </c>
      <c r="BB74" s="5">
        <f t="shared" si="96"/>
        <v>21167</v>
      </c>
      <c r="BC74" s="5">
        <f t="shared" si="96"/>
        <v>21167</v>
      </c>
      <c r="BD74" s="5">
        <f t="shared" si="96"/>
        <v>0</v>
      </c>
      <c r="BE74" s="5">
        <f t="shared" si="96"/>
        <v>19212</v>
      </c>
      <c r="BF74" s="5">
        <f t="shared" si="96"/>
        <v>14132502</v>
      </c>
      <c r="BG74" s="6">
        <f>BG8+BG14+BG20+BG26+BG32+BG38+BG44+BG50+BG56+BG62+BG68</f>
        <v>22300788</v>
      </c>
      <c r="BH74" s="127">
        <f>AC74+BG74</f>
        <v>30161296</v>
      </c>
      <c r="BI74" s="5">
        <f t="shared" si="92"/>
        <v>14034240</v>
      </c>
      <c r="BJ74" s="51">
        <f t="shared" si="92"/>
        <v>16127056</v>
      </c>
      <c r="BK74" s="30">
        <f>'Upto Month Current'!N61-'Upto Month Current'!M61</f>
        <v>16128546</v>
      </c>
    </row>
    <row r="75" spans="1:63" ht="15.75" x14ac:dyDescent="0.25">
      <c r="A75" s="130"/>
      <c r="B75" s="5" t="s">
        <v>210</v>
      </c>
      <c r="C75" s="128">
        <f t="shared" ref="C75:AH75" si="97">C74/C71</f>
        <v>0.17910132481102536</v>
      </c>
      <c r="D75" s="128">
        <f t="shared" si="97"/>
        <v>0.17780258409963914</v>
      </c>
      <c r="E75" s="128">
        <f t="shared" si="97"/>
        <v>1.4123047903013338E-3</v>
      </c>
      <c r="F75" s="128">
        <f t="shared" si="97"/>
        <v>0.17844289689135936</v>
      </c>
      <c r="G75" s="128">
        <f t="shared" si="97"/>
        <v>0.17298161638535006</v>
      </c>
      <c r="H75" s="128">
        <f t="shared" si="97"/>
        <v>0.23780022291742714</v>
      </c>
      <c r="I75" s="128" t="e">
        <f t="shared" si="97"/>
        <v>#DIV/0!</v>
      </c>
      <c r="J75" s="128">
        <f t="shared" si="97"/>
        <v>0.27941108048750674</v>
      </c>
      <c r="K75" s="128">
        <f t="shared" si="97"/>
        <v>1.1003151260504202E-2</v>
      </c>
      <c r="L75" s="128">
        <f t="shared" si="97"/>
        <v>0.12341642457822269</v>
      </c>
      <c r="M75" s="128">
        <f t="shared" si="97"/>
        <v>0.21238560143330662</v>
      </c>
      <c r="N75" s="128">
        <f t="shared" si="97"/>
        <v>0.13994169096209913</v>
      </c>
      <c r="O75" s="128">
        <f t="shared" si="97"/>
        <v>9.7225551672365282E-2</v>
      </c>
      <c r="P75" s="128">
        <f t="shared" si="97"/>
        <v>0.29613624338624339</v>
      </c>
      <c r="Q75" s="128" t="e">
        <f t="shared" si="97"/>
        <v>#DIV/0!</v>
      </c>
      <c r="R75" s="128">
        <f t="shared" si="97"/>
        <v>0.15011111111111111</v>
      </c>
      <c r="S75" s="128">
        <f t="shared" si="97"/>
        <v>0.214438464110347</v>
      </c>
      <c r="T75" s="128">
        <f t="shared" si="97"/>
        <v>0.12945880960234049</v>
      </c>
      <c r="U75" s="128" t="e">
        <f t="shared" si="97"/>
        <v>#DIV/0!</v>
      </c>
      <c r="V75" s="128">
        <f t="shared" si="97"/>
        <v>0.17953466182475589</v>
      </c>
      <c r="W75" s="128">
        <f t="shared" si="97"/>
        <v>0</v>
      </c>
      <c r="X75" s="128">
        <f t="shared" si="97"/>
        <v>0</v>
      </c>
      <c r="Y75" s="128">
        <f t="shared" si="97"/>
        <v>2.5277607549944845</v>
      </c>
      <c r="Z75" s="128">
        <f t="shared" si="97"/>
        <v>1.5035211267605635</v>
      </c>
      <c r="AA75" s="128">
        <f t="shared" si="97"/>
        <v>6.309955707894678E-2</v>
      </c>
      <c r="AB75" s="128">
        <f t="shared" si="97"/>
        <v>0.13242107875285819</v>
      </c>
      <c r="AC75" s="128">
        <f t="shared" si="97"/>
        <v>0.1803280253026539</v>
      </c>
      <c r="AD75" s="128">
        <f t="shared" si="97"/>
        <v>4.1347142706755956E-2</v>
      </c>
      <c r="AE75" s="128">
        <f t="shared" si="97"/>
        <v>5.4214377247736763E-2</v>
      </c>
      <c r="AF75" s="128">
        <f t="shared" si="97"/>
        <v>0.79032700404923617</v>
      </c>
      <c r="AG75" s="128" t="e">
        <f t="shared" si="97"/>
        <v>#DIV/0!</v>
      </c>
      <c r="AH75" s="128">
        <f t="shared" si="97"/>
        <v>0</v>
      </c>
      <c r="AI75" s="128">
        <f t="shared" ref="AI75:BJ75" si="98">AI74/AI71</f>
        <v>0.13835678620063549</v>
      </c>
      <c r="AJ75" s="128">
        <f t="shared" si="98"/>
        <v>0.3041078638662098</v>
      </c>
      <c r="AK75" s="128">
        <f t="shared" si="98"/>
        <v>8.1232717950656008E-2</v>
      </c>
      <c r="AL75" s="128">
        <f t="shared" si="98"/>
        <v>0.20669387836061115</v>
      </c>
      <c r="AM75" s="128">
        <f t="shared" si="98"/>
        <v>0.34226534296028882</v>
      </c>
      <c r="AN75" s="128">
        <f t="shared" si="98"/>
        <v>0.14869738250642506</v>
      </c>
      <c r="AO75" s="128">
        <f t="shared" si="98"/>
        <v>0.26344957070521502</v>
      </c>
      <c r="AP75" s="128">
        <f t="shared" si="98"/>
        <v>0.70483807337804394</v>
      </c>
      <c r="AQ75" s="128">
        <f t="shared" si="98"/>
        <v>0.37223884145254277</v>
      </c>
      <c r="AR75" s="128" t="e">
        <f t="shared" si="98"/>
        <v>#DIV/0!</v>
      </c>
      <c r="AS75" s="128" t="e">
        <f t="shared" si="98"/>
        <v>#DIV/0!</v>
      </c>
      <c r="AT75" s="128">
        <f t="shared" si="98"/>
        <v>0.2456882678906272</v>
      </c>
      <c r="AU75" s="128">
        <f t="shared" si="98"/>
        <v>0</v>
      </c>
      <c r="AV75" s="128">
        <f t="shared" si="98"/>
        <v>0.16730011747633197</v>
      </c>
      <c r="AW75" s="128">
        <f t="shared" si="98"/>
        <v>0.16571640133283969</v>
      </c>
      <c r="AX75" s="128">
        <f t="shared" si="98"/>
        <v>0.46209386281588449</v>
      </c>
      <c r="AY75" s="128">
        <f t="shared" si="98"/>
        <v>1.669975169083451</v>
      </c>
      <c r="AZ75" s="128">
        <f t="shared" si="98"/>
        <v>0.12552920953154201</v>
      </c>
      <c r="BA75" s="128">
        <f t="shared" si="98"/>
        <v>0.26369179894179895</v>
      </c>
      <c r="BB75" s="128">
        <f t="shared" si="98"/>
        <v>0.29361501435685455</v>
      </c>
      <c r="BC75" s="128">
        <f t="shared" si="98"/>
        <v>0.29328548467549742</v>
      </c>
      <c r="BD75" s="128">
        <f t="shared" si="98"/>
        <v>0</v>
      </c>
      <c r="BE75" s="128">
        <f t="shared" si="98"/>
        <v>0.56773049645390072</v>
      </c>
      <c r="BF75" s="128">
        <f t="shared" si="98"/>
        <v>0.19309094794819395</v>
      </c>
      <c r="BG75" s="128">
        <f t="shared" si="98"/>
        <v>0.20875313853465866</v>
      </c>
      <c r="BH75" s="128">
        <f t="shared" si="98"/>
        <v>0.20051577674905136</v>
      </c>
      <c r="BI75" s="128">
        <f t="shared" si="98"/>
        <v>0.19216321582996906</v>
      </c>
      <c r="BJ75" s="128">
        <f t="shared" si="98"/>
        <v>0.20839852845072623</v>
      </c>
    </row>
    <row r="76" spans="1:63" x14ac:dyDescent="0.25">
      <c r="BF76" s="30">
        <f>BF74-BF68</f>
        <v>103963</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2021-05-28T05:49:29Z</cp:lastPrinted>
  <dcterms:created xsi:type="dcterms:W3CDTF">2015-06-05T18:17:20Z</dcterms:created>
  <dcterms:modified xsi:type="dcterms:W3CDTF">2022-01-28T06:19:10Z</dcterms:modified>
</cp:coreProperties>
</file>