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Web Development\Office-Automation\"/>
    </mc:Choice>
  </mc:AlternateContent>
  <xr:revisionPtr revIDLastSave="0" documentId="13_ncr:1_{1C4B2CFC-6481-4A5F-80F6-34EFBA3E7B2B}" xr6:coauthVersionLast="47" xr6:coauthVersionMax="47" xr10:uidLastSave="{00000000-0000-0000-0000-000000000000}"/>
  <bookViews>
    <workbookView xWindow="-120" yWindow="-120" windowWidth="24240" windowHeight="13140" firstSheet="8" activeTab="13" xr2:uid="{00000000-000D-0000-FFFF-FFFF00000000}"/>
  </bookViews>
  <sheets>
    <sheet name="Capex March21" sheetId="1" r:id="rId1"/>
    <sheet name="Sheet5" sheetId="2" r:id="rId2"/>
    <sheet name="Capex April21" sheetId="3" r:id="rId3"/>
    <sheet name="Capex May21" sheetId="4" r:id="rId4"/>
    <sheet name="Capex May21(Revised)" sheetId="5" r:id="rId5"/>
    <sheet name="Capex July21" sheetId="6" r:id="rId6"/>
    <sheet name="Capex June21" sheetId="7" r:id="rId7"/>
    <sheet name="Capex Aug21" sheetId="8" r:id="rId8"/>
    <sheet name="Capex Aug-21(R)" sheetId="9" r:id="rId9"/>
    <sheet name="Capex Sept-21" sheetId="10" r:id="rId10"/>
    <sheet name="Capex Oct-21" sheetId="11" r:id="rId11"/>
    <sheet name="Capex Nov-21" sheetId="12" r:id="rId12"/>
    <sheet name="Capex Dec-21" sheetId="14" r:id="rId13"/>
    <sheet name="Capex Jan-22" sheetId="17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3" i="17" l="1"/>
  <c r="E143" i="17"/>
  <c r="D143" i="17"/>
  <c r="C143" i="17"/>
  <c r="D136" i="17"/>
  <c r="C136" i="17"/>
  <c r="G135" i="17"/>
  <c r="G144" i="17" s="1"/>
  <c r="E135" i="17"/>
  <c r="E144" i="17" s="1"/>
  <c r="D135" i="17"/>
  <c r="D144" i="17" s="1"/>
  <c r="C135" i="17"/>
  <c r="C144" i="17" s="1"/>
  <c r="G130" i="17"/>
  <c r="G136" i="17" s="1"/>
  <c r="E130" i="17"/>
  <c r="E136" i="17" s="1"/>
  <c r="D130" i="17"/>
  <c r="C130" i="17"/>
  <c r="E129" i="17"/>
  <c r="C123" i="17"/>
  <c r="D122" i="17"/>
  <c r="D123" i="17" s="1"/>
  <c r="E123" i="17" s="1"/>
  <c r="C122" i="17"/>
  <c r="L121" i="17"/>
  <c r="E121" i="17"/>
  <c r="D120" i="17"/>
  <c r="C120" i="17"/>
  <c r="E120" i="17" s="1"/>
  <c r="E119" i="17"/>
  <c r="L115" i="17"/>
  <c r="M115" i="17" s="1"/>
  <c r="K115" i="17"/>
  <c r="D115" i="17"/>
  <c r="C115" i="17"/>
  <c r="M114" i="17"/>
  <c r="I114" i="17"/>
  <c r="H114" i="17"/>
  <c r="H115" i="17" s="1"/>
  <c r="I115" i="17" s="1"/>
  <c r="G114" i="17"/>
  <c r="G115" i="17" s="1"/>
  <c r="L113" i="17"/>
  <c r="L116" i="17" s="1"/>
  <c r="K113" i="17"/>
  <c r="D113" i="17"/>
  <c r="C113" i="17"/>
  <c r="M112" i="17"/>
  <c r="I112" i="17"/>
  <c r="H112" i="17"/>
  <c r="H113" i="17" s="1"/>
  <c r="G112" i="17"/>
  <c r="G113" i="17" s="1"/>
  <c r="L111" i="17"/>
  <c r="K111" i="17"/>
  <c r="K121" i="17" s="1"/>
  <c r="M121" i="17" s="1"/>
  <c r="D111" i="17"/>
  <c r="C111" i="17"/>
  <c r="M110" i="17"/>
  <c r="H110" i="17"/>
  <c r="H111" i="17" s="1"/>
  <c r="I111" i="17" s="1"/>
  <c r="G110" i="17"/>
  <c r="G111" i="17" s="1"/>
  <c r="L109" i="17"/>
  <c r="K109" i="17"/>
  <c r="M109" i="17" s="1"/>
  <c r="D109" i="17"/>
  <c r="C109" i="17"/>
  <c r="M108" i="17"/>
  <c r="H108" i="17"/>
  <c r="I108" i="17" s="1"/>
  <c r="G108" i="17"/>
  <c r="G109" i="17" s="1"/>
  <c r="L107" i="17"/>
  <c r="K107" i="17"/>
  <c r="K116" i="17" s="1"/>
  <c r="M106" i="17"/>
  <c r="D106" i="17"/>
  <c r="H106" i="17" s="1"/>
  <c r="C106" i="17"/>
  <c r="G106" i="17" s="1"/>
  <c r="G107" i="17" s="1"/>
  <c r="K103" i="17"/>
  <c r="C103" i="17"/>
  <c r="M102" i="17"/>
  <c r="L102" i="17"/>
  <c r="K102" i="17"/>
  <c r="H102" i="17"/>
  <c r="I102" i="17" s="1"/>
  <c r="G102" i="17"/>
  <c r="E102" i="17"/>
  <c r="D102" i="17"/>
  <c r="C102" i="17"/>
  <c r="L101" i="17"/>
  <c r="M101" i="17" s="1"/>
  <c r="K101" i="17"/>
  <c r="K100" i="17"/>
  <c r="E100" i="17"/>
  <c r="D100" i="17"/>
  <c r="C100" i="17"/>
  <c r="L99" i="17"/>
  <c r="K99" i="17"/>
  <c r="H99" i="17"/>
  <c r="G99" i="17"/>
  <c r="D99" i="17"/>
  <c r="C99" i="17"/>
  <c r="L98" i="17"/>
  <c r="M98" i="17" s="1"/>
  <c r="K98" i="17"/>
  <c r="H98" i="17"/>
  <c r="D98" i="17"/>
  <c r="C98" i="17"/>
  <c r="E98" i="17" s="1"/>
  <c r="L97" i="17"/>
  <c r="K97" i="17"/>
  <c r="K104" i="17" s="1"/>
  <c r="K120" i="17" s="1"/>
  <c r="K122" i="17" s="1"/>
  <c r="D97" i="17"/>
  <c r="L95" i="17"/>
  <c r="M95" i="17" s="1"/>
  <c r="K95" i="17"/>
  <c r="D95" i="17"/>
  <c r="E95" i="17" s="1"/>
  <c r="C95" i="17"/>
  <c r="M94" i="17"/>
  <c r="H94" i="17"/>
  <c r="I94" i="17" s="1"/>
  <c r="G94" i="17"/>
  <c r="G95" i="17" s="1"/>
  <c r="M93" i="17"/>
  <c r="I93" i="17"/>
  <c r="H93" i="17"/>
  <c r="G93" i="17"/>
  <c r="M92" i="17"/>
  <c r="H92" i="17"/>
  <c r="H95" i="17" s="1"/>
  <c r="I95" i="17" s="1"/>
  <c r="G92" i="17"/>
  <c r="L90" i="17"/>
  <c r="K90" i="17"/>
  <c r="M90" i="17" s="1"/>
  <c r="H90" i="17"/>
  <c r="D90" i="17"/>
  <c r="C90" i="17"/>
  <c r="E90" i="17" s="1"/>
  <c r="M89" i="17"/>
  <c r="I89" i="17"/>
  <c r="H89" i="17"/>
  <c r="G89" i="17"/>
  <c r="M88" i="17"/>
  <c r="H88" i="17"/>
  <c r="I88" i="17" s="1"/>
  <c r="G88" i="17"/>
  <c r="E88" i="17"/>
  <c r="M87" i="17"/>
  <c r="H87" i="17"/>
  <c r="I87" i="17" s="1"/>
  <c r="G87" i="17"/>
  <c r="E87" i="17"/>
  <c r="M86" i="17"/>
  <c r="K86" i="17"/>
  <c r="H86" i="17"/>
  <c r="I86" i="17" s="1"/>
  <c r="G86" i="17"/>
  <c r="G90" i="17" s="1"/>
  <c r="E86" i="17"/>
  <c r="K84" i="17"/>
  <c r="E84" i="17"/>
  <c r="D84" i="17"/>
  <c r="C84" i="17"/>
  <c r="L83" i="17"/>
  <c r="H83" i="17" s="1"/>
  <c r="I83" i="17" s="1"/>
  <c r="G83" i="17"/>
  <c r="M82" i="17"/>
  <c r="H82" i="17"/>
  <c r="H84" i="17" s="1"/>
  <c r="I84" i="17" s="1"/>
  <c r="G82" i="17"/>
  <c r="G84" i="17" s="1"/>
  <c r="E82" i="17"/>
  <c r="M81" i="17"/>
  <c r="H81" i="17"/>
  <c r="I81" i="17" s="1"/>
  <c r="G81" i="17"/>
  <c r="M80" i="17"/>
  <c r="I80" i="17"/>
  <c r="H80" i="17"/>
  <c r="G80" i="17"/>
  <c r="L78" i="17"/>
  <c r="M78" i="17" s="1"/>
  <c r="K78" i="17"/>
  <c r="D78" i="17"/>
  <c r="E78" i="17" s="1"/>
  <c r="C78" i="17"/>
  <c r="M77" i="17"/>
  <c r="H77" i="17"/>
  <c r="G77" i="17"/>
  <c r="I77" i="17" s="1"/>
  <c r="M76" i="17"/>
  <c r="I76" i="17"/>
  <c r="H76" i="17"/>
  <c r="G76" i="17"/>
  <c r="E76" i="17"/>
  <c r="M75" i="17"/>
  <c r="H75" i="17"/>
  <c r="I75" i="17" s="1"/>
  <c r="G75" i="17"/>
  <c r="G78" i="17" s="1"/>
  <c r="E75" i="17"/>
  <c r="L73" i="17"/>
  <c r="M73" i="17" s="1"/>
  <c r="K73" i="17"/>
  <c r="D73" i="17"/>
  <c r="E73" i="17" s="1"/>
  <c r="C73" i="17"/>
  <c r="M72" i="17"/>
  <c r="I72" i="17"/>
  <c r="H72" i="17"/>
  <c r="G72" i="17"/>
  <c r="M71" i="17"/>
  <c r="H71" i="17"/>
  <c r="I71" i="17" s="1"/>
  <c r="G71" i="17"/>
  <c r="E71" i="17"/>
  <c r="M70" i="17"/>
  <c r="H70" i="17"/>
  <c r="I70" i="17" s="1"/>
  <c r="G70" i="17"/>
  <c r="G100" i="17" s="1"/>
  <c r="E70" i="17"/>
  <c r="M69" i="17"/>
  <c r="H69" i="17"/>
  <c r="H73" i="17" s="1"/>
  <c r="I73" i="17" s="1"/>
  <c r="G69" i="17"/>
  <c r="G73" i="17" s="1"/>
  <c r="E69" i="17"/>
  <c r="C69" i="17"/>
  <c r="C97" i="17" s="1"/>
  <c r="L67" i="17"/>
  <c r="K67" i="17"/>
  <c r="M67" i="17" s="1"/>
  <c r="M66" i="17"/>
  <c r="H66" i="17"/>
  <c r="I66" i="17" s="1"/>
  <c r="G66" i="17"/>
  <c r="M65" i="17"/>
  <c r="I65" i="17"/>
  <c r="H65" i="17"/>
  <c r="G65" i="17"/>
  <c r="M64" i="17"/>
  <c r="H64" i="17"/>
  <c r="I64" i="17" s="1"/>
  <c r="G64" i="17"/>
  <c r="M63" i="17"/>
  <c r="H63" i="17"/>
  <c r="I63" i="17" s="1"/>
  <c r="G63" i="17"/>
  <c r="G67" i="17" s="1"/>
  <c r="M61" i="17"/>
  <c r="L61" i="17"/>
  <c r="K61" i="17"/>
  <c r="E61" i="17"/>
  <c r="D61" i="17"/>
  <c r="C61" i="17"/>
  <c r="M60" i="17"/>
  <c r="H60" i="17"/>
  <c r="I60" i="17" s="1"/>
  <c r="G60" i="17"/>
  <c r="G61" i="17" s="1"/>
  <c r="E60" i="17"/>
  <c r="M59" i="17"/>
  <c r="H59" i="17"/>
  <c r="I59" i="17" s="1"/>
  <c r="G59" i="17"/>
  <c r="E59" i="17"/>
  <c r="M58" i="17"/>
  <c r="H58" i="17"/>
  <c r="G58" i="17"/>
  <c r="I58" i="17" s="1"/>
  <c r="M57" i="17"/>
  <c r="I57" i="17"/>
  <c r="H57" i="17"/>
  <c r="G57" i="17"/>
  <c r="E57" i="17"/>
  <c r="L55" i="17"/>
  <c r="M55" i="17" s="1"/>
  <c r="K55" i="17"/>
  <c r="D55" i="17"/>
  <c r="E55" i="17" s="1"/>
  <c r="C55" i="17"/>
  <c r="M54" i="17"/>
  <c r="L54" i="17"/>
  <c r="H54" i="17"/>
  <c r="I54" i="17" s="1"/>
  <c r="G54" i="17"/>
  <c r="E54" i="17"/>
  <c r="D54" i="17"/>
  <c r="D103" i="17" s="1"/>
  <c r="E103" i="17" s="1"/>
  <c r="C54" i="17"/>
  <c r="M53" i="17"/>
  <c r="H53" i="17"/>
  <c r="H55" i="17" s="1"/>
  <c r="I55" i="17" s="1"/>
  <c r="G53" i="17"/>
  <c r="G55" i="17" s="1"/>
  <c r="E53" i="17"/>
  <c r="D53" i="17"/>
  <c r="C53" i="17"/>
  <c r="K51" i="17"/>
  <c r="D51" i="17"/>
  <c r="C51" i="17"/>
  <c r="M50" i="17"/>
  <c r="I50" i="17"/>
  <c r="H50" i="17"/>
  <c r="G50" i="17"/>
  <c r="L49" i="17"/>
  <c r="L100" i="17" s="1"/>
  <c r="M100" i="17" s="1"/>
  <c r="H49" i="17"/>
  <c r="G49" i="17"/>
  <c r="M48" i="17"/>
  <c r="H48" i="17"/>
  <c r="H51" i="17" s="1"/>
  <c r="I51" i="17" s="1"/>
  <c r="G48" i="17"/>
  <c r="G51" i="17" s="1"/>
  <c r="M46" i="17"/>
  <c r="L46" i="17"/>
  <c r="K46" i="17"/>
  <c r="H46" i="17"/>
  <c r="I46" i="17" s="1"/>
  <c r="G46" i="17"/>
  <c r="M45" i="17"/>
  <c r="I45" i="17"/>
  <c r="H45" i="17"/>
  <c r="G45" i="17"/>
  <c r="L43" i="17"/>
  <c r="M43" i="17" s="1"/>
  <c r="K43" i="17"/>
  <c r="D43" i="17"/>
  <c r="E43" i="17" s="1"/>
  <c r="C43" i="17"/>
  <c r="M42" i="17"/>
  <c r="H42" i="17"/>
  <c r="G42" i="17"/>
  <c r="I42" i="17" s="1"/>
  <c r="E42" i="17"/>
  <c r="M41" i="17"/>
  <c r="I41" i="17"/>
  <c r="H41" i="17"/>
  <c r="H43" i="17" s="1"/>
  <c r="I43" i="17" s="1"/>
  <c r="G41" i="17"/>
  <c r="G43" i="17" s="1"/>
  <c r="E41" i="17"/>
  <c r="L39" i="17"/>
  <c r="M39" i="17" s="1"/>
  <c r="K39" i="17"/>
  <c r="H38" i="17"/>
  <c r="G38" i="17"/>
  <c r="M37" i="17"/>
  <c r="H37" i="17"/>
  <c r="H39" i="17" s="1"/>
  <c r="G37" i="17"/>
  <c r="I37" i="17" s="1"/>
  <c r="L35" i="17"/>
  <c r="M35" i="17" s="1"/>
  <c r="K35" i="17"/>
  <c r="G35" i="17"/>
  <c r="M34" i="17"/>
  <c r="I34" i="17"/>
  <c r="H34" i="17"/>
  <c r="H35" i="17" s="1"/>
  <c r="I35" i="17" s="1"/>
  <c r="G34" i="17"/>
  <c r="L32" i="17"/>
  <c r="M32" i="17" s="1"/>
  <c r="K32" i="17"/>
  <c r="K31" i="17"/>
  <c r="G31" i="17" s="1"/>
  <c r="H31" i="17"/>
  <c r="I31" i="17" s="1"/>
  <c r="M30" i="17"/>
  <c r="H30" i="17"/>
  <c r="I30" i="17" s="1"/>
  <c r="G30" i="17"/>
  <c r="H29" i="17"/>
  <c r="G29" i="17"/>
  <c r="M28" i="17"/>
  <c r="K28" i="17"/>
  <c r="H28" i="17"/>
  <c r="H32" i="17" s="1"/>
  <c r="G28" i="17"/>
  <c r="G32" i="17" s="1"/>
  <c r="M26" i="17"/>
  <c r="L26" i="17"/>
  <c r="K26" i="17"/>
  <c r="M25" i="17"/>
  <c r="H25" i="17"/>
  <c r="G25" i="17"/>
  <c r="I25" i="17" s="1"/>
  <c r="M24" i="17"/>
  <c r="I24" i="17"/>
  <c r="H24" i="17"/>
  <c r="G24" i="17"/>
  <c r="M23" i="17"/>
  <c r="H23" i="17"/>
  <c r="I23" i="17" s="1"/>
  <c r="G23" i="17"/>
  <c r="G26" i="17" s="1"/>
  <c r="M21" i="17"/>
  <c r="L21" i="17"/>
  <c r="K21" i="17"/>
  <c r="M20" i="17"/>
  <c r="H20" i="17"/>
  <c r="H103" i="17" s="1"/>
  <c r="I103" i="17" s="1"/>
  <c r="D20" i="17"/>
  <c r="C20" i="17"/>
  <c r="G20" i="17" s="1"/>
  <c r="G103" i="17" s="1"/>
  <c r="M19" i="17"/>
  <c r="D19" i="17"/>
  <c r="H19" i="17" s="1"/>
  <c r="C19" i="17"/>
  <c r="C101" i="17" s="1"/>
  <c r="H18" i="17"/>
  <c r="H21" i="17" s="1"/>
  <c r="G18" i="17"/>
  <c r="M17" i="17"/>
  <c r="H17" i="17"/>
  <c r="I17" i="17" s="1"/>
  <c r="G17" i="17"/>
  <c r="E17" i="17"/>
  <c r="D17" i="17"/>
  <c r="D21" i="17" s="1"/>
  <c r="E21" i="17" s="1"/>
  <c r="C17" i="17"/>
  <c r="C21" i="17" s="1"/>
  <c r="L15" i="17"/>
  <c r="M15" i="17" s="1"/>
  <c r="K15" i="17"/>
  <c r="D15" i="17"/>
  <c r="E15" i="17" s="1"/>
  <c r="C15" i="17"/>
  <c r="M14" i="17"/>
  <c r="H14" i="17"/>
  <c r="G14" i="17"/>
  <c r="G98" i="17" s="1"/>
  <c r="E14" i="17"/>
  <c r="M13" i="17"/>
  <c r="H13" i="17"/>
  <c r="H15" i="17" s="1"/>
  <c r="G13" i="17"/>
  <c r="G15" i="17" s="1"/>
  <c r="E13" i="17"/>
  <c r="L11" i="17"/>
  <c r="M11" i="17" s="1"/>
  <c r="K11" i="17"/>
  <c r="E11" i="17"/>
  <c r="D11" i="17"/>
  <c r="C11" i="17"/>
  <c r="M10" i="17"/>
  <c r="E10" i="17"/>
  <c r="L8" i="17"/>
  <c r="K8" i="17"/>
  <c r="K96" i="17" s="1"/>
  <c r="D8" i="17"/>
  <c r="C8" i="17"/>
  <c r="E8" i="17" s="1"/>
  <c r="M7" i="17"/>
  <c r="E7" i="17"/>
  <c r="M5" i="17"/>
  <c r="E5" i="17"/>
  <c r="L3" i="17"/>
  <c r="I3" i="17"/>
  <c r="G3" i="17"/>
  <c r="E3" i="17"/>
  <c r="D3" i="17"/>
  <c r="C3" i="17"/>
  <c r="G141" i="14"/>
  <c r="F141" i="14"/>
  <c r="E141" i="14"/>
  <c r="D141" i="14"/>
  <c r="C141" i="14"/>
  <c r="G133" i="14"/>
  <c r="G142" i="14" s="1"/>
  <c r="E133" i="14"/>
  <c r="E142" i="14" s="1"/>
  <c r="D133" i="14"/>
  <c r="D142" i="14" s="1"/>
  <c r="C133" i="14"/>
  <c r="C142" i="14" s="1"/>
  <c r="G128" i="14"/>
  <c r="G134" i="14" s="1"/>
  <c r="E128" i="14"/>
  <c r="E134" i="14" s="1"/>
  <c r="D128" i="14"/>
  <c r="D134" i="14" s="1"/>
  <c r="C128" i="14"/>
  <c r="C134" i="14" s="1"/>
  <c r="D121" i="14"/>
  <c r="E121" i="14" s="1"/>
  <c r="C121" i="14"/>
  <c r="D120" i="14"/>
  <c r="E120" i="14" s="1"/>
  <c r="C120" i="14"/>
  <c r="E119" i="14"/>
  <c r="E118" i="14"/>
  <c r="D118" i="14"/>
  <c r="C118" i="14"/>
  <c r="E117" i="14"/>
  <c r="L113" i="14"/>
  <c r="M113" i="14" s="1"/>
  <c r="K113" i="14"/>
  <c r="D113" i="14"/>
  <c r="C113" i="14"/>
  <c r="M112" i="14"/>
  <c r="H112" i="14"/>
  <c r="H113" i="14" s="1"/>
  <c r="I113" i="14" s="1"/>
  <c r="G112" i="14"/>
  <c r="G113" i="14" s="1"/>
  <c r="L111" i="14"/>
  <c r="M111" i="14" s="1"/>
  <c r="K111" i="14"/>
  <c r="G111" i="14"/>
  <c r="D111" i="14"/>
  <c r="C111" i="14"/>
  <c r="M110" i="14"/>
  <c r="I110" i="14"/>
  <c r="H110" i="14"/>
  <c r="H111" i="14" s="1"/>
  <c r="I111" i="14" s="1"/>
  <c r="G110" i="14"/>
  <c r="M109" i="14"/>
  <c r="L109" i="14"/>
  <c r="K109" i="14"/>
  <c r="K114" i="14" s="1"/>
  <c r="G109" i="14"/>
  <c r="D109" i="14"/>
  <c r="C109" i="14"/>
  <c r="M108" i="14"/>
  <c r="H108" i="14"/>
  <c r="H109" i="14" s="1"/>
  <c r="I109" i="14" s="1"/>
  <c r="G108" i="14"/>
  <c r="L107" i="14"/>
  <c r="M107" i="14" s="1"/>
  <c r="K107" i="14"/>
  <c r="D107" i="14"/>
  <c r="D114" i="14" s="1"/>
  <c r="M106" i="14"/>
  <c r="G106" i="14"/>
  <c r="G107" i="14" s="1"/>
  <c r="G114" i="14" s="1"/>
  <c r="D106" i="14"/>
  <c r="H106" i="14" s="1"/>
  <c r="C106" i="14"/>
  <c r="C107" i="14" s="1"/>
  <c r="C114" i="14" s="1"/>
  <c r="L104" i="14"/>
  <c r="M104" i="14" s="1"/>
  <c r="M103" i="14"/>
  <c r="L103" i="14"/>
  <c r="K103" i="14"/>
  <c r="L102" i="14"/>
  <c r="M102" i="14" s="1"/>
  <c r="K102" i="14"/>
  <c r="D102" i="14"/>
  <c r="E102" i="14" s="1"/>
  <c r="C102" i="14"/>
  <c r="L101" i="14"/>
  <c r="M101" i="14" s="1"/>
  <c r="K101" i="14"/>
  <c r="M100" i="14"/>
  <c r="L100" i="14"/>
  <c r="K100" i="14"/>
  <c r="D100" i="14"/>
  <c r="E100" i="14" s="1"/>
  <c r="C100" i="14"/>
  <c r="L99" i="14"/>
  <c r="K99" i="14"/>
  <c r="H99" i="14"/>
  <c r="G99" i="14"/>
  <c r="D99" i="14"/>
  <c r="C99" i="14"/>
  <c r="L98" i="14"/>
  <c r="M98" i="14" s="1"/>
  <c r="K98" i="14"/>
  <c r="D98" i="14"/>
  <c r="E98" i="14" s="1"/>
  <c r="C98" i="14"/>
  <c r="L97" i="14"/>
  <c r="M97" i="14" s="1"/>
  <c r="K97" i="14"/>
  <c r="K104" i="14" s="1"/>
  <c r="K118" i="14" s="1"/>
  <c r="L95" i="14"/>
  <c r="K95" i="14"/>
  <c r="M95" i="14" s="1"/>
  <c r="D95" i="14"/>
  <c r="E95" i="14" s="1"/>
  <c r="C95" i="14"/>
  <c r="M94" i="14"/>
  <c r="I94" i="14"/>
  <c r="H94" i="14"/>
  <c r="G94" i="14"/>
  <c r="M93" i="14"/>
  <c r="H93" i="14"/>
  <c r="I93" i="14" s="1"/>
  <c r="G93" i="14"/>
  <c r="E93" i="14"/>
  <c r="M92" i="14"/>
  <c r="H92" i="14"/>
  <c r="I92" i="14" s="1"/>
  <c r="G92" i="14"/>
  <c r="G95" i="14" s="1"/>
  <c r="L90" i="14"/>
  <c r="M90" i="14" s="1"/>
  <c r="K90" i="14"/>
  <c r="H90" i="14"/>
  <c r="E90" i="14"/>
  <c r="D90" i="14"/>
  <c r="C90" i="14"/>
  <c r="M89" i="14"/>
  <c r="H89" i="14"/>
  <c r="I89" i="14" s="1"/>
  <c r="G89" i="14"/>
  <c r="M88" i="14"/>
  <c r="I88" i="14"/>
  <c r="H88" i="14"/>
  <c r="G88" i="14"/>
  <c r="E88" i="14"/>
  <c r="M87" i="14"/>
  <c r="I87" i="14"/>
  <c r="H87" i="14"/>
  <c r="G87" i="14"/>
  <c r="E87" i="14"/>
  <c r="M86" i="14"/>
  <c r="K86" i="14"/>
  <c r="H86" i="14"/>
  <c r="G86" i="14"/>
  <c r="E86" i="14"/>
  <c r="L84" i="14"/>
  <c r="M84" i="14" s="1"/>
  <c r="K84" i="14"/>
  <c r="D84" i="14"/>
  <c r="E84" i="14" s="1"/>
  <c r="C84" i="14"/>
  <c r="M83" i="14"/>
  <c r="H83" i="14"/>
  <c r="G83" i="14"/>
  <c r="I83" i="14" s="1"/>
  <c r="E83" i="14"/>
  <c r="M82" i="14"/>
  <c r="I82" i="14"/>
  <c r="H82" i="14"/>
  <c r="G82" i="14"/>
  <c r="E82" i="14"/>
  <c r="M81" i="14"/>
  <c r="H81" i="14"/>
  <c r="I81" i="14" s="1"/>
  <c r="G81" i="14"/>
  <c r="M80" i="14"/>
  <c r="H80" i="14"/>
  <c r="I80" i="14" s="1"/>
  <c r="G80" i="14"/>
  <c r="G84" i="14" s="1"/>
  <c r="L78" i="14"/>
  <c r="K78" i="14"/>
  <c r="H78" i="14"/>
  <c r="I78" i="14" s="1"/>
  <c r="E78" i="14"/>
  <c r="D78" i="14"/>
  <c r="C78" i="14"/>
  <c r="M77" i="14"/>
  <c r="H77" i="14"/>
  <c r="I77" i="14" s="1"/>
  <c r="G77" i="14"/>
  <c r="E77" i="14"/>
  <c r="M76" i="14"/>
  <c r="H76" i="14"/>
  <c r="G76" i="14"/>
  <c r="I76" i="14" s="1"/>
  <c r="E76" i="14"/>
  <c r="M75" i="14"/>
  <c r="I75" i="14"/>
  <c r="H75" i="14"/>
  <c r="G75" i="14"/>
  <c r="G78" i="14" s="1"/>
  <c r="E75" i="14"/>
  <c r="L73" i="14"/>
  <c r="K73" i="14"/>
  <c r="D73" i="14"/>
  <c r="M72" i="14"/>
  <c r="I72" i="14"/>
  <c r="H72" i="14"/>
  <c r="G72" i="14"/>
  <c r="M71" i="14"/>
  <c r="I71" i="14"/>
  <c r="H71" i="14"/>
  <c r="G71" i="14"/>
  <c r="E71" i="14"/>
  <c r="M70" i="14"/>
  <c r="H70" i="14"/>
  <c r="H73" i="14" s="1"/>
  <c r="G70" i="14"/>
  <c r="E70" i="14"/>
  <c r="M69" i="14"/>
  <c r="H69" i="14"/>
  <c r="E69" i="14"/>
  <c r="C69" i="14"/>
  <c r="C73" i="14" s="1"/>
  <c r="E73" i="14" s="1"/>
  <c r="L67" i="14"/>
  <c r="M67" i="14" s="1"/>
  <c r="K67" i="14"/>
  <c r="G67" i="14"/>
  <c r="D67" i="14"/>
  <c r="C67" i="14"/>
  <c r="M66" i="14"/>
  <c r="I66" i="14"/>
  <c r="H66" i="14"/>
  <c r="G66" i="14"/>
  <c r="M65" i="14"/>
  <c r="I65" i="14"/>
  <c r="H65" i="14"/>
  <c r="G65" i="14"/>
  <c r="M64" i="14"/>
  <c r="I64" i="14"/>
  <c r="H64" i="14"/>
  <c r="G64" i="14"/>
  <c r="M63" i="14"/>
  <c r="I63" i="14"/>
  <c r="H63" i="14"/>
  <c r="H67" i="14" s="1"/>
  <c r="G63" i="14"/>
  <c r="L61" i="14"/>
  <c r="M61" i="14" s="1"/>
  <c r="K61" i="14"/>
  <c r="D61" i="14"/>
  <c r="E61" i="14" s="1"/>
  <c r="C61" i="14"/>
  <c r="M60" i="14"/>
  <c r="H60" i="14"/>
  <c r="G60" i="14"/>
  <c r="I60" i="14" s="1"/>
  <c r="E60" i="14"/>
  <c r="M59" i="14"/>
  <c r="I59" i="14"/>
  <c r="H59" i="14"/>
  <c r="G59" i="14"/>
  <c r="E59" i="14"/>
  <c r="M58" i="14"/>
  <c r="H58" i="14"/>
  <c r="G58" i="14"/>
  <c r="G61" i="14" s="1"/>
  <c r="M57" i="14"/>
  <c r="H57" i="14"/>
  <c r="I57" i="14" s="1"/>
  <c r="G57" i="14"/>
  <c r="E57" i="14"/>
  <c r="L55" i="14"/>
  <c r="M55" i="14" s="1"/>
  <c r="K55" i="14"/>
  <c r="C55" i="14"/>
  <c r="M54" i="14"/>
  <c r="H54" i="14"/>
  <c r="I54" i="14" s="1"/>
  <c r="G54" i="14"/>
  <c r="E54" i="14"/>
  <c r="D54" i="14"/>
  <c r="C54" i="14"/>
  <c r="M53" i="14"/>
  <c r="H53" i="14"/>
  <c r="G53" i="14"/>
  <c r="G55" i="14" s="1"/>
  <c r="D53" i="14"/>
  <c r="E53" i="14" s="1"/>
  <c r="L51" i="14"/>
  <c r="K51" i="14"/>
  <c r="M51" i="14" s="1"/>
  <c r="G51" i="14"/>
  <c r="D51" i="14"/>
  <c r="E51" i="14" s="1"/>
  <c r="C51" i="14"/>
  <c r="M50" i="14"/>
  <c r="H50" i="14"/>
  <c r="I50" i="14" s="1"/>
  <c r="G50" i="14"/>
  <c r="E50" i="14"/>
  <c r="M49" i="14"/>
  <c r="H49" i="14"/>
  <c r="G49" i="14"/>
  <c r="M48" i="14"/>
  <c r="H48" i="14"/>
  <c r="G48" i="14"/>
  <c r="M46" i="14"/>
  <c r="L46" i="14"/>
  <c r="K46" i="14"/>
  <c r="G46" i="14"/>
  <c r="D46" i="14"/>
  <c r="C46" i="14"/>
  <c r="M45" i="14"/>
  <c r="H45" i="14"/>
  <c r="I45" i="14" s="1"/>
  <c r="G45" i="14"/>
  <c r="L43" i="14"/>
  <c r="K43" i="14"/>
  <c r="E43" i="14"/>
  <c r="D43" i="14"/>
  <c r="C43" i="14"/>
  <c r="M42" i="14"/>
  <c r="H42" i="14"/>
  <c r="I42" i="14" s="1"/>
  <c r="G42" i="14"/>
  <c r="G43" i="14" s="1"/>
  <c r="E42" i="14"/>
  <c r="M41" i="14"/>
  <c r="H41" i="14"/>
  <c r="G41" i="14"/>
  <c r="I41" i="14" s="1"/>
  <c r="E41" i="14"/>
  <c r="L39" i="14"/>
  <c r="M39" i="14" s="1"/>
  <c r="K39" i="14"/>
  <c r="D39" i="14"/>
  <c r="C39" i="14"/>
  <c r="H38" i="14"/>
  <c r="G38" i="14"/>
  <c r="M37" i="14"/>
  <c r="I37" i="14"/>
  <c r="H37" i="14"/>
  <c r="G37" i="14"/>
  <c r="G39" i="14" s="1"/>
  <c r="L35" i="14"/>
  <c r="K35" i="14"/>
  <c r="I35" i="14"/>
  <c r="D35" i="14"/>
  <c r="C35" i="14"/>
  <c r="M34" i="14"/>
  <c r="I34" i="14"/>
  <c r="H34" i="14"/>
  <c r="H35" i="14" s="1"/>
  <c r="G34" i="14"/>
  <c r="G35" i="14" s="1"/>
  <c r="L32" i="14"/>
  <c r="M32" i="14" s="1"/>
  <c r="K32" i="14"/>
  <c r="D32" i="14"/>
  <c r="C32" i="14"/>
  <c r="M31" i="14"/>
  <c r="I31" i="14"/>
  <c r="H31" i="14"/>
  <c r="G31" i="14"/>
  <c r="M30" i="14"/>
  <c r="I30" i="14"/>
  <c r="H30" i="14"/>
  <c r="G30" i="14"/>
  <c r="H29" i="14"/>
  <c r="G29" i="14"/>
  <c r="M28" i="14"/>
  <c r="H28" i="14"/>
  <c r="G28" i="14"/>
  <c r="G32" i="14" s="1"/>
  <c r="M26" i="14"/>
  <c r="L26" i="14"/>
  <c r="K26" i="14"/>
  <c r="D26" i="14"/>
  <c r="C26" i="14"/>
  <c r="M25" i="14"/>
  <c r="I25" i="14"/>
  <c r="H25" i="14"/>
  <c r="G25" i="14"/>
  <c r="M24" i="14"/>
  <c r="H24" i="14"/>
  <c r="G24" i="14"/>
  <c r="M23" i="14"/>
  <c r="I23" i="14"/>
  <c r="H23" i="14"/>
  <c r="H26" i="14" s="1"/>
  <c r="G23" i="14"/>
  <c r="G26" i="14" s="1"/>
  <c r="L21" i="14"/>
  <c r="K21" i="14"/>
  <c r="M21" i="14" s="1"/>
  <c r="M20" i="14"/>
  <c r="H20" i="14"/>
  <c r="G20" i="14"/>
  <c r="G103" i="14" s="1"/>
  <c r="E20" i="14"/>
  <c r="D20" i="14"/>
  <c r="D103" i="14" s="1"/>
  <c r="C20" i="14"/>
  <c r="C103" i="14" s="1"/>
  <c r="M19" i="14"/>
  <c r="G19" i="14"/>
  <c r="G101" i="14" s="1"/>
  <c r="D19" i="14"/>
  <c r="C19" i="14"/>
  <c r="C101" i="14" s="1"/>
  <c r="H18" i="14"/>
  <c r="G18" i="14"/>
  <c r="M17" i="14"/>
  <c r="H17" i="14"/>
  <c r="I17" i="14" s="1"/>
  <c r="G17" i="14"/>
  <c r="G21" i="14" s="1"/>
  <c r="E17" i="14"/>
  <c r="D17" i="14"/>
  <c r="D21" i="14" s="1"/>
  <c r="C17" i="14"/>
  <c r="C21" i="14" s="1"/>
  <c r="L15" i="14"/>
  <c r="K15" i="14"/>
  <c r="M15" i="14" s="1"/>
  <c r="H15" i="14"/>
  <c r="G15" i="14"/>
  <c r="D15" i="14"/>
  <c r="E15" i="14" s="1"/>
  <c r="C15" i="14"/>
  <c r="M14" i="14"/>
  <c r="H14" i="14"/>
  <c r="H98" i="14" s="1"/>
  <c r="G14" i="14"/>
  <c r="G98" i="14" s="1"/>
  <c r="E14" i="14"/>
  <c r="M13" i="14"/>
  <c r="H13" i="14"/>
  <c r="I13" i="14" s="1"/>
  <c r="G13" i="14"/>
  <c r="D13" i="14"/>
  <c r="D97" i="14" s="1"/>
  <c r="M11" i="14"/>
  <c r="L11" i="14"/>
  <c r="K11" i="14"/>
  <c r="D11" i="14"/>
  <c r="E11" i="14" s="1"/>
  <c r="C11" i="14"/>
  <c r="M10" i="14"/>
  <c r="E10" i="14"/>
  <c r="L8" i="14"/>
  <c r="K8" i="14"/>
  <c r="D8" i="14"/>
  <c r="E8" i="14" s="1"/>
  <c r="C8" i="14"/>
  <c r="M7" i="14"/>
  <c r="E7" i="14"/>
  <c r="M5" i="14"/>
  <c r="E5" i="14"/>
  <c r="L3" i="14"/>
  <c r="I3" i="14"/>
  <c r="E3" i="14" s="1"/>
  <c r="G3" i="14"/>
  <c r="D3" i="14"/>
  <c r="C3" i="14"/>
  <c r="G145" i="12"/>
  <c r="E145" i="12"/>
  <c r="D145" i="12"/>
  <c r="G144" i="12"/>
  <c r="E144" i="12"/>
  <c r="D144" i="12"/>
  <c r="C144" i="12"/>
  <c r="D137" i="12"/>
  <c r="G136" i="12"/>
  <c r="E136" i="12"/>
  <c r="D136" i="12"/>
  <c r="C136" i="12"/>
  <c r="C145" i="12" s="1"/>
  <c r="G131" i="12"/>
  <c r="G137" i="12" s="1"/>
  <c r="E131" i="12"/>
  <c r="E137" i="12" s="1"/>
  <c r="D131" i="12"/>
  <c r="C131" i="12"/>
  <c r="C137" i="12" s="1"/>
  <c r="E120" i="12"/>
  <c r="D120" i="12"/>
  <c r="D121" i="12" s="1"/>
  <c r="C120" i="12"/>
  <c r="C121" i="12" s="1"/>
  <c r="E119" i="12"/>
  <c r="D118" i="12"/>
  <c r="E118" i="12" s="1"/>
  <c r="C118" i="12"/>
  <c r="E117" i="12"/>
  <c r="L113" i="12"/>
  <c r="M113" i="12" s="1"/>
  <c r="K113" i="12"/>
  <c r="H113" i="12"/>
  <c r="I113" i="12" s="1"/>
  <c r="G113" i="12"/>
  <c r="D113" i="12"/>
  <c r="C113" i="12"/>
  <c r="M112" i="12"/>
  <c r="H112" i="12"/>
  <c r="I112" i="12" s="1"/>
  <c r="G112" i="12"/>
  <c r="L111" i="12"/>
  <c r="M111" i="12" s="1"/>
  <c r="K111" i="12"/>
  <c r="D111" i="12"/>
  <c r="C111" i="12"/>
  <c r="M110" i="12"/>
  <c r="H110" i="12"/>
  <c r="H111" i="12" s="1"/>
  <c r="I111" i="12" s="1"/>
  <c r="G110" i="12"/>
  <c r="G111" i="12" s="1"/>
  <c r="L109" i="12"/>
  <c r="M109" i="12" s="1"/>
  <c r="K109" i="12"/>
  <c r="H109" i="12"/>
  <c r="G109" i="12"/>
  <c r="G114" i="12" s="1"/>
  <c r="D109" i="12"/>
  <c r="C109" i="12"/>
  <c r="M108" i="12"/>
  <c r="H108" i="12"/>
  <c r="I108" i="12" s="1"/>
  <c r="G108" i="12"/>
  <c r="L107" i="12"/>
  <c r="K107" i="12"/>
  <c r="K114" i="12" s="1"/>
  <c r="C107" i="12"/>
  <c r="C114" i="12" s="1"/>
  <c r="K106" i="12"/>
  <c r="G106" i="12" s="1"/>
  <c r="G107" i="12" s="1"/>
  <c r="D106" i="12"/>
  <c r="H106" i="12" s="1"/>
  <c r="C106" i="12"/>
  <c r="E106" i="12" s="1"/>
  <c r="L103" i="12"/>
  <c r="L102" i="12"/>
  <c r="M102" i="12" s="1"/>
  <c r="K102" i="12"/>
  <c r="H102" i="12"/>
  <c r="I102" i="12" s="1"/>
  <c r="G102" i="12"/>
  <c r="D102" i="12"/>
  <c r="E102" i="12" s="1"/>
  <c r="C102" i="12"/>
  <c r="L101" i="12"/>
  <c r="M101" i="12" s="1"/>
  <c r="K101" i="12"/>
  <c r="L100" i="12"/>
  <c r="M100" i="12" s="1"/>
  <c r="K100" i="12"/>
  <c r="D100" i="12"/>
  <c r="E100" i="12" s="1"/>
  <c r="C100" i="12"/>
  <c r="L99" i="12"/>
  <c r="K99" i="12"/>
  <c r="H99" i="12"/>
  <c r="G99" i="12"/>
  <c r="D99" i="12"/>
  <c r="C99" i="12"/>
  <c r="L98" i="12"/>
  <c r="M98" i="12" s="1"/>
  <c r="K98" i="12"/>
  <c r="H98" i="12"/>
  <c r="G98" i="12"/>
  <c r="E98" i="12"/>
  <c r="D98" i="12"/>
  <c r="C98" i="12"/>
  <c r="L97" i="12"/>
  <c r="L95" i="12"/>
  <c r="M95" i="12" s="1"/>
  <c r="K95" i="12"/>
  <c r="D95" i="12"/>
  <c r="E95" i="12" s="1"/>
  <c r="C95" i="12"/>
  <c r="M94" i="12"/>
  <c r="I94" i="12"/>
  <c r="H94" i="12"/>
  <c r="G94" i="12"/>
  <c r="M93" i="12"/>
  <c r="H93" i="12"/>
  <c r="I93" i="12" s="1"/>
  <c r="G93" i="12"/>
  <c r="E93" i="12"/>
  <c r="M92" i="12"/>
  <c r="H92" i="12"/>
  <c r="I92" i="12" s="1"/>
  <c r="G92" i="12"/>
  <c r="G95" i="12" s="1"/>
  <c r="L90" i="12"/>
  <c r="M90" i="12" s="1"/>
  <c r="K90" i="12"/>
  <c r="D90" i="12"/>
  <c r="E90" i="12" s="1"/>
  <c r="C90" i="12"/>
  <c r="M89" i="12"/>
  <c r="H89" i="12"/>
  <c r="G89" i="12"/>
  <c r="M88" i="12"/>
  <c r="H88" i="12"/>
  <c r="I88" i="12" s="1"/>
  <c r="G88" i="12"/>
  <c r="E88" i="12"/>
  <c r="M87" i="12"/>
  <c r="H87" i="12"/>
  <c r="G87" i="12"/>
  <c r="E87" i="12"/>
  <c r="M86" i="12"/>
  <c r="I86" i="12"/>
  <c r="H86" i="12"/>
  <c r="G86" i="12"/>
  <c r="E86" i="12"/>
  <c r="M84" i="12"/>
  <c r="L84" i="12"/>
  <c r="K84" i="12"/>
  <c r="D84" i="12"/>
  <c r="E84" i="12" s="1"/>
  <c r="C84" i="12"/>
  <c r="M83" i="12"/>
  <c r="H83" i="12"/>
  <c r="I83" i="12" s="1"/>
  <c r="G83" i="12"/>
  <c r="E83" i="12"/>
  <c r="M82" i="12"/>
  <c r="H82" i="12"/>
  <c r="I82" i="12" s="1"/>
  <c r="G82" i="12"/>
  <c r="E82" i="12"/>
  <c r="M81" i="12"/>
  <c r="I81" i="12"/>
  <c r="H81" i="12"/>
  <c r="G81" i="12"/>
  <c r="M80" i="12"/>
  <c r="I80" i="12"/>
  <c r="H80" i="12"/>
  <c r="H84" i="12" s="1"/>
  <c r="I84" i="12" s="1"/>
  <c r="G80" i="12"/>
  <c r="G84" i="12" s="1"/>
  <c r="L78" i="12"/>
  <c r="M78" i="12" s="1"/>
  <c r="K78" i="12"/>
  <c r="G78" i="12"/>
  <c r="D78" i="12"/>
  <c r="C78" i="12"/>
  <c r="E78" i="12" s="1"/>
  <c r="M77" i="12"/>
  <c r="H77" i="12"/>
  <c r="I77" i="12" s="1"/>
  <c r="G77" i="12"/>
  <c r="E77" i="12"/>
  <c r="M76" i="12"/>
  <c r="H76" i="12"/>
  <c r="I76" i="12" s="1"/>
  <c r="G76" i="12"/>
  <c r="E76" i="12"/>
  <c r="M75" i="12"/>
  <c r="H75" i="12"/>
  <c r="G75" i="12"/>
  <c r="E75" i="12"/>
  <c r="L73" i="12"/>
  <c r="D73" i="12"/>
  <c r="M72" i="12"/>
  <c r="H72" i="12"/>
  <c r="G72" i="12"/>
  <c r="I72" i="12" s="1"/>
  <c r="M71" i="12"/>
  <c r="H71" i="12"/>
  <c r="I71" i="12" s="1"/>
  <c r="G71" i="12"/>
  <c r="E71" i="12"/>
  <c r="M70" i="12"/>
  <c r="H70" i="12"/>
  <c r="G70" i="12"/>
  <c r="E70" i="12"/>
  <c r="K69" i="12"/>
  <c r="M69" i="12" s="1"/>
  <c r="H69" i="12"/>
  <c r="C69" i="12"/>
  <c r="L67" i="12"/>
  <c r="K67" i="12"/>
  <c r="M67" i="12" s="1"/>
  <c r="D67" i="12"/>
  <c r="C67" i="12"/>
  <c r="M66" i="12"/>
  <c r="H66" i="12"/>
  <c r="I66" i="12" s="1"/>
  <c r="G66" i="12"/>
  <c r="M65" i="12"/>
  <c r="H65" i="12"/>
  <c r="G65" i="12"/>
  <c r="M64" i="12"/>
  <c r="H64" i="12"/>
  <c r="I64" i="12" s="1"/>
  <c r="G64" i="12"/>
  <c r="M63" i="12"/>
  <c r="H63" i="12"/>
  <c r="H67" i="12" s="1"/>
  <c r="G63" i="12"/>
  <c r="L61" i="12"/>
  <c r="M61" i="12" s="1"/>
  <c r="K61" i="12"/>
  <c r="D61" i="12"/>
  <c r="E61" i="12" s="1"/>
  <c r="C61" i="12"/>
  <c r="M60" i="12"/>
  <c r="H60" i="12"/>
  <c r="I60" i="12" s="1"/>
  <c r="G60" i="12"/>
  <c r="E60" i="12"/>
  <c r="M59" i="12"/>
  <c r="I59" i="12"/>
  <c r="H59" i="12"/>
  <c r="G59" i="12"/>
  <c r="E59" i="12"/>
  <c r="M58" i="12"/>
  <c r="H58" i="12"/>
  <c r="G58" i="12"/>
  <c r="I58" i="12" s="1"/>
  <c r="M57" i="12"/>
  <c r="H57" i="12"/>
  <c r="I57" i="12" s="1"/>
  <c r="G57" i="12"/>
  <c r="G61" i="12" s="1"/>
  <c r="E57" i="12"/>
  <c r="L55" i="12"/>
  <c r="K54" i="12"/>
  <c r="G54" i="12" s="1"/>
  <c r="E54" i="12"/>
  <c r="D54" i="12"/>
  <c r="D103" i="12" s="1"/>
  <c r="E103" i="12" s="1"/>
  <c r="C54" i="12"/>
  <c r="C103" i="12" s="1"/>
  <c r="M53" i="12"/>
  <c r="H53" i="12"/>
  <c r="D53" i="12"/>
  <c r="E53" i="12" s="1"/>
  <c r="C53" i="12"/>
  <c r="G53" i="12" s="1"/>
  <c r="G55" i="12" s="1"/>
  <c r="L51" i="12"/>
  <c r="K51" i="12"/>
  <c r="M51" i="12" s="1"/>
  <c r="I51" i="12"/>
  <c r="E51" i="12"/>
  <c r="D51" i="12"/>
  <c r="C51" i="12"/>
  <c r="M50" i="12"/>
  <c r="H50" i="12"/>
  <c r="I50" i="12" s="1"/>
  <c r="G50" i="12"/>
  <c r="E50" i="12"/>
  <c r="H49" i="12"/>
  <c r="G49" i="12"/>
  <c r="M48" i="12"/>
  <c r="H48" i="12"/>
  <c r="H51" i="12" s="1"/>
  <c r="G48" i="12"/>
  <c r="G51" i="12" s="1"/>
  <c r="L46" i="12"/>
  <c r="M46" i="12" s="1"/>
  <c r="K46" i="12"/>
  <c r="D46" i="12"/>
  <c r="C46" i="12"/>
  <c r="M45" i="12"/>
  <c r="H45" i="12"/>
  <c r="I45" i="12" s="1"/>
  <c r="G45" i="12"/>
  <c r="G46" i="12" s="1"/>
  <c r="L43" i="12"/>
  <c r="M43" i="12" s="1"/>
  <c r="K43" i="12"/>
  <c r="D43" i="12"/>
  <c r="E43" i="12" s="1"/>
  <c r="C43" i="12"/>
  <c r="M42" i="12"/>
  <c r="H42" i="12"/>
  <c r="I42" i="12" s="1"/>
  <c r="G42" i="12"/>
  <c r="E42" i="12"/>
  <c r="M41" i="12"/>
  <c r="I41" i="12"/>
  <c r="H41" i="12"/>
  <c r="G41" i="12"/>
  <c r="G43" i="12" s="1"/>
  <c r="E41" i="12"/>
  <c r="M39" i="12"/>
  <c r="L39" i="12"/>
  <c r="K39" i="12"/>
  <c r="D39" i="12"/>
  <c r="C39" i="12"/>
  <c r="H38" i="12"/>
  <c r="G38" i="12"/>
  <c r="M37" i="12"/>
  <c r="H37" i="12"/>
  <c r="I37" i="12" s="1"/>
  <c r="G37" i="12"/>
  <c r="G39" i="12" s="1"/>
  <c r="E37" i="12"/>
  <c r="L35" i="12"/>
  <c r="M35" i="12" s="1"/>
  <c r="K35" i="12"/>
  <c r="G35" i="12"/>
  <c r="D35" i="12"/>
  <c r="C35" i="12"/>
  <c r="M34" i="12"/>
  <c r="I34" i="12"/>
  <c r="H34" i="12"/>
  <c r="H35" i="12" s="1"/>
  <c r="I35" i="12" s="1"/>
  <c r="G34" i="12"/>
  <c r="L32" i="12"/>
  <c r="M32" i="12" s="1"/>
  <c r="K32" i="12"/>
  <c r="G32" i="12"/>
  <c r="D32" i="12"/>
  <c r="C32" i="12"/>
  <c r="M31" i="12"/>
  <c r="I31" i="12"/>
  <c r="H31" i="12"/>
  <c r="G31" i="12"/>
  <c r="M30" i="12"/>
  <c r="I30" i="12"/>
  <c r="H30" i="12"/>
  <c r="G30" i="12"/>
  <c r="H29" i="12"/>
  <c r="G29" i="12"/>
  <c r="M28" i="12"/>
  <c r="H28" i="12"/>
  <c r="I28" i="12" s="1"/>
  <c r="G28" i="12"/>
  <c r="M26" i="12"/>
  <c r="L26" i="12"/>
  <c r="K26" i="12"/>
  <c r="D26" i="12"/>
  <c r="C26" i="12"/>
  <c r="M25" i="12"/>
  <c r="H25" i="12"/>
  <c r="I25" i="12" s="1"/>
  <c r="G25" i="12"/>
  <c r="M24" i="12"/>
  <c r="H24" i="12"/>
  <c r="G24" i="12"/>
  <c r="M23" i="12"/>
  <c r="H23" i="12"/>
  <c r="I23" i="12" s="1"/>
  <c r="G23" i="12"/>
  <c r="L21" i="12"/>
  <c r="K21" i="12"/>
  <c r="M21" i="12" s="1"/>
  <c r="M20" i="12"/>
  <c r="H20" i="12"/>
  <c r="G20" i="12"/>
  <c r="E20" i="12"/>
  <c r="M19" i="12"/>
  <c r="D19" i="12"/>
  <c r="C19" i="12"/>
  <c r="C101" i="12" s="1"/>
  <c r="H18" i="12"/>
  <c r="H100" i="12" s="1"/>
  <c r="G18" i="12"/>
  <c r="M17" i="12"/>
  <c r="K17" i="12"/>
  <c r="H17" i="12"/>
  <c r="G17" i="12"/>
  <c r="E17" i="12"/>
  <c r="L15" i="12"/>
  <c r="E15" i="12"/>
  <c r="D15" i="12"/>
  <c r="C15" i="12"/>
  <c r="M14" i="12"/>
  <c r="H14" i="12"/>
  <c r="G14" i="12"/>
  <c r="E14" i="12"/>
  <c r="K13" i="12"/>
  <c r="H13" i="12"/>
  <c r="E13" i="12"/>
  <c r="C13" i="12"/>
  <c r="C97" i="12" s="1"/>
  <c r="C104" i="12" s="1"/>
  <c r="L11" i="12"/>
  <c r="M11" i="12" s="1"/>
  <c r="K11" i="12"/>
  <c r="D11" i="12"/>
  <c r="E11" i="12" s="1"/>
  <c r="C11" i="12"/>
  <c r="M10" i="12"/>
  <c r="K10" i="12"/>
  <c r="K97" i="12" s="1"/>
  <c r="E10" i="12"/>
  <c r="L8" i="12"/>
  <c r="K8" i="12"/>
  <c r="D8" i="12"/>
  <c r="E8" i="12" s="1"/>
  <c r="C8" i="12"/>
  <c r="M7" i="12"/>
  <c r="E7" i="12"/>
  <c r="M5" i="12"/>
  <c r="E5" i="12"/>
  <c r="L3" i="12"/>
  <c r="D126" i="12" s="1"/>
  <c r="G3" i="12"/>
  <c r="D3" i="12"/>
  <c r="C3" i="12"/>
  <c r="D142" i="11"/>
  <c r="C142" i="11"/>
  <c r="G141" i="11"/>
  <c r="E141" i="11"/>
  <c r="D141" i="11"/>
  <c r="C141" i="11"/>
  <c r="G133" i="11"/>
  <c r="G142" i="11" s="1"/>
  <c r="E133" i="11"/>
  <c r="E142" i="11" s="1"/>
  <c r="D133" i="11"/>
  <c r="C133" i="11"/>
  <c r="G128" i="11"/>
  <c r="G134" i="11" s="1"/>
  <c r="E128" i="11"/>
  <c r="E134" i="11" s="1"/>
  <c r="D128" i="11"/>
  <c r="D134" i="11" s="1"/>
  <c r="C128" i="11"/>
  <c r="C134" i="11" s="1"/>
  <c r="D123" i="11"/>
  <c r="D121" i="11"/>
  <c r="D120" i="11"/>
  <c r="C120" i="11"/>
  <c r="C121" i="11" s="1"/>
  <c r="E121" i="11" s="1"/>
  <c r="E119" i="11"/>
  <c r="E118" i="11"/>
  <c r="D118" i="11"/>
  <c r="C118" i="11"/>
  <c r="E117" i="11"/>
  <c r="M113" i="11"/>
  <c r="L113" i="11"/>
  <c r="K113" i="11"/>
  <c r="D113" i="11"/>
  <c r="C113" i="11"/>
  <c r="M112" i="11"/>
  <c r="H112" i="11"/>
  <c r="I112" i="11" s="1"/>
  <c r="G112" i="11"/>
  <c r="G113" i="11" s="1"/>
  <c r="L111" i="11"/>
  <c r="K111" i="11"/>
  <c r="M111" i="11" s="1"/>
  <c r="I111" i="11"/>
  <c r="D111" i="11"/>
  <c r="C111" i="11"/>
  <c r="M110" i="11"/>
  <c r="H110" i="11"/>
  <c r="H111" i="11" s="1"/>
  <c r="G110" i="11"/>
  <c r="G111" i="11" s="1"/>
  <c r="L109" i="11"/>
  <c r="M109" i="11" s="1"/>
  <c r="K109" i="11"/>
  <c r="D109" i="11"/>
  <c r="C109" i="11"/>
  <c r="M108" i="11"/>
  <c r="H108" i="11"/>
  <c r="I108" i="11" s="1"/>
  <c r="G108" i="11"/>
  <c r="G109" i="11" s="1"/>
  <c r="L107" i="11"/>
  <c r="L114" i="11" s="1"/>
  <c r="I107" i="11"/>
  <c r="K106" i="11"/>
  <c r="G106" i="11" s="1"/>
  <c r="G107" i="11" s="1"/>
  <c r="I106" i="11"/>
  <c r="H106" i="11"/>
  <c r="H107" i="11" s="1"/>
  <c r="D106" i="11"/>
  <c r="D107" i="11" s="1"/>
  <c r="C106" i="11"/>
  <c r="E106" i="11" s="1"/>
  <c r="M102" i="11"/>
  <c r="L102" i="11"/>
  <c r="K102" i="11"/>
  <c r="D102" i="11"/>
  <c r="E102" i="11" s="1"/>
  <c r="C102" i="11"/>
  <c r="L101" i="11"/>
  <c r="M101" i="11" s="1"/>
  <c r="K101" i="11"/>
  <c r="K100" i="11"/>
  <c r="E100" i="11"/>
  <c r="D100" i="11"/>
  <c r="C100" i="11"/>
  <c r="L99" i="11"/>
  <c r="K99" i="11"/>
  <c r="H99" i="11"/>
  <c r="G99" i="11"/>
  <c r="D99" i="11"/>
  <c r="C99" i="11"/>
  <c r="L98" i="11"/>
  <c r="M98" i="11" s="1"/>
  <c r="K98" i="11"/>
  <c r="D98" i="11"/>
  <c r="E98" i="11" s="1"/>
  <c r="C98" i="11"/>
  <c r="L97" i="11"/>
  <c r="L95" i="11"/>
  <c r="M95" i="11" s="1"/>
  <c r="K95" i="11"/>
  <c r="G95" i="11"/>
  <c r="D95" i="11"/>
  <c r="E95" i="11" s="1"/>
  <c r="C95" i="11"/>
  <c r="M94" i="11"/>
  <c r="H94" i="11"/>
  <c r="I94" i="11" s="1"/>
  <c r="G94" i="11"/>
  <c r="M93" i="11"/>
  <c r="H93" i="11"/>
  <c r="I93" i="11" s="1"/>
  <c r="G93" i="11"/>
  <c r="E93" i="11"/>
  <c r="M92" i="11"/>
  <c r="H92" i="11"/>
  <c r="I92" i="11" s="1"/>
  <c r="G92" i="11"/>
  <c r="L90" i="11"/>
  <c r="M90" i="11" s="1"/>
  <c r="K90" i="11"/>
  <c r="D90" i="11"/>
  <c r="E90" i="11" s="1"/>
  <c r="C90" i="11"/>
  <c r="M89" i="11"/>
  <c r="H89" i="11"/>
  <c r="I89" i="11" s="1"/>
  <c r="G89" i="11"/>
  <c r="M88" i="11"/>
  <c r="H88" i="11"/>
  <c r="I88" i="11" s="1"/>
  <c r="G88" i="11"/>
  <c r="E88" i="11"/>
  <c r="M87" i="11"/>
  <c r="H87" i="11"/>
  <c r="I87" i="11" s="1"/>
  <c r="G87" i="11"/>
  <c r="E87" i="11"/>
  <c r="M86" i="11"/>
  <c r="H86" i="11"/>
  <c r="I86" i="11" s="1"/>
  <c r="G86" i="11"/>
  <c r="G90" i="11" s="1"/>
  <c r="E86" i="11"/>
  <c r="L84" i="11"/>
  <c r="M84" i="11" s="1"/>
  <c r="K84" i="11"/>
  <c r="D84" i="11"/>
  <c r="E84" i="11" s="1"/>
  <c r="C84" i="11"/>
  <c r="M83" i="11"/>
  <c r="H83" i="11"/>
  <c r="I83" i="11" s="1"/>
  <c r="G83" i="11"/>
  <c r="E83" i="11"/>
  <c r="M82" i="11"/>
  <c r="H82" i="11"/>
  <c r="I82" i="11" s="1"/>
  <c r="G82" i="11"/>
  <c r="E82" i="11"/>
  <c r="M81" i="11"/>
  <c r="H81" i="11"/>
  <c r="I81" i="11" s="1"/>
  <c r="G81" i="11"/>
  <c r="M80" i="11"/>
  <c r="H80" i="11"/>
  <c r="H84" i="11" s="1"/>
  <c r="I84" i="11" s="1"/>
  <c r="G80" i="11"/>
  <c r="G84" i="11" s="1"/>
  <c r="M78" i="11"/>
  <c r="L78" i="11"/>
  <c r="K78" i="11"/>
  <c r="D78" i="11"/>
  <c r="C78" i="11"/>
  <c r="M77" i="11"/>
  <c r="H77" i="11"/>
  <c r="G77" i="11"/>
  <c r="I77" i="11" s="1"/>
  <c r="E77" i="11"/>
  <c r="M76" i="11"/>
  <c r="I76" i="11"/>
  <c r="H76" i="11"/>
  <c r="G76" i="11"/>
  <c r="E76" i="11"/>
  <c r="M75" i="11"/>
  <c r="H75" i="11"/>
  <c r="H78" i="11" s="1"/>
  <c r="G75" i="11"/>
  <c r="G78" i="11" s="1"/>
  <c r="E75" i="11"/>
  <c r="L73" i="11"/>
  <c r="D73" i="11"/>
  <c r="E73" i="11" s="1"/>
  <c r="C73" i="11"/>
  <c r="M72" i="11"/>
  <c r="H72" i="11"/>
  <c r="I72" i="11" s="1"/>
  <c r="G72" i="11"/>
  <c r="M71" i="11"/>
  <c r="H71" i="11"/>
  <c r="I71" i="11" s="1"/>
  <c r="G71" i="11"/>
  <c r="E71" i="11"/>
  <c r="M70" i="11"/>
  <c r="H70" i="11"/>
  <c r="I70" i="11" s="1"/>
  <c r="G70" i="11"/>
  <c r="E70" i="11"/>
  <c r="K69" i="11"/>
  <c r="D69" i="11"/>
  <c r="H69" i="11" s="1"/>
  <c r="C69" i="11"/>
  <c r="M67" i="11"/>
  <c r="L67" i="11"/>
  <c r="K67" i="11"/>
  <c r="D67" i="11"/>
  <c r="C67" i="11"/>
  <c r="M66" i="11"/>
  <c r="I66" i="11"/>
  <c r="H66" i="11"/>
  <c r="G66" i="11"/>
  <c r="M65" i="11"/>
  <c r="I65" i="11"/>
  <c r="H65" i="11"/>
  <c r="G65" i="11"/>
  <c r="M64" i="11"/>
  <c r="I64" i="11"/>
  <c r="H64" i="11"/>
  <c r="G64" i="11"/>
  <c r="M63" i="11"/>
  <c r="I63" i="11"/>
  <c r="H63" i="11"/>
  <c r="H67" i="11" s="1"/>
  <c r="I67" i="11" s="1"/>
  <c r="G63" i="11"/>
  <c r="G67" i="11" s="1"/>
  <c r="M61" i="11"/>
  <c r="L61" i="11"/>
  <c r="K61" i="11"/>
  <c r="D61" i="11"/>
  <c r="C61" i="11"/>
  <c r="E61" i="11" s="1"/>
  <c r="M60" i="11"/>
  <c r="H60" i="11"/>
  <c r="I60" i="11" s="1"/>
  <c r="G60" i="11"/>
  <c r="E60" i="11"/>
  <c r="M59" i="11"/>
  <c r="H59" i="11"/>
  <c r="I59" i="11" s="1"/>
  <c r="G59" i="11"/>
  <c r="E59" i="11"/>
  <c r="M58" i="11"/>
  <c r="I58" i="11"/>
  <c r="H58" i="11"/>
  <c r="G58" i="11"/>
  <c r="M57" i="11"/>
  <c r="I57" i="11"/>
  <c r="H57" i="11"/>
  <c r="G57" i="11"/>
  <c r="E57" i="11"/>
  <c r="L55" i="11"/>
  <c r="G55" i="11"/>
  <c r="M54" i="11"/>
  <c r="L54" i="11"/>
  <c r="K54" i="11"/>
  <c r="K103" i="11" s="1"/>
  <c r="I54" i="11"/>
  <c r="H54" i="11"/>
  <c r="H55" i="11" s="1"/>
  <c r="I55" i="11" s="1"/>
  <c r="D54" i="11"/>
  <c r="E54" i="11" s="1"/>
  <c r="C54" i="11"/>
  <c r="G54" i="11" s="1"/>
  <c r="M53" i="11"/>
  <c r="H53" i="11"/>
  <c r="G53" i="11"/>
  <c r="D53" i="11"/>
  <c r="E53" i="11" s="1"/>
  <c r="C53" i="11"/>
  <c r="C55" i="11" s="1"/>
  <c r="K51" i="11"/>
  <c r="D51" i="11"/>
  <c r="E51" i="11" s="1"/>
  <c r="C51" i="11"/>
  <c r="M50" i="11"/>
  <c r="H50" i="11"/>
  <c r="I50" i="11" s="1"/>
  <c r="G50" i="11"/>
  <c r="E50" i="11"/>
  <c r="L49" i="11"/>
  <c r="L100" i="11" s="1"/>
  <c r="G49" i="11"/>
  <c r="M48" i="11"/>
  <c r="H48" i="11"/>
  <c r="G48" i="11"/>
  <c r="G51" i="11" s="1"/>
  <c r="K46" i="11"/>
  <c r="D46" i="11"/>
  <c r="C46" i="11"/>
  <c r="L45" i="11"/>
  <c r="M45" i="11" s="1"/>
  <c r="G45" i="11"/>
  <c r="G46" i="11" s="1"/>
  <c r="L43" i="11"/>
  <c r="M43" i="11" s="1"/>
  <c r="K43" i="11"/>
  <c r="D43" i="11"/>
  <c r="E43" i="11" s="1"/>
  <c r="C43" i="11"/>
  <c r="M42" i="11"/>
  <c r="L42" i="11"/>
  <c r="H42" i="11" s="1"/>
  <c r="I42" i="11" s="1"/>
  <c r="G42" i="11"/>
  <c r="E42" i="11"/>
  <c r="M41" i="11"/>
  <c r="H41" i="11"/>
  <c r="G41" i="11"/>
  <c r="G43" i="11" s="1"/>
  <c r="E41" i="11"/>
  <c r="L39" i="11"/>
  <c r="M39" i="11" s="1"/>
  <c r="K39" i="11"/>
  <c r="G39" i="11"/>
  <c r="D39" i="11"/>
  <c r="C39" i="11"/>
  <c r="H38" i="11"/>
  <c r="G38" i="11"/>
  <c r="M37" i="11"/>
  <c r="H37" i="11"/>
  <c r="H102" i="11" s="1"/>
  <c r="G37" i="11"/>
  <c r="E37" i="11"/>
  <c r="L35" i="11"/>
  <c r="K35" i="11"/>
  <c r="D35" i="11"/>
  <c r="C35" i="11"/>
  <c r="M34" i="11"/>
  <c r="I34" i="11"/>
  <c r="H34" i="11"/>
  <c r="H35" i="11" s="1"/>
  <c r="G34" i="11"/>
  <c r="G35" i="11" s="1"/>
  <c r="L32" i="11"/>
  <c r="K32" i="11"/>
  <c r="D32" i="11"/>
  <c r="C32" i="11"/>
  <c r="M31" i="11"/>
  <c r="H31" i="11"/>
  <c r="I31" i="11" s="1"/>
  <c r="G31" i="11"/>
  <c r="M30" i="11"/>
  <c r="I30" i="11"/>
  <c r="H30" i="11"/>
  <c r="G30" i="11"/>
  <c r="H29" i="11"/>
  <c r="G29" i="11"/>
  <c r="M28" i="11"/>
  <c r="H28" i="11"/>
  <c r="I28" i="11" s="1"/>
  <c r="G28" i="11"/>
  <c r="G32" i="11" s="1"/>
  <c r="M26" i="11"/>
  <c r="L26" i="11"/>
  <c r="K26" i="11"/>
  <c r="H26" i="11"/>
  <c r="D26" i="11"/>
  <c r="C26" i="11"/>
  <c r="M25" i="11"/>
  <c r="H25" i="11"/>
  <c r="I25" i="11" s="1"/>
  <c r="G25" i="11"/>
  <c r="M24" i="11"/>
  <c r="H24" i="11"/>
  <c r="I24" i="11" s="1"/>
  <c r="G24" i="11"/>
  <c r="M23" i="11"/>
  <c r="H23" i="11"/>
  <c r="I23" i="11" s="1"/>
  <c r="G23" i="11"/>
  <c r="G26" i="11" s="1"/>
  <c r="L21" i="11"/>
  <c r="C21" i="11"/>
  <c r="M20" i="11"/>
  <c r="I20" i="11"/>
  <c r="H20" i="11"/>
  <c r="G20" i="11"/>
  <c r="G103" i="11" s="1"/>
  <c r="E20" i="11"/>
  <c r="M19" i="11"/>
  <c r="H19" i="11"/>
  <c r="E19" i="11"/>
  <c r="D19" i="11"/>
  <c r="D101" i="11" s="1"/>
  <c r="E101" i="11" s="1"/>
  <c r="C19" i="11"/>
  <c r="C101" i="11" s="1"/>
  <c r="H18" i="11"/>
  <c r="G18" i="11"/>
  <c r="K17" i="11"/>
  <c r="H17" i="11"/>
  <c r="E17" i="11"/>
  <c r="D17" i="11"/>
  <c r="D97" i="11" s="1"/>
  <c r="L15" i="11"/>
  <c r="K15" i="11"/>
  <c r="M15" i="11" s="1"/>
  <c r="H15" i="11"/>
  <c r="E15" i="11"/>
  <c r="D15" i="11"/>
  <c r="C15" i="11"/>
  <c r="M14" i="11"/>
  <c r="H14" i="11"/>
  <c r="H98" i="11" s="1"/>
  <c r="G14" i="11"/>
  <c r="G98" i="11" s="1"/>
  <c r="E14" i="11"/>
  <c r="M13" i="11"/>
  <c r="K13" i="11"/>
  <c r="G13" i="11" s="1"/>
  <c r="H13" i="11"/>
  <c r="E13" i="11"/>
  <c r="C13" i="11"/>
  <c r="C97" i="11" s="1"/>
  <c r="M11" i="11"/>
  <c r="L11" i="11"/>
  <c r="K11" i="11"/>
  <c r="D11" i="11"/>
  <c r="E11" i="11" s="1"/>
  <c r="C11" i="11"/>
  <c r="M10" i="11"/>
  <c r="K10" i="11"/>
  <c r="E10" i="11"/>
  <c r="M8" i="11"/>
  <c r="L8" i="11"/>
  <c r="K8" i="11"/>
  <c r="D8" i="11"/>
  <c r="C8" i="11"/>
  <c r="M7" i="11"/>
  <c r="E7" i="11"/>
  <c r="M5" i="11"/>
  <c r="E5" i="11"/>
  <c r="L3" i="11"/>
  <c r="G3" i="11"/>
  <c r="D3" i="11"/>
  <c r="C3" i="11"/>
  <c r="G141" i="10"/>
  <c r="E141" i="10"/>
  <c r="D141" i="10"/>
  <c r="C141" i="10"/>
  <c r="G134" i="10"/>
  <c r="E134" i="10"/>
  <c r="D134" i="10"/>
  <c r="C134" i="10"/>
  <c r="G129" i="10"/>
  <c r="G135" i="10" s="1"/>
  <c r="E129" i="10"/>
  <c r="E135" i="10" s="1"/>
  <c r="D129" i="10"/>
  <c r="D135" i="10" s="1"/>
  <c r="C129" i="10"/>
  <c r="C135" i="10" s="1"/>
  <c r="D121" i="10"/>
  <c r="E121" i="10" s="1"/>
  <c r="C121" i="10"/>
  <c r="D120" i="10"/>
  <c r="E120" i="10" s="1"/>
  <c r="C120" i="10"/>
  <c r="E119" i="10"/>
  <c r="E118" i="10"/>
  <c r="D118" i="10"/>
  <c r="C118" i="10"/>
  <c r="E117" i="10"/>
  <c r="L114" i="10"/>
  <c r="M113" i="10"/>
  <c r="L113" i="10"/>
  <c r="K113" i="10"/>
  <c r="D113" i="10"/>
  <c r="C113" i="10"/>
  <c r="M112" i="10"/>
  <c r="H112" i="10"/>
  <c r="I112" i="10" s="1"/>
  <c r="G112" i="10"/>
  <c r="G113" i="10" s="1"/>
  <c r="L111" i="10"/>
  <c r="K111" i="10"/>
  <c r="M111" i="10" s="1"/>
  <c r="H111" i="10"/>
  <c r="D111" i="10"/>
  <c r="C111" i="10"/>
  <c r="M110" i="10"/>
  <c r="H110" i="10"/>
  <c r="I110" i="10" s="1"/>
  <c r="G110" i="10"/>
  <c r="G111" i="10" s="1"/>
  <c r="M109" i="10"/>
  <c r="L109" i="10"/>
  <c r="K109" i="10"/>
  <c r="D109" i="10"/>
  <c r="C109" i="10"/>
  <c r="M108" i="10"/>
  <c r="H108" i="10"/>
  <c r="I108" i="10" s="1"/>
  <c r="G108" i="10"/>
  <c r="G109" i="10" s="1"/>
  <c r="L107" i="10"/>
  <c r="H107" i="10"/>
  <c r="K106" i="10"/>
  <c r="M106" i="10" s="1"/>
  <c r="H106" i="10"/>
  <c r="I106" i="10" s="1"/>
  <c r="D106" i="10"/>
  <c r="E106" i="10" s="1"/>
  <c r="C106" i="10"/>
  <c r="G106" i="10" s="1"/>
  <c r="G107" i="10" s="1"/>
  <c r="L103" i="10"/>
  <c r="M103" i="10" s="1"/>
  <c r="K103" i="10"/>
  <c r="L102" i="10"/>
  <c r="M102" i="10" s="1"/>
  <c r="K102" i="10"/>
  <c r="D102" i="10"/>
  <c r="E102" i="10" s="1"/>
  <c r="C102" i="10"/>
  <c r="M101" i="10"/>
  <c r="L101" i="10"/>
  <c r="K101" i="10"/>
  <c r="L100" i="10"/>
  <c r="M100" i="10" s="1"/>
  <c r="K100" i="10"/>
  <c r="D100" i="10"/>
  <c r="E100" i="10" s="1"/>
  <c r="C100" i="10"/>
  <c r="L99" i="10"/>
  <c r="K99" i="10"/>
  <c r="D99" i="10"/>
  <c r="C99" i="10"/>
  <c r="M98" i="10"/>
  <c r="L98" i="10"/>
  <c r="K98" i="10"/>
  <c r="D98" i="10"/>
  <c r="C98" i="10"/>
  <c r="E98" i="10" s="1"/>
  <c r="L97" i="10"/>
  <c r="D97" i="10"/>
  <c r="M95" i="10"/>
  <c r="L95" i="10"/>
  <c r="K95" i="10"/>
  <c r="D95" i="10"/>
  <c r="E95" i="10" s="1"/>
  <c r="C95" i="10"/>
  <c r="M94" i="10"/>
  <c r="H94" i="10"/>
  <c r="I94" i="10" s="1"/>
  <c r="G94" i="10"/>
  <c r="M93" i="10"/>
  <c r="H93" i="10"/>
  <c r="I93" i="10" s="1"/>
  <c r="G93" i="10"/>
  <c r="E93" i="10"/>
  <c r="M92" i="10"/>
  <c r="H92" i="10"/>
  <c r="I92" i="10" s="1"/>
  <c r="G92" i="10"/>
  <c r="G95" i="10" s="1"/>
  <c r="E92" i="10"/>
  <c r="L90" i="10"/>
  <c r="M90" i="10" s="1"/>
  <c r="K90" i="10"/>
  <c r="E90" i="10"/>
  <c r="D90" i="10"/>
  <c r="C90" i="10"/>
  <c r="M89" i="10"/>
  <c r="H89" i="10"/>
  <c r="G89" i="10"/>
  <c r="I89" i="10" s="1"/>
  <c r="M88" i="10"/>
  <c r="I88" i="10"/>
  <c r="H88" i="10"/>
  <c r="G88" i="10"/>
  <c r="E88" i="10"/>
  <c r="M87" i="10"/>
  <c r="H87" i="10"/>
  <c r="I87" i="10" s="1"/>
  <c r="G87" i="10"/>
  <c r="E87" i="10"/>
  <c r="M86" i="10"/>
  <c r="H86" i="10"/>
  <c r="I86" i="10" s="1"/>
  <c r="G86" i="10"/>
  <c r="G90" i="10" s="1"/>
  <c r="E86" i="10"/>
  <c r="L84" i="10"/>
  <c r="M84" i="10" s="1"/>
  <c r="K84" i="10"/>
  <c r="D84" i="10"/>
  <c r="C84" i="10"/>
  <c r="E84" i="10" s="1"/>
  <c r="M83" i="10"/>
  <c r="I83" i="10"/>
  <c r="H83" i="10"/>
  <c r="G83" i="10"/>
  <c r="E83" i="10"/>
  <c r="M82" i="10"/>
  <c r="H82" i="10"/>
  <c r="I82" i="10" s="1"/>
  <c r="G82" i="10"/>
  <c r="E82" i="10"/>
  <c r="M81" i="10"/>
  <c r="H81" i="10"/>
  <c r="H84" i="10" s="1"/>
  <c r="G81" i="10"/>
  <c r="M80" i="10"/>
  <c r="H80" i="10"/>
  <c r="G80" i="10"/>
  <c r="G84" i="10" s="1"/>
  <c r="L78" i="10"/>
  <c r="M78" i="10" s="1"/>
  <c r="K78" i="10"/>
  <c r="D78" i="10"/>
  <c r="E78" i="10" s="1"/>
  <c r="C78" i="10"/>
  <c r="M77" i="10"/>
  <c r="I77" i="10"/>
  <c r="H77" i="10"/>
  <c r="G77" i="10"/>
  <c r="E77" i="10"/>
  <c r="M76" i="10"/>
  <c r="I76" i="10"/>
  <c r="H76" i="10"/>
  <c r="G76" i="10"/>
  <c r="E76" i="10"/>
  <c r="M75" i="10"/>
  <c r="H75" i="10"/>
  <c r="H78" i="10" s="1"/>
  <c r="I78" i="10" s="1"/>
  <c r="G75" i="10"/>
  <c r="G78" i="10" s="1"/>
  <c r="E75" i="10"/>
  <c r="L73" i="10"/>
  <c r="M73" i="10" s="1"/>
  <c r="K73" i="10"/>
  <c r="D73" i="10"/>
  <c r="E73" i="10" s="1"/>
  <c r="M72" i="10"/>
  <c r="I72" i="10"/>
  <c r="H72" i="10"/>
  <c r="G72" i="10"/>
  <c r="M71" i="10"/>
  <c r="H71" i="10"/>
  <c r="I71" i="10" s="1"/>
  <c r="G71" i="10"/>
  <c r="E71" i="10"/>
  <c r="M70" i="10"/>
  <c r="H70" i="10"/>
  <c r="I70" i="10" s="1"/>
  <c r="G70" i="10"/>
  <c r="E70" i="10"/>
  <c r="M69" i="10"/>
  <c r="K69" i="10"/>
  <c r="H69" i="10"/>
  <c r="I69" i="10" s="1"/>
  <c r="G69" i="10"/>
  <c r="G73" i="10" s="1"/>
  <c r="D69" i="10"/>
  <c r="E69" i="10" s="1"/>
  <c r="C69" i="10"/>
  <c r="C73" i="10" s="1"/>
  <c r="M67" i="10"/>
  <c r="L67" i="10"/>
  <c r="K67" i="10"/>
  <c r="D67" i="10"/>
  <c r="C67" i="10"/>
  <c r="M66" i="10"/>
  <c r="H66" i="10"/>
  <c r="I66" i="10" s="1"/>
  <c r="G66" i="10"/>
  <c r="M65" i="10"/>
  <c r="H65" i="10"/>
  <c r="I65" i="10" s="1"/>
  <c r="G65" i="10"/>
  <c r="M64" i="10"/>
  <c r="H64" i="10"/>
  <c r="I64" i="10" s="1"/>
  <c r="G64" i="10"/>
  <c r="M63" i="10"/>
  <c r="H63" i="10"/>
  <c r="H67" i="10" s="1"/>
  <c r="G63" i="10"/>
  <c r="G67" i="10" s="1"/>
  <c r="M61" i="10"/>
  <c r="L61" i="10"/>
  <c r="K61" i="10"/>
  <c r="D61" i="10"/>
  <c r="C61" i="10"/>
  <c r="E61" i="10" s="1"/>
  <c r="M60" i="10"/>
  <c r="H60" i="10"/>
  <c r="I60" i="10" s="1"/>
  <c r="G60" i="10"/>
  <c r="E60" i="10"/>
  <c r="M59" i="10"/>
  <c r="H59" i="10"/>
  <c r="I59" i="10" s="1"/>
  <c r="G59" i="10"/>
  <c r="E59" i="10"/>
  <c r="M58" i="10"/>
  <c r="H58" i="10"/>
  <c r="I58" i="10" s="1"/>
  <c r="G58" i="10"/>
  <c r="M57" i="10"/>
  <c r="I57" i="10"/>
  <c r="H57" i="10"/>
  <c r="H61" i="10" s="1"/>
  <c r="G57" i="10"/>
  <c r="G61" i="10" s="1"/>
  <c r="E57" i="10"/>
  <c r="L55" i="10"/>
  <c r="M55" i="10" s="1"/>
  <c r="K55" i="10"/>
  <c r="M54" i="10"/>
  <c r="G54" i="10"/>
  <c r="D54" i="10"/>
  <c r="E54" i="10" s="1"/>
  <c r="C54" i="10"/>
  <c r="C103" i="10" s="1"/>
  <c r="M53" i="10"/>
  <c r="H53" i="10"/>
  <c r="E53" i="10"/>
  <c r="C53" i="10"/>
  <c r="C55" i="10" s="1"/>
  <c r="L51" i="10"/>
  <c r="M51" i="10" s="1"/>
  <c r="K51" i="10"/>
  <c r="E51" i="10"/>
  <c r="D51" i="10"/>
  <c r="C51" i="10"/>
  <c r="M50" i="10"/>
  <c r="H50" i="10"/>
  <c r="I50" i="10" s="1"/>
  <c r="G50" i="10"/>
  <c r="E50" i="10"/>
  <c r="H49" i="10"/>
  <c r="H51" i="10" s="1"/>
  <c r="I51" i="10" s="1"/>
  <c r="G49" i="10"/>
  <c r="M48" i="10"/>
  <c r="I48" i="10"/>
  <c r="H48" i="10"/>
  <c r="G48" i="10"/>
  <c r="G51" i="10" s="1"/>
  <c r="L46" i="10"/>
  <c r="K46" i="10"/>
  <c r="M46" i="10" s="1"/>
  <c r="G46" i="10"/>
  <c r="D46" i="10"/>
  <c r="C46" i="10"/>
  <c r="M45" i="10"/>
  <c r="H45" i="10"/>
  <c r="G45" i="10"/>
  <c r="M43" i="10"/>
  <c r="L43" i="10"/>
  <c r="K43" i="10"/>
  <c r="H43" i="10"/>
  <c r="I43" i="10" s="1"/>
  <c r="E43" i="10"/>
  <c r="D43" i="10"/>
  <c r="C43" i="10"/>
  <c r="M42" i="10"/>
  <c r="H42" i="10"/>
  <c r="G42" i="10"/>
  <c r="E42" i="10"/>
  <c r="M41" i="10"/>
  <c r="H41" i="10"/>
  <c r="I41" i="10" s="1"/>
  <c r="G41" i="10"/>
  <c r="G43" i="10" s="1"/>
  <c r="E41" i="10"/>
  <c r="L39" i="10"/>
  <c r="M39" i="10" s="1"/>
  <c r="K39" i="10"/>
  <c r="D39" i="10"/>
  <c r="C39" i="10"/>
  <c r="H38" i="10"/>
  <c r="G38" i="10"/>
  <c r="M37" i="10"/>
  <c r="I37" i="10"/>
  <c r="H37" i="10"/>
  <c r="H39" i="10" s="1"/>
  <c r="G37" i="10"/>
  <c r="E37" i="10"/>
  <c r="L35" i="10"/>
  <c r="M35" i="10" s="1"/>
  <c r="K35" i="10"/>
  <c r="H35" i="10"/>
  <c r="I35" i="10" s="1"/>
  <c r="D35" i="10"/>
  <c r="C35" i="10"/>
  <c r="M34" i="10"/>
  <c r="H34" i="10"/>
  <c r="I34" i="10" s="1"/>
  <c r="G34" i="10"/>
  <c r="G35" i="10" s="1"/>
  <c r="M32" i="10"/>
  <c r="L32" i="10"/>
  <c r="K32" i="10"/>
  <c r="D32" i="10"/>
  <c r="C32" i="10"/>
  <c r="M31" i="10"/>
  <c r="H31" i="10"/>
  <c r="I31" i="10" s="1"/>
  <c r="G31" i="10"/>
  <c r="Q30" i="10"/>
  <c r="M30" i="10"/>
  <c r="I30" i="10"/>
  <c r="H30" i="10"/>
  <c r="G30" i="10"/>
  <c r="H29" i="10"/>
  <c r="I29" i="10" s="1"/>
  <c r="G29" i="10"/>
  <c r="M28" i="10"/>
  <c r="H28" i="10"/>
  <c r="G28" i="10"/>
  <c r="G32" i="10" s="1"/>
  <c r="M26" i="10"/>
  <c r="L26" i="10"/>
  <c r="K26" i="10"/>
  <c r="D26" i="10"/>
  <c r="C26" i="10"/>
  <c r="M25" i="10"/>
  <c r="H25" i="10"/>
  <c r="I25" i="10" s="1"/>
  <c r="G25" i="10"/>
  <c r="M24" i="10"/>
  <c r="H24" i="10"/>
  <c r="I24" i="10" s="1"/>
  <c r="G24" i="10"/>
  <c r="M23" i="10"/>
  <c r="H23" i="10"/>
  <c r="I23" i="10" s="1"/>
  <c r="G23" i="10"/>
  <c r="G26" i="10" s="1"/>
  <c r="L21" i="10"/>
  <c r="M21" i="10" s="1"/>
  <c r="K21" i="10"/>
  <c r="H21" i="10"/>
  <c r="D21" i="10"/>
  <c r="M20" i="10"/>
  <c r="H20" i="10"/>
  <c r="G20" i="10"/>
  <c r="E20" i="10"/>
  <c r="M19" i="10"/>
  <c r="E19" i="10"/>
  <c r="D19" i="10"/>
  <c r="H19" i="10" s="1"/>
  <c r="C19" i="10"/>
  <c r="H18" i="10"/>
  <c r="I18" i="10" s="1"/>
  <c r="G18" i="10"/>
  <c r="G100" i="10" s="1"/>
  <c r="K17" i="10"/>
  <c r="M17" i="10" s="1"/>
  <c r="I17" i="10"/>
  <c r="H17" i="10"/>
  <c r="G17" i="10"/>
  <c r="E17" i="10"/>
  <c r="L15" i="10"/>
  <c r="H15" i="10"/>
  <c r="E15" i="10"/>
  <c r="D15" i="10"/>
  <c r="C15" i="10"/>
  <c r="M14" i="10"/>
  <c r="H14" i="10"/>
  <c r="H98" i="10" s="1"/>
  <c r="I98" i="10" s="1"/>
  <c r="G14" i="10"/>
  <c r="G98" i="10" s="1"/>
  <c r="E14" i="10"/>
  <c r="K13" i="10"/>
  <c r="H13" i="10"/>
  <c r="C13" i="10"/>
  <c r="C97" i="10" s="1"/>
  <c r="M11" i="10"/>
  <c r="L11" i="10"/>
  <c r="K11" i="10"/>
  <c r="E11" i="10"/>
  <c r="D11" i="10"/>
  <c r="C11" i="10"/>
  <c r="M10" i="10"/>
  <c r="K10" i="10"/>
  <c r="G10" i="10" s="1"/>
  <c r="G11" i="10" s="1"/>
  <c r="H10" i="10"/>
  <c r="H11" i="10" s="1"/>
  <c r="E10" i="10"/>
  <c r="M8" i="10"/>
  <c r="L8" i="10"/>
  <c r="K8" i="10"/>
  <c r="H8" i="10"/>
  <c r="E8" i="10"/>
  <c r="D8" i="10"/>
  <c r="C8" i="10"/>
  <c r="M7" i="10"/>
  <c r="H7" i="10"/>
  <c r="G7" i="10"/>
  <c r="E7" i="10"/>
  <c r="H6" i="10"/>
  <c r="H99" i="10" s="1"/>
  <c r="G6" i="10"/>
  <c r="G99" i="10" s="1"/>
  <c r="M5" i="10"/>
  <c r="H5" i="10"/>
  <c r="H97" i="10" s="1"/>
  <c r="G5" i="10"/>
  <c r="E5" i="10"/>
  <c r="L3" i="10"/>
  <c r="G3" i="10"/>
  <c r="D3" i="10"/>
  <c r="C3" i="10"/>
  <c r="D139" i="9"/>
  <c r="C139" i="9"/>
  <c r="D133" i="9"/>
  <c r="D132" i="9"/>
  <c r="C132" i="9"/>
  <c r="D127" i="9"/>
  <c r="C127" i="9"/>
  <c r="C133" i="9" s="1"/>
  <c r="D119" i="9"/>
  <c r="D118" i="9"/>
  <c r="C118" i="9"/>
  <c r="C119" i="9" s="1"/>
  <c r="E117" i="9"/>
  <c r="E116" i="9"/>
  <c r="D116" i="9"/>
  <c r="C116" i="9"/>
  <c r="E115" i="9"/>
  <c r="L112" i="9"/>
  <c r="M111" i="9"/>
  <c r="L111" i="9"/>
  <c r="K111" i="9"/>
  <c r="D111" i="9"/>
  <c r="C111" i="9"/>
  <c r="M110" i="9"/>
  <c r="H110" i="9"/>
  <c r="I110" i="9" s="1"/>
  <c r="G110" i="9"/>
  <c r="G111" i="9" s="1"/>
  <c r="L109" i="9"/>
  <c r="K109" i="9"/>
  <c r="M109" i="9" s="1"/>
  <c r="D109" i="9"/>
  <c r="C109" i="9"/>
  <c r="M108" i="9"/>
  <c r="H108" i="9"/>
  <c r="I108" i="9" s="1"/>
  <c r="G108" i="9"/>
  <c r="G109" i="9" s="1"/>
  <c r="M107" i="9"/>
  <c r="L107" i="9"/>
  <c r="K107" i="9"/>
  <c r="D107" i="9"/>
  <c r="C107" i="9"/>
  <c r="M106" i="9"/>
  <c r="H106" i="9"/>
  <c r="I106" i="9" s="1"/>
  <c r="G106" i="9"/>
  <c r="G107" i="9" s="1"/>
  <c r="L105" i="9"/>
  <c r="K105" i="9"/>
  <c r="K112" i="9" s="1"/>
  <c r="K104" i="9"/>
  <c r="H104" i="9"/>
  <c r="D104" i="9"/>
  <c r="E104" i="9" s="1"/>
  <c r="C104" i="9"/>
  <c r="C105" i="9" s="1"/>
  <c r="C112" i="9" s="1"/>
  <c r="L102" i="9"/>
  <c r="M101" i="9"/>
  <c r="L101" i="9"/>
  <c r="K101" i="9"/>
  <c r="L100" i="9"/>
  <c r="M100" i="9" s="1"/>
  <c r="K100" i="9"/>
  <c r="D100" i="9"/>
  <c r="E100" i="9" s="1"/>
  <c r="C100" i="9"/>
  <c r="M99" i="9"/>
  <c r="L99" i="9"/>
  <c r="K99" i="9"/>
  <c r="L98" i="9"/>
  <c r="M98" i="9" s="1"/>
  <c r="K98" i="9"/>
  <c r="D98" i="9"/>
  <c r="E98" i="9" s="1"/>
  <c r="C98" i="9"/>
  <c r="L97" i="9"/>
  <c r="K97" i="9"/>
  <c r="D97" i="9"/>
  <c r="C97" i="9"/>
  <c r="L96" i="9"/>
  <c r="L94" i="9"/>
  <c r="M94" i="9" s="1"/>
  <c r="K94" i="9"/>
  <c r="G94" i="9"/>
  <c r="D94" i="9"/>
  <c r="E94" i="9" s="1"/>
  <c r="C94" i="9"/>
  <c r="M93" i="9"/>
  <c r="I93" i="9"/>
  <c r="H93" i="9"/>
  <c r="G93" i="9"/>
  <c r="M92" i="9"/>
  <c r="H92" i="9"/>
  <c r="I92" i="9" s="1"/>
  <c r="G92" i="9"/>
  <c r="E92" i="9"/>
  <c r="M91" i="9"/>
  <c r="H91" i="9"/>
  <c r="I91" i="9" s="1"/>
  <c r="G91" i="9"/>
  <c r="E91" i="9"/>
  <c r="M89" i="9"/>
  <c r="L89" i="9"/>
  <c r="K89" i="9"/>
  <c r="E89" i="9"/>
  <c r="D89" i="9"/>
  <c r="C89" i="9"/>
  <c r="M88" i="9"/>
  <c r="I88" i="9"/>
  <c r="H88" i="9"/>
  <c r="G88" i="9"/>
  <c r="M87" i="9"/>
  <c r="I87" i="9"/>
  <c r="H87" i="9"/>
  <c r="G87" i="9"/>
  <c r="E87" i="9"/>
  <c r="M86" i="9"/>
  <c r="I86" i="9"/>
  <c r="H86" i="9"/>
  <c r="G86" i="9"/>
  <c r="E86" i="9"/>
  <c r="M85" i="9"/>
  <c r="I85" i="9"/>
  <c r="H85" i="9"/>
  <c r="H89" i="9" s="1"/>
  <c r="G85" i="9"/>
  <c r="E85" i="9"/>
  <c r="L83" i="9"/>
  <c r="K83" i="9"/>
  <c r="H83" i="9"/>
  <c r="D83" i="9"/>
  <c r="E83" i="9" s="1"/>
  <c r="C83" i="9"/>
  <c r="M82" i="9"/>
  <c r="H82" i="9"/>
  <c r="G82" i="9"/>
  <c r="I82" i="9" s="1"/>
  <c r="E82" i="9"/>
  <c r="M81" i="9"/>
  <c r="I81" i="9"/>
  <c r="H81" i="9"/>
  <c r="G81" i="9"/>
  <c r="E81" i="9"/>
  <c r="M80" i="9"/>
  <c r="I80" i="9"/>
  <c r="H80" i="9"/>
  <c r="G80" i="9"/>
  <c r="M79" i="9"/>
  <c r="H79" i="9"/>
  <c r="I79" i="9" s="1"/>
  <c r="G79" i="9"/>
  <c r="L77" i="9"/>
  <c r="M77" i="9" s="1"/>
  <c r="K77" i="9"/>
  <c r="D77" i="9"/>
  <c r="E77" i="9" s="1"/>
  <c r="C77" i="9"/>
  <c r="M76" i="9"/>
  <c r="H76" i="9"/>
  <c r="I76" i="9" s="1"/>
  <c r="G76" i="9"/>
  <c r="E76" i="9"/>
  <c r="M75" i="9"/>
  <c r="H75" i="9"/>
  <c r="G75" i="9"/>
  <c r="I75" i="9" s="1"/>
  <c r="E75" i="9"/>
  <c r="M74" i="9"/>
  <c r="I74" i="9"/>
  <c r="H74" i="9"/>
  <c r="G74" i="9"/>
  <c r="E74" i="9"/>
  <c r="L72" i="9"/>
  <c r="M72" i="9" s="1"/>
  <c r="D72" i="9"/>
  <c r="E72" i="9" s="1"/>
  <c r="C72" i="9"/>
  <c r="M71" i="9"/>
  <c r="H71" i="9"/>
  <c r="I71" i="9" s="1"/>
  <c r="G71" i="9"/>
  <c r="M70" i="9"/>
  <c r="H70" i="9"/>
  <c r="I70" i="9" s="1"/>
  <c r="G70" i="9"/>
  <c r="E70" i="9"/>
  <c r="M69" i="9"/>
  <c r="H69" i="9"/>
  <c r="I69" i="9" s="1"/>
  <c r="G69" i="9"/>
  <c r="E69" i="9"/>
  <c r="M68" i="9"/>
  <c r="K68" i="9"/>
  <c r="K72" i="9" s="1"/>
  <c r="I68" i="9"/>
  <c r="G68" i="9"/>
  <c r="G72" i="9" s="1"/>
  <c r="E68" i="9"/>
  <c r="D68" i="9"/>
  <c r="H68" i="9" s="1"/>
  <c r="L66" i="9"/>
  <c r="M66" i="9" s="1"/>
  <c r="K66" i="9"/>
  <c r="D66" i="9"/>
  <c r="C66" i="9"/>
  <c r="M65" i="9"/>
  <c r="I65" i="9"/>
  <c r="H65" i="9"/>
  <c r="G65" i="9"/>
  <c r="M64" i="9"/>
  <c r="H64" i="9"/>
  <c r="I64" i="9" s="1"/>
  <c r="G64" i="9"/>
  <c r="M63" i="9"/>
  <c r="I63" i="9"/>
  <c r="H63" i="9"/>
  <c r="G63" i="9"/>
  <c r="M62" i="9"/>
  <c r="H62" i="9"/>
  <c r="H66" i="9" s="1"/>
  <c r="G62" i="9"/>
  <c r="L60" i="9"/>
  <c r="M60" i="9" s="1"/>
  <c r="K60" i="9"/>
  <c r="E60" i="9"/>
  <c r="D60" i="9"/>
  <c r="C60" i="9"/>
  <c r="M59" i="9"/>
  <c r="H59" i="9"/>
  <c r="I59" i="9" s="1"/>
  <c r="G59" i="9"/>
  <c r="E59" i="9"/>
  <c r="M58" i="9"/>
  <c r="H58" i="9"/>
  <c r="I58" i="9" s="1"/>
  <c r="G58" i="9"/>
  <c r="E58" i="9"/>
  <c r="M57" i="9"/>
  <c r="H57" i="9"/>
  <c r="I57" i="9" s="1"/>
  <c r="G57" i="9"/>
  <c r="M56" i="9"/>
  <c r="H56" i="9"/>
  <c r="G56" i="9"/>
  <c r="G60" i="9" s="1"/>
  <c r="E56" i="9"/>
  <c r="L54" i="9"/>
  <c r="M54" i="9" s="1"/>
  <c r="K54" i="9"/>
  <c r="D54" i="9"/>
  <c r="M53" i="9"/>
  <c r="E53" i="9"/>
  <c r="D53" i="9"/>
  <c r="H53" i="9" s="1"/>
  <c r="C53" i="9"/>
  <c r="M52" i="9"/>
  <c r="H52" i="9"/>
  <c r="I52" i="9" s="1"/>
  <c r="G52" i="9"/>
  <c r="L50" i="9"/>
  <c r="M50" i="9" s="1"/>
  <c r="K50" i="9"/>
  <c r="I50" i="9"/>
  <c r="E50" i="9"/>
  <c r="D50" i="9"/>
  <c r="C50" i="9"/>
  <c r="M49" i="9"/>
  <c r="H49" i="9"/>
  <c r="I49" i="9" s="1"/>
  <c r="G49" i="9"/>
  <c r="E49" i="9"/>
  <c r="H48" i="9"/>
  <c r="G48" i="9"/>
  <c r="M47" i="9"/>
  <c r="I47" i="9"/>
  <c r="H47" i="9"/>
  <c r="H50" i="9" s="1"/>
  <c r="G47" i="9"/>
  <c r="G50" i="9" s="1"/>
  <c r="L45" i="9"/>
  <c r="M45" i="9" s="1"/>
  <c r="K45" i="9"/>
  <c r="G45" i="9"/>
  <c r="D45" i="9"/>
  <c r="C45" i="9"/>
  <c r="M44" i="9"/>
  <c r="H44" i="9"/>
  <c r="I44" i="9" s="1"/>
  <c r="G44" i="9"/>
  <c r="L42" i="9"/>
  <c r="M42" i="9" s="1"/>
  <c r="K42" i="9"/>
  <c r="D42" i="9"/>
  <c r="C42" i="9"/>
  <c r="E42" i="9" s="1"/>
  <c r="M41" i="9"/>
  <c r="H41" i="9"/>
  <c r="I41" i="9" s="1"/>
  <c r="G41" i="9"/>
  <c r="E41" i="9"/>
  <c r="M40" i="9"/>
  <c r="H40" i="9"/>
  <c r="H42" i="9" s="1"/>
  <c r="I42" i="9" s="1"/>
  <c r="G40" i="9"/>
  <c r="G42" i="9" s="1"/>
  <c r="E40" i="9"/>
  <c r="M38" i="9"/>
  <c r="L38" i="9"/>
  <c r="K38" i="9"/>
  <c r="D38" i="9"/>
  <c r="C38" i="9"/>
  <c r="H37" i="9"/>
  <c r="G37" i="9"/>
  <c r="M36" i="9"/>
  <c r="H36" i="9"/>
  <c r="H100" i="9" s="1"/>
  <c r="G36" i="9"/>
  <c r="E36" i="9"/>
  <c r="L34" i="9"/>
  <c r="M34" i="9" s="1"/>
  <c r="K34" i="9"/>
  <c r="D34" i="9"/>
  <c r="C34" i="9"/>
  <c r="M33" i="9"/>
  <c r="I33" i="9"/>
  <c r="H33" i="9"/>
  <c r="H34" i="9" s="1"/>
  <c r="I34" i="9" s="1"/>
  <c r="G33" i="9"/>
  <c r="G34" i="9" s="1"/>
  <c r="L31" i="9"/>
  <c r="M31" i="9" s="1"/>
  <c r="K31" i="9"/>
  <c r="D31" i="9"/>
  <c r="C31" i="9"/>
  <c r="M30" i="9"/>
  <c r="H30" i="9"/>
  <c r="I30" i="9" s="1"/>
  <c r="G30" i="9"/>
  <c r="Q29" i="9"/>
  <c r="M29" i="9"/>
  <c r="I29" i="9"/>
  <c r="H29" i="9"/>
  <c r="G29" i="9"/>
  <c r="H28" i="9"/>
  <c r="I28" i="9" s="1"/>
  <c r="G28" i="9"/>
  <c r="G31" i="9" s="1"/>
  <c r="M27" i="9"/>
  <c r="I27" i="9"/>
  <c r="H27" i="9"/>
  <c r="H31" i="9" s="1"/>
  <c r="G27" i="9"/>
  <c r="L25" i="9"/>
  <c r="M25" i="9" s="1"/>
  <c r="K25" i="9"/>
  <c r="D25" i="9"/>
  <c r="C25" i="9"/>
  <c r="M24" i="9"/>
  <c r="H24" i="9"/>
  <c r="I24" i="9" s="1"/>
  <c r="G24" i="9"/>
  <c r="M23" i="9"/>
  <c r="I23" i="9"/>
  <c r="H23" i="9"/>
  <c r="G23" i="9"/>
  <c r="M22" i="9"/>
  <c r="H22" i="9"/>
  <c r="H25" i="9" s="1"/>
  <c r="G22" i="9"/>
  <c r="G25" i="9" s="1"/>
  <c r="L20" i="9"/>
  <c r="D20" i="9"/>
  <c r="M19" i="9"/>
  <c r="H19" i="9"/>
  <c r="C19" i="9"/>
  <c r="C101" i="9" s="1"/>
  <c r="M18" i="9"/>
  <c r="H18" i="9"/>
  <c r="H99" i="9" s="1"/>
  <c r="D18" i="9"/>
  <c r="D99" i="9" s="1"/>
  <c r="C18" i="9"/>
  <c r="C20" i="9" s="1"/>
  <c r="H17" i="9"/>
  <c r="H98" i="9" s="1"/>
  <c r="G17" i="9"/>
  <c r="G98" i="9" s="1"/>
  <c r="M16" i="9"/>
  <c r="K16" i="9"/>
  <c r="K20" i="9" s="1"/>
  <c r="H16" i="9"/>
  <c r="I16" i="9" s="1"/>
  <c r="G16" i="9"/>
  <c r="E16" i="9"/>
  <c r="L14" i="9"/>
  <c r="K13" i="9"/>
  <c r="M13" i="9" s="1"/>
  <c r="D13" i="9"/>
  <c r="D96" i="9" s="1"/>
  <c r="C13" i="9"/>
  <c r="C14" i="9" s="1"/>
  <c r="L11" i="9"/>
  <c r="D11" i="9"/>
  <c r="E11" i="9" s="1"/>
  <c r="C11" i="9"/>
  <c r="K10" i="9"/>
  <c r="K96" i="9" s="1"/>
  <c r="K102" i="9" s="1"/>
  <c r="K116" i="9" s="1"/>
  <c r="H10" i="9"/>
  <c r="H11" i="9" s="1"/>
  <c r="E10" i="9"/>
  <c r="L8" i="9"/>
  <c r="M8" i="9" s="1"/>
  <c r="K8" i="9"/>
  <c r="G8" i="9"/>
  <c r="E8" i="9"/>
  <c r="D8" i="9"/>
  <c r="C8" i="9"/>
  <c r="M7" i="9"/>
  <c r="H7" i="9"/>
  <c r="G7" i="9"/>
  <c r="E7" i="9"/>
  <c r="H6" i="9"/>
  <c r="H97" i="9" s="1"/>
  <c r="G6" i="9"/>
  <c r="G97" i="9" s="1"/>
  <c r="E6" i="9"/>
  <c r="M5" i="9"/>
  <c r="H5" i="9"/>
  <c r="G5" i="9"/>
  <c r="E5" i="9"/>
  <c r="G3" i="9"/>
  <c r="D3" i="9"/>
  <c r="C3" i="9"/>
  <c r="E139" i="8"/>
  <c r="C139" i="8"/>
  <c r="F136" i="8"/>
  <c r="D136" i="8"/>
  <c r="F135" i="8"/>
  <c r="D135" i="8"/>
  <c r="D139" i="8" s="1"/>
  <c r="E132" i="8"/>
  <c r="F132" i="8" s="1"/>
  <c r="C132" i="8"/>
  <c r="F131" i="8"/>
  <c r="F130" i="8"/>
  <c r="F129" i="8"/>
  <c r="D129" i="8"/>
  <c r="D132" i="8" s="1"/>
  <c r="E127" i="8"/>
  <c r="E133" i="8" s="1"/>
  <c r="F133" i="8" s="1"/>
  <c r="C127" i="8"/>
  <c r="C133" i="8" s="1"/>
  <c r="F126" i="8"/>
  <c r="F125" i="8"/>
  <c r="F124" i="8"/>
  <c r="D124" i="8"/>
  <c r="D127" i="8" s="1"/>
  <c r="D133" i="8" s="1"/>
  <c r="C118" i="8"/>
  <c r="F117" i="8"/>
  <c r="E117" i="8"/>
  <c r="E118" i="8" s="1"/>
  <c r="F118" i="8" s="1"/>
  <c r="D117" i="8"/>
  <c r="D118" i="8" s="1"/>
  <c r="C117" i="8"/>
  <c r="F116" i="8"/>
  <c r="E115" i="8"/>
  <c r="F115" i="8" s="1"/>
  <c r="D115" i="8"/>
  <c r="C115" i="8"/>
  <c r="F114" i="8"/>
  <c r="P111" i="8"/>
  <c r="K111" i="8"/>
  <c r="J111" i="8"/>
  <c r="I111" i="8"/>
  <c r="E111" i="8"/>
  <c r="F111" i="8" s="1"/>
  <c r="D111" i="8"/>
  <c r="C111" i="8"/>
  <c r="Q110" i="8"/>
  <c r="R110" i="8" s="1"/>
  <c r="O110" i="8"/>
  <c r="O111" i="8" s="1"/>
  <c r="F110" i="8"/>
  <c r="Q109" i="8"/>
  <c r="R109" i="8" s="1"/>
  <c r="P109" i="8"/>
  <c r="O109" i="8"/>
  <c r="K109" i="8"/>
  <c r="J109" i="8"/>
  <c r="I109" i="8"/>
  <c r="E109" i="8"/>
  <c r="F109" i="8" s="1"/>
  <c r="D109" i="8"/>
  <c r="C109" i="8"/>
  <c r="R108" i="8"/>
  <c r="Q108" i="8"/>
  <c r="O108" i="8"/>
  <c r="F108" i="8"/>
  <c r="O107" i="8"/>
  <c r="L107" i="8"/>
  <c r="K107" i="8"/>
  <c r="J107" i="8"/>
  <c r="I107" i="8"/>
  <c r="E107" i="8"/>
  <c r="F107" i="8" s="1"/>
  <c r="D107" i="8"/>
  <c r="C107" i="8"/>
  <c r="R106" i="8"/>
  <c r="Q106" i="8"/>
  <c r="Q107" i="8" s="1"/>
  <c r="R107" i="8" s="1"/>
  <c r="P106" i="8"/>
  <c r="P107" i="8" s="1"/>
  <c r="O106" i="8"/>
  <c r="L106" i="8"/>
  <c r="J106" i="8"/>
  <c r="F106" i="8"/>
  <c r="D106" i="8"/>
  <c r="I105" i="8"/>
  <c r="I112" i="8" s="1"/>
  <c r="E105" i="8"/>
  <c r="E112" i="8" s="1"/>
  <c r="L104" i="8"/>
  <c r="K104" i="8"/>
  <c r="K105" i="8" s="1"/>
  <c r="J104" i="8"/>
  <c r="J105" i="8" s="1"/>
  <c r="J112" i="8" s="1"/>
  <c r="I104" i="8"/>
  <c r="C104" i="8"/>
  <c r="C105" i="8" s="1"/>
  <c r="F101" i="8"/>
  <c r="E101" i="8"/>
  <c r="C101" i="8"/>
  <c r="L100" i="8"/>
  <c r="K100" i="8"/>
  <c r="I100" i="8"/>
  <c r="F100" i="8"/>
  <c r="E100" i="8"/>
  <c r="C100" i="8"/>
  <c r="F99" i="8"/>
  <c r="E99" i="8"/>
  <c r="C99" i="8"/>
  <c r="L98" i="8"/>
  <c r="K98" i="8"/>
  <c r="I98" i="8"/>
  <c r="F98" i="8"/>
  <c r="E98" i="8"/>
  <c r="C98" i="8"/>
  <c r="K97" i="8"/>
  <c r="I97" i="8"/>
  <c r="E97" i="8"/>
  <c r="C97" i="8"/>
  <c r="E96" i="8"/>
  <c r="E102" i="8" s="1"/>
  <c r="K94" i="8"/>
  <c r="L94" i="8" s="1"/>
  <c r="I94" i="8"/>
  <c r="E94" i="8"/>
  <c r="C94" i="8"/>
  <c r="F94" i="8" s="1"/>
  <c r="Q93" i="8"/>
  <c r="R93" i="8" s="1"/>
  <c r="O93" i="8"/>
  <c r="J93" i="8"/>
  <c r="F93" i="8"/>
  <c r="D93" i="8"/>
  <c r="P93" i="8" s="1"/>
  <c r="Q92" i="8"/>
  <c r="O92" i="8"/>
  <c r="R92" i="8" s="1"/>
  <c r="L92" i="8"/>
  <c r="F92" i="8"/>
  <c r="Q91" i="8"/>
  <c r="Q94" i="8" s="1"/>
  <c r="P91" i="8"/>
  <c r="P94" i="8" s="1"/>
  <c r="O91" i="8"/>
  <c r="R91" i="8" s="1"/>
  <c r="J91" i="8"/>
  <c r="J94" i="8" s="1"/>
  <c r="F91" i="8"/>
  <c r="D91" i="8"/>
  <c r="D94" i="8" s="1"/>
  <c r="L89" i="8"/>
  <c r="K89" i="8"/>
  <c r="I89" i="8"/>
  <c r="F89" i="8"/>
  <c r="E89" i="8"/>
  <c r="C89" i="8"/>
  <c r="R88" i="8"/>
  <c r="Q88" i="8"/>
  <c r="P88" i="8"/>
  <c r="O88" i="8"/>
  <c r="J88" i="8"/>
  <c r="F88" i="8"/>
  <c r="D88" i="8"/>
  <c r="Q87" i="8"/>
  <c r="R87" i="8" s="1"/>
  <c r="O87" i="8"/>
  <c r="L87" i="8"/>
  <c r="J87" i="8"/>
  <c r="F87" i="8"/>
  <c r="D87" i="8"/>
  <c r="P87" i="8" s="1"/>
  <c r="Q86" i="8"/>
  <c r="R86" i="8" s="1"/>
  <c r="O86" i="8"/>
  <c r="L86" i="8"/>
  <c r="J86" i="8"/>
  <c r="F86" i="8"/>
  <c r="D86" i="8"/>
  <c r="P86" i="8" s="1"/>
  <c r="Q85" i="8"/>
  <c r="Q89" i="8" s="1"/>
  <c r="O85" i="8"/>
  <c r="O89" i="8" s="1"/>
  <c r="L85" i="8"/>
  <c r="J85" i="8"/>
  <c r="J89" i="8" s="1"/>
  <c r="F85" i="8"/>
  <c r="D85" i="8"/>
  <c r="D89" i="8" s="1"/>
  <c r="O83" i="8"/>
  <c r="K83" i="8"/>
  <c r="L83" i="8" s="1"/>
  <c r="I83" i="8"/>
  <c r="E83" i="8"/>
  <c r="F83" i="8" s="1"/>
  <c r="C83" i="8"/>
  <c r="Q82" i="8"/>
  <c r="R82" i="8" s="1"/>
  <c r="O82" i="8"/>
  <c r="L82" i="8"/>
  <c r="J82" i="8"/>
  <c r="F82" i="8"/>
  <c r="D82" i="8"/>
  <c r="P82" i="8" s="1"/>
  <c r="Q81" i="8"/>
  <c r="R81" i="8" s="1"/>
  <c r="O81" i="8"/>
  <c r="L81" i="8"/>
  <c r="J81" i="8"/>
  <c r="F81" i="8"/>
  <c r="D81" i="8"/>
  <c r="P81" i="8" s="1"/>
  <c r="Q80" i="8"/>
  <c r="R80" i="8" s="1"/>
  <c r="O80" i="8"/>
  <c r="J80" i="8"/>
  <c r="F80" i="8"/>
  <c r="D80" i="8"/>
  <c r="P80" i="8" s="1"/>
  <c r="R79" i="8"/>
  <c r="Q79" i="8"/>
  <c r="P79" i="8"/>
  <c r="O79" i="8"/>
  <c r="J79" i="8"/>
  <c r="J83" i="8" s="1"/>
  <c r="F79" i="8"/>
  <c r="D79" i="8"/>
  <c r="D83" i="8" s="1"/>
  <c r="Q77" i="8"/>
  <c r="R77" i="8" s="1"/>
  <c r="O77" i="8"/>
  <c r="K77" i="8"/>
  <c r="I77" i="8"/>
  <c r="L77" i="8" s="1"/>
  <c r="E77" i="8"/>
  <c r="F77" i="8" s="1"/>
  <c r="C77" i="8"/>
  <c r="Q76" i="8"/>
  <c r="O76" i="8"/>
  <c r="R76" i="8" s="1"/>
  <c r="L76" i="8"/>
  <c r="J76" i="8"/>
  <c r="F76" i="8"/>
  <c r="D76" i="8"/>
  <c r="P76" i="8" s="1"/>
  <c r="Q75" i="8"/>
  <c r="O75" i="8"/>
  <c r="R75" i="8" s="1"/>
  <c r="L75" i="8"/>
  <c r="J75" i="8"/>
  <c r="F75" i="8"/>
  <c r="D75" i="8"/>
  <c r="P75" i="8" s="1"/>
  <c r="Q74" i="8"/>
  <c r="R74" i="8" s="1"/>
  <c r="O74" i="8"/>
  <c r="L74" i="8"/>
  <c r="J74" i="8"/>
  <c r="J77" i="8" s="1"/>
  <c r="F74" i="8"/>
  <c r="D74" i="8"/>
  <c r="D77" i="8" s="1"/>
  <c r="K72" i="8"/>
  <c r="L72" i="8" s="1"/>
  <c r="I72" i="8"/>
  <c r="E72" i="8"/>
  <c r="F72" i="8" s="1"/>
  <c r="C72" i="8"/>
  <c r="Q71" i="8"/>
  <c r="R71" i="8" s="1"/>
  <c r="O71" i="8"/>
  <c r="J71" i="8"/>
  <c r="F71" i="8"/>
  <c r="D71" i="8"/>
  <c r="P71" i="8" s="1"/>
  <c r="R70" i="8"/>
  <c r="Q70" i="8"/>
  <c r="P70" i="8"/>
  <c r="O70" i="8"/>
  <c r="L70" i="8"/>
  <c r="J70" i="8"/>
  <c r="F70" i="8"/>
  <c r="D70" i="8"/>
  <c r="R69" i="8"/>
  <c r="Q69" i="8"/>
  <c r="P69" i="8"/>
  <c r="O69" i="8"/>
  <c r="L69" i="8"/>
  <c r="J69" i="8"/>
  <c r="F69" i="8"/>
  <c r="D69" i="8"/>
  <c r="L68" i="8"/>
  <c r="K68" i="8"/>
  <c r="Q68" i="8" s="1"/>
  <c r="J68" i="8"/>
  <c r="J72" i="8" s="1"/>
  <c r="F68" i="8"/>
  <c r="D68" i="8"/>
  <c r="P68" i="8" s="1"/>
  <c r="P72" i="8" s="1"/>
  <c r="C68" i="8"/>
  <c r="O68" i="8" s="1"/>
  <c r="O72" i="8" s="1"/>
  <c r="K66" i="8"/>
  <c r="I66" i="8"/>
  <c r="E66" i="8"/>
  <c r="F66" i="8" s="1"/>
  <c r="C66" i="8"/>
  <c r="Q65" i="8"/>
  <c r="O65" i="8"/>
  <c r="R65" i="8" s="1"/>
  <c r="J65" i="8"/>
  <c r="F65" i="8"/>
  <c r="D65" i="8"/>
  <c r="P65" i="8" s="1"/>
  <c r="R64" i="8"/>
  <c r="Q64" i="8"/>
  <c r="O64" i="8"/>
  <c r="J64" i="8"/>
  <c r="F64" i="8"/>
  <c r="D64" i="8"/>
  <c r="P64" i="8" s="1"/>
  <c r="Q63" i="8"/>
  <c r="R63" i="8" s="1"/>
  <c r="O63" i="8"/>
  <c r="J63" i="8"/>
  <c r="F63" i="8"/>
  <c r="D63" i="8"/>
  <c r="P63" i="8" s="1"/>
  <c r="R62" i="8"/>
  <c r="Q62" i="8"/>
  <c r="Q66" i="8" s="1"/>
  <c r="R66" i="8" s="1"/>
  <c r="P62" i="8"/>
  <c r="O62" i="8"/>
  <c r="O66" i="8" s="1"/>
  <c r="J62" i="8"/>
  <c r="J66" i="8" s="1"/>
  <c r="F62" i="8"/>
  <c r="D62" i="8"/>
  <c r="D66" i="8" s="1"/>
  <c r="Q60" i="8"/>
  <c r="R60" i="8" s="1"/>
  <c r="O60" i="8"/>
  <c r="K60" i="8"/>
  <c r="L60" i="8" s="1"/>
  <c r="I60" i="8"/>
  <c r="E60" i="8"/>
  <c r="F60" i="8" s="1"/>
  <c r="C60" i="8"/>
  <c r="Q59" i="8"/>
  <c r="R59" i="8" s="1"/>
  <c r="O59" i="8"/>
  <c r="L59" i="8"/>
  <c r="J59" i="8"/>
  <c r="F59" i="8"/>
  <c r="D59" i="8"/>
  <c r="P59" i="8" s="1"/>
  <c r="Q58" i="8"/>
  <c r="R58" i="8" s="1"/>
  <c r="O58" i="8"/>
  <c r="L58" i="8"/>
  <c r="J58" i="8"/>
  <c r="F58" i="8"/>
  <c r="D58" i="8"/>
  <c r="P58" i="8" s="1"/>
  <c r="Q57" i="8"/>
  <c r="R57" i="8" s="1"/>
  <c r="O57" i="8"/>
  <c r="J57" i="8"/>
  <c r="F57" i="8"/>
  <c r="D57" i="8"/>
  <c r="P57" i="8" s="1"/>
  <c r="R56" i="8"/>
  <c r="Q56" i="8"/>
  <c r="O56" i="8"/>
  <c r="L56" i="8"/>
  <c r="J56" i="8"/>
  <c r="J60" i="8" s="1"/>
  <c r="F56" i="8"/>
  <c r="D56" i="8"/>
  <c r="D60" i="8" s="1"/>
  <c r="F54" i="8"/>
  <c r="E54" i="8"/>
  <c r="C54" i="8"/>
  <c r="L53" i="8"/>
  <c r="K53" i="8"/>
  <c r="K101" i="8" s="1"/>
  <c r="I53" i="8"/>
  <c r="I54" i="8" s="1"/>
  <c r="F53" i="8"/>
  <c r="D53" i="8"/>
  <c r="R52" i="8"/>
  <c r="Q52" i="8"/>
  <c r="P52" i="8"/>
  <c r="O52" i="8"/>
  <c r="J52" i="8"/>
  <c r="F52" i="8"/>
  <c r="D52" i="8"/>
  <c r="D54" i="8" s="1"/>
  <c r="Q50" i="8"/>
  <c r="R50" i="8" s="1"/>
  <c r="O50" i="8"/>
  <c r="K50" i="8"/>
  <c r="I50" i="8"/>
  <c r="L50" i="8" s="1"/>
  <c r="E50" i="8"/>
  <c r="F50" i="8" s="1"/>
  <c r="C50" i="8"/>
  <c r="Q49" i="8"/>
  <c r="O49" i="8"/>
  <c r="R49" i="8" s="1"/>
  <c r="L49" i="8"/>
  <c r="J49" i="8"/>
  <c r="F49" i="8"/>
  <c r="D49" i="8"/>
  <c r="P49" i="8" s="1"/>
  <c r="Q48" i="8"/>
  <c r="O48" i="8"/>
  <c r="J48" i="8"/>
  <c r="D48" i="8"/>
  <c r="P48" i="8" s="1"/>
  <c r="R47" i="8"/>
  <c r="Q47" i="8"/>
  <c r="P47" i="8"/>
  <c r="O47" i="8"/>
  <c r="J47" i="8"/>
  <c r="J50" i="8" s="1"/>
  <c r="F47" i="8"/>
  <c r="D47" i="8"/>
  <c r="D50" i="8" s="1"/>
  <c r="Q45" i="8"/>
  <c r="R45" i="8" s="1"/>
  <c r="O45" i="8"/>
  <c r="K45" i="8"/>
  <c r="I45" i="8"/>
  <c r="F45" i="8"/>
  <c r="E45" i="8"/>
  <c r="C45" i="8"/>
  <c r="R44" i="8"/>
  <c r="Q44" i="8"/>
  <c r="O44" i="8"/>
  <c r="J44" i="8"/>
  <c r="J45" i="8" s="1"/>
  <c r="F44" i="8"/>
  <c r="D44" i="8"/>
  <c r="D45" i="8" s="1"/>
  <c r="Q42" i="8"/>
  <c r="K42" i="8"/>
  <c r="L42" i="8" s="1"/>
  <c r="I42" i="8"/>
  <c r="E42" i="8"/>
  <c r="F42" i="8" s="1"/>
  <c r="C42" i="8"/>
  <c r="Q41" i="8"/>
  <c r="R41" i="8" s="1"/>
  <c r="O41" i="8"/>
  <c r="L41" i="8"/>
  <c r="J41" i="8"/>
  <c r="F41" i="8"/>
  <c r="D41" i="8"/>
  <c r="P41" i="8" s="1"/>
  <c r="Q40" i="8"/>
  <c r="R40" i="8" s="1"/>
  <c r="O40" i="8"/>
  <c r="O42" i="8" s="1"/>
  <c r="L40" i="8"/>
  <c r="J40" i="8"/>
  <c r="J42" i="8" s="1"/>
  <c r="F40" i="8"/>
  <c r="D40" i="8"/>
  <c r="D42" i="8" s="1"/>
  <c r="K38" i="8"/>
  <c r="I38" i="8"/>
  <c r="E38" i="8"/>
  <c r="C38" i="8"/>
  <c r="Q37" i="8"/>
  <c r="O37" i="8"/>
  <c r="J37" i="8"/>
  <c r="J38" i="8" s="1"/>
  <c r="D37" i="8"/>
  <c r="D38" i="8" s="1"/>
  <c r="Q36" i="8"/>
  <c r="Q100" i="8" s="1"/>
  <c r="R100" i="8" s="1"/>
  <c r="O36" i="8"/>
  <c r="O100" i="8" s="1"/>
  <c r="L36" i="8"/>
  <c r="J36" i="8"/>
  <c r="J100" i="8" s="1"/>
  <c r="F36" i="8"/>
  <c r="D36" i="8"/>
  <c r="D100" i="8" s="1"/>
  <c r="O34" i="8"/>
  <c r="K34" i="8"/>
  <c r="I34" i="8"/>
  <c r="F34" i="8"/>
  <c r="E34" i="8"/>
  <c r="C34" i="8"/>
  <c r="R33" i="8"/>
  <c r="Q33" i="8"/>
  <c r="Q34" i="8" s="1"/>
  <c r="R34" i="8" s="1"/>
  <c r="O33" i="8"/>
  <c r="J33" i="8"/>
  <c r="J34" i="8" s="1"/>
  <c r="F33" i="8"/>
  <c r="D33" i="8"/>
  <c r="D34" i="8" s="1"/>
  <c r="K31" i="8"/>
  <c r="J31" i="8"/>
  <c r="I31" i="8"/>
  <c r="E31" i="8"/>
  <c r="F31" i="8" s="1"/>
  <c r="C31" i="8"/>
  <c r="R30" i="8"/>
  <c r="Q30" i="8"/>
  <c r="P30" i="8"/>
  <c r="O30" i="8"/>
  <c r="J30" i="8"/>
  <c r="F30" i="8"/>
  <c r="D30" i="8"/>
  <c r="Q29" i="8"/>
  <c r="R29" i="8" s="1"/>
  <c r="O29" i="8"/>
  <c r="J29" i="8"/>
  <c r="F29" i="8"/>
  <c r="D29" i="8"/>
  <c r="P29" i="8" s="1"/>
  <c r="Q28" i="8"/>
  <c r="Q31" i="8" s="1"/>
  <c r="R31" i="8" s="1"/>
  <c r="O28" i="8"/>
  <c r="J28" i="8"/>
  <c r="D28" i="8"/>
  <c r="D31" i="8" s="1"/>
  <c r="Q27" i="8"/>
  <c r="R27" i="8" s="1"/>
  <c r="O27" i="8"/>
  <c r="O31" i="8" s="1"/>
  <c r="J27" i="8"/>
  <c r="P27" i="8" s="1"/>
  <c r="F27" i="8"/>
  <c r="D27" i="8"/>
  <c r="K25" i="8"/>
  <c r="I25" i="8"/>
  <c r="E25" i="8"/>
  <c r="F25" i="8" s="1"/>
  <c r="C25" i="8"/>
  <c r="Q24" i="8"/>
  <c r="R24" i="8" s="1"/>
  <c r="O24" i="8"/>
  <c r="J24" i="8"/>
  <c r="F24" i="8"/>
  <c r="D24" i="8"/>
  <c r="P24" i="8" s="1"/>
  <c r="Q23" i="8"/>
  <c r="R23" i="8" s="1"/>
  <c r="O23" i="8"/>
  <c r="J23" i="8"/>
  <c r="F23" i="8"/>
  <c r="D23" i="8"/>
  <c r="P23" i="8" s="1"/>
  <c r="Q22" i="8"/>
  <c r="Q25" i="8" s="1"/>
  <c r="O22" i="8"/>
  <c r="R22" i="8" s="1"/>
  <c r="J22" i="8"/>
  <c r="P22" i="8" s="1"/>
  <c r="F22" i="8"/>
  <c r="D22" i="8"/>
  <c r="D25" i="8" s="1"/>
  <c r="E20" i="8"/>
  <c r="Q19" i="8"/>
  <c r="J19" i="8"/>
  <c r="I19" i="8"/>
  <c r="O19" i="8" s="1"/>
  <c r="F19" i="8"/>
  <c r="D19" i="8"/>
  <c r="D101" i="8" s="1"/>
  <c r="L18" i="8"/>
  <c r="K18" i="8"/>
  <c r="K99" i="8" s="1"/>
  <c r="I18" i="8"/>
  <c r="I20" i="8" s="1"/>
  <c r="F18" i="8"/>
  <c r="D18" i="8"/>
  <c r="D99" i="8" s="1"/>
  <c r="Q17" i="8"/>
  <c r="Q98" i="8" s="1"/>
  <c r="O17" i="8"/>
  <c r="O98" i="8" s="1"/>
  <c r="J17" i="8"/>
  <c r="J98" i="8" s="1"/>
  <c r="D17" i="8"/>
  <c r="P17" i="8" s="1"/>
  <c r="Q16" i="8"/>
  <c r="P16" i="8"/>
  <c r="O16" i="8"/>
  <c r="L16" i="8"/>
  <c r="J16" i="8"/>
  <c r="F16" i="8"/>
  <c r="D16" i="8"/>
  <c r="D20" i="8" s="1"/>
  <c r="C16" i="8"/>
  <c r="C20" i="8" s="1"/>
  <c r="F20" i="8" s="1"/>
  <c r="K14" i="8"/>
  <c r="L14" i="8" s="1"/>
  <c r="J14" i="8"/>
  <c r="E14" i="8"/>
  <c r="Q13" i="8"/>
  <c r="K13" i="8"/>
  <c r="K96" i="8" s="1"/>
  <c r="J13" i="8"/>
  <c r="I13" i="8"/>
  <c r="I14" i="8" s="1"/>
  <c r="D13" i="8"/>
  <c r="P13" i="8" s="1"/>
  <c r="P14" i="8" s="1"/>
  <c r="C13" i="8"/>
  <c r="C14" i="8" s="1"/>
  <c r="K11" i="8"/>
  <c r="I11" i="8"/>
  <c r="L11" i="8" s="1"/>
  <c r="E11" i="8"/>
  <c r="Q10" i="8"/>
  <c r="Q11" i="8" s="1"/>
  <c r="L10" i="8"/>
  <c r="J10" i="8"/>
  <c r="J11" i="8" s="1"/>
  <c r="C10" i="8"/>
  <c r="O10" i="8" s="1"/>
  <c r="O11" i="8" s="1"/>
  <c r="L8" i="8"/>
  <c r="K8" i="8"/>
  <c r="I8" i="8"/>
  <c r="F8" i="8"/>
  <c r="E8" i="8"/>
  <c r="C8" i="8"/>
  <c r="Q7" i="8"/>
  <c r="P7" i="8"/>
  <c r="O7" i="8"/>
  <c r="L7" i="8"/>
  <c r="F7" i="8"/>
  <c r="Q6" i="8"/>
  <c r="Q97" i="8" s="1"/>
  <c r="O6" i="8"/>
  <c r="O97" i="8" s="1"/>
  <c r="J6" i="8"/>
  <c r="J97" i="8" s="1"/>
  <c r="D6" i="8"/>
  <c r="P6" i="8" s="1"/>
  <c r="P97" i="8" s="1"/>
  <c r="Q5" i="8"/>
  <c r="Q96" i="8" s="1"/>
  <c r="O5" i="8"/>
  <c r="O8" i="8" s="1"/>
  <c r="L5" i="8"/>
  <c r="J5" i="8"/>
  <c r="J8" i="8" s="1"/>
  <c r="F5" i="8"/>
  <c r="D5" i="8"/>
  <c r="D8" i="8" s="1"/>
  <c r="Q3" i="8"/>
  <c r="P3" i="8"/>
  <c r="O3" i="8"/>
  <c r="K3" i="8"/>
  <c r="J3" i="8"/>
  <c r="I3" i="8"/>
  <c r="G1" i="8"/>
  <c r="M1" i="8" s="1"/>
  <c r="E137" i="7"/>
  <c r="F137" i="7" s="1"/>
  <c r="D137" i="7"/>
  <c r="F136" i="7"/>
  <c r="D136" i="7"/>
  <c r="D134" i="7"/>
  <c r="E133" i="7"/>
  <c r="F133" i="7" s="1"/>
  <c r="D133" i="7"/>
  <c r="C133" i="7"/>
  <c r="F132" i="7"/>
  <c r="F131" i="7"/>
  <c r="F130" i="7"/>
  <c r="D130" i="7"/>
  <c r="E128" i="7"/>
  <c r="E134" i="7" s="1"/>
  <c r="F134" i="7" s="1"/>
  <c r="D128" i="7"/>
  <c r="C128" i="7"/>
  <c r="C134" i="7" s="1"/>
  <c r="F127" i="7"/>
  <c r="F126" i="7"/>
  <c r="F125" i="7"/>
  <c r="D125" i="7"/>
  <c r="I119" i="7"/>
  <c r="E119" i="7"/>
  <c r="D119" i="7"/>
  <c r="Q118" i="7"/>
  <c r="E118" i="7"/>
  <c r="D118" i="7"/>
  <c r="C118" i="7"/>
  <c r="F117" i="7"/>
  <c r="E116" i="7"/>
  <c r="F116" i="7" s="1"/>
  <c r="D116" i="7"/>
  <c r="C116" i="7"/>
  <c r="F115" i="7"/>
  <c r="E113" i="7"/>
  <c r="Q112" i="7"/>
  <c r="R112" i="7" s="1"/>
  <c r="P112" i="7"/>
  <c r="K112" i="7"/>
  <c r="J112" i="7"/>
  <c r="I112" i="7"/>
  <c r="E112" i="7"/>
  <c r="F112" i="7" s="1"/>
  <c r="D112" i="7"/>
  <c r="C112" i="7"/>
  <c r="Q111" i="7"/>
  <c r="O111" i="7"/>
  <c r="F111" i="7"/>
  <c r="Q110" i="7"/>
  <c r="R110" i="7" s="1"/>
  <c r="P110" i="7"/>
  <c r="O110" i="7"/>
  <c r="K110" i="7"/>
  <c r="J110" i="7"/>
  <c r="I110" i="7"/>
  <c r="E110" i="7"/>
  <c r="D110" i="7"/>
  <c r="C110" i="7"/>
  <c r="F110" i="7" s="1"/>
  <c r="R109" i="7"/>
  <c r="Q109" i="7"/>
  <c r="O109" i="7"/>
  <c r="F109" i="7"/>
  <c r="K108" i="7"/>
  <c r="I108" i="7"/>
  <c r="L108" i="7" s="1"/>
  <c r="E108" i="7"/>
  <c r="F108" i="7" s="1"/>
  <c r="C108" i="7"/>
  <c r="Q107" i="7"/>
  <c r="Q108" i="7" s="1"/>
  <c r="R108" i="7" s="1"/>
  <c r="O107" i="7"/>
  <c r="L107" i="7"/>
  <c r="J107" i="7"/>
  <c r="J108" i="7" s="1"/>
  <c r="F107" i="7"/>
  <c r="D107" i="7"/>
  <c r="P107" i="7" s="1"/>
  <c r="P108" i="7" s="1"/>
  <c r="I106" i="7"/>
  <c r="E106" i="7"/>
  <c r="C106" i="7"/>
  <c r="Q105" i="7"/>
  <c r="Q106" i="7" s="1"/>
  <c r="O105" i="7"/>
  <c r="O106" i="7" s="1"/>
  <c r="K105" i="7"/>
  <c r="K106" i="7" s="1"/>
  <c r="I105" i="7"/>
  <c r="C105" i="7"/>
  <c r="F105" i="7" s="1"/>
  <c r="K102" i="7"/>
  <c r="L102" i="7" s="1"/>
  <c r="E102" i="7"/>
  <c r="F102" i="7" s="1"/>
  <c r="C102" i="7"/>
  <c r="K101" i="7"/>
  <c r="L101" i="7" s="1"/>
  <c r="I101" i="7"/>
  <c r="F101" i="7"/>
  <c r="E101" i="7"/>
  <c r="C101" i="7"/>
  <c r="K100" i="7"/>
  <c r="L100" i="7" s="1"/>
  <c r="I100" i="7"/>
  <c r="E100" i="7"/>
  <c r="F100" i="7" s="1"/>
  <c r="C100" i="7"/>
  <c r="K99" i="7"/>
  <c r="L99" i="7" s="1"/>
  <c r="I99" i="7"/>
  <c r="E99" i="7"/>
  <c r="F99" i="7" s="1"/>
  <c r="C99" i="7"/>
  <c r="K98" i="7"/>
  <c r="I98" i="7"/>
  <c r="E98" i="7"/>
  <c r="C98" i="7"/>
  <c r="K97" i="7"/>
  <c r="E97" i="7"/>
  <c r="L95" i="7"/>
  <c r="K95" i="7"/>
  <c r="I95" i="7"/>
  <c r="E95" i="7"/>
  <c r="F95" i="7" s="1"/>
  <c r="C95" i="7"/>
  <c r="R94" i="7"/>
  <c r="Q94" i="7"/>
  <c r="O94" i="7"/>
  <c r="J94" i="7"/>
  <c r="F94" i="7"/>
  <c r="D94" i="7"/>
  <c r="P94" i="7" s="1"/>
  <c r="Q93" i="7"/>
  <c r="R93" i="7" s="1"/>
  <c r="O93" i="7"/>
  <c r="L93" i="7"/>
  <c r="F93" i="7"/>
  <c r="R92" i="7"/>
  <c r="Q92" i="7"/>
  <c r="O92" i="7"/>
  <c r="O95" i="7" s="1"/>
  <c r="J92" i="7"/>
  <c r="J95" i="7" s="1"/>
  <c r="F92" i="7"/>
  <c r="D92" i="7"/>
  <c r="D95" i="7" s="1"/>
  <c r="K90" i="7"/>
  <c r="L90" i="7" s="1"/>
  <c r="I90" i="7"/>
  <c r="E90" i="7"/>
  <c r="F90" i="7" s="1"/>
  <c r="C90" i="7"/>
  <c r="Q89" i="7"/>
  <c r="R89" i="7" s="1"/>
  <c r="O89" i="7"/>
  <c r="J89" i="7"/>
  <c r="F89" i="7"/>
  <c r="D89" i="7"/>
  <c r="P89" i="7" s="1"/>
  <c r="Q88" i="7"/>
  <c r="P88" i="7"/>
  <c r="O88" i="7"/>
  <c r="R88" i="7" s="1"/>
  <c r="L88" i="7"/>
  <c r="J88" i="7"/>
  <c r="F88" i="7"/>
  <c r="D88" i="7"/>
  <c r="Q87" i="7"/>
  <c r="P87" i="7"/>
  <c r="O87" i="7"/>
  <c r="R87" i="7" s="1"/>
  <c r="L87" i="7"/>
  <c r="J87" i="7"/>
  <c r="F87" i="7"/>
  <c r="D87" i="7"/>
  <c r="Q86" i="7"/>
  <c r="Q90" i="7" s="1"/>
  <c r="R90" i="7" s="1"/>
  <c r="P86" i="7"/>
  <c r="P90" i="7" s="1"/>
  <c r="O86" i="7"/>
  <c r="O90" i="7" s="1"/>
  <c r="L86" i="7"/>
  <c r="J86" i="7"/>
  <c r="J90" i="7" s="1"/>
  <c r="F86" i="7"/>
  <c r="D86" i="7"/>
  <c r="D90" i="7" s="1"/>
  <c r="K84" i="7"/>
  <c r="L84" i="7" s="1"/>
  <c r="I84" i="7"/>
  <c r="E84" i="7"/>
  <c r="F84" i="7" s="1"/>
  <c r="C84" i="7"/>
  <c r="Q83" i="7"/>
  <c r="R83" i="7" s="1"/>
  <c r="O83" i="7"/>
  <c r="L83" i="7"/>
  <c r="J83" i="7"/>
  <c r="F83" i="7"/>
  <c r="D83" i="7"/>
  <c r="P83" i="7" s="1"/>
  <c r="Q82" i="7"/>
  <c r="R82" i="7" s="1"/>
  <c r="O82" i="7"/>
  <c r="L82" i="7"/>
  <c r="J82" i="7"/>
  <c r="F82" i="7"/>
  <c r="D82" i="7"/>
  <c r="P82" i="7" s="1"/>
  <c r="Q81" i="7"/>
  <c r="R81" i="7" s="1"/>
  <c r="O81" i="7"/>
  <c r="J81" i="7"/>
  <c r="F81" i="7"/>
  <c r="D81" i="7"/>
  <c r="P81" i="7" s="1"/>
  <c r="R80" i="7"/>
  <c r="Q80" i="7"/>
  <c r="Q84" i="7" s="1"/>
  <c r="O80" i="7"/>
  <c r="O84" i="7" s="1"/>
  <c r="J80" i="7"/>
  <c r="J84" i="7" s="1"/>
  <c r="F80" i="7"/>
  <c r="D80" i="7"/>
  <c r="P80" i="7" s="1"/>
  <c r="P84" i="7" s="1"/>
  <c r="K78" i="7"/>
  <c r="I78" i="7"/>
  <c r="L78" i="7" s="1"/>
  <c r="F78" i="7"/>
  <c r="E78" i="7"/>
  <c r="C78" i="7"/>
  <c r="Q77" i="7"/>
  <c r="O77" i="7"/>
  <c r="R77" i="7" s="1"/>
  <c r="L77" i="7"/>
  <c r="J77" i="7"/>
  <c r="F77" i="7"/>
  <c r="D77" i="7"/>
  <c r="P77" i="7" s="1"/>
  <c r="Q76" i="7"/>
  <c r="O76" i="7"/>
  <c r="R76" i="7" s="1"/>
  <c r="L76" i="7"/>
  <c r="J76" i="7"/>
  <c r="F76" i="7"/>
  <c r="D76" i="7"/>
  <c r="P76" i="7" s="1"/>
  <c r="Q75" i="7"/>
  <c r="Q78" i="7" s="1"/>
  <c r="R78" i="7" s="1"/>
  <c r="O75" i="7"/>
  <c r="O78" i="7" s="1"/>
  <c r="L75" i="7"/>
  <c r="J75" i="7"/>
  <c r="J78" i="7" s="1"/>
  <c r="F75" i="7"/>
  <c r="D75" i="7"/>
  <c r="D78" i="7" s="1"/>
  <c r="L73" i="7"/>
  <c r="K73" i="7"/>
  <c r="I73" i="7"/>
  <c r="E73" i="7"/>
  <c r="R72" i="7"/>
  <c r="Q72" i="7"/>
  <c r="O72" i="7"/>
  <c r="J72" i="7"/>
  <c r="F72" i="7"/>
  <c r="D72" i="7"/>
  <c r="P72" i="7" s="1"/>
  <c r="Q71" i="7"/>
  <c r="R71" i="7" s="1"/>
  <c r="O71" i="7"/>
  <c r="L71" i="7"/>
  <c r="J71" i="7"/>
  <c r="F71" i="7"/>
  <c r="D71" i="7"/>
  <c r="P71" i="7" s="1"/>
  <c r="Q70" i="7"/>
  <c r="R70" i="7" s="1"/>
  <c r="O70" i="7"/>
  <c r="L70" i="7"/>
  <c r="J70" i="7"/>
  <c r="F70" i="7"/>
  <c r="D70" i="7"/>
  <c r="P70" i="7" s="1"/>
  <c r="Q69" i="7"/>
  <c r="L69" i="7"/>
  <c r="J69" i="7"/>
  <c r="J73" i="7" s="1"/>
  <c r="D69" i="7"/>
  <c r="P69" i="7" s="1"/>
  <c r="C69" i="7"/>
  <c r="O69" i="7" s="1"/>
  <c r="O73" i="7" s="1"/>
  <c r="K67" i="7"/>
  <c r="I67" i="7"/>
  <c r="E67" i="7"/>
  <c r="F67" i="7" s="1"/>
  <c r="C67" i="7"/>
  <c r="R66" i="7"/>
  <c r="Q66" i="7"/>
  <c r="O66" i="7"/>
  <c r="J66" i="7"/>
  <c r="F66" i="7"/>
  <c r="D66" i="7"/>
  <c r="P66" i="7" s="1"/>
  <c r="Q65" i="7"/>
  <c r="R65" i="7" s="1"/>
  <c r="O65" i="7"/>
  <c r="J65" i="7"/>
  <c r="F65" i="7"/>
  <c r="D65" i="7"/>
  <c r="P65" i="7" s="1"/>
  <c r="R64" i="7"/>
  <c r="Q64" i="7"/>
  <c r="O64" i="7"/>
  <c r="J64" i="7"/>
  <c r="F64" i="7"/>
  <c r="D64" i="7"/>
  <c r="P64" i="7" s="1"/>
  <c r="R63" i="7"/>
  <c r="Q63" i="7"/>
  <c r="Q67" i="7" s="1"/>
  <c r="R67" i="7" s="1"/>
  <c r="O63" i="7"/>
  <c r="O67" i="7" s="1"/>
  <c r="J63" i="7"/>
  <c r="J67" i="7" s="1"/>
  <c r="F63" i="7"/>
  <c r="D63" i="7"/>
  <c r="Q61" i="7"/>
  <c r="K61" i="7"/>
  <c r="L61" i="7" s="1"/>
  <c r="I61" i="7"/>
  <c r="E61" i="7"/>
  <c r="F61" i="7" s="1"/>
  <c r="C61" i="7"/>
  <c r="Q60" i="7"/>
  <c r="R60" i="7" s="1"/>
  <c r="O60" i="7"/>
  <c r="L60" i="7"/>
  <c r="J60" i="7"/>
  <c r="F60" i="7"/>
  <c r="D60" i="7"/>
  <c r="Q59" i="7"/>
  <c r="R59" i="7" s="1"/>
  <c r="O59" i="7"/>
  <c r="L59" i="7"/>
  <c r="J59" i="7"/>
  <c r="F59" i="7"/>
  <c r="D59" i="7"/>
  <c r="Q58" i="7"/>
  <c r="R58" i="7" s="1"/>
  <c r="O58" i="7"/>
  <c r="J58" i="7"/>
  <c r="F58" i="7"/>
  <c r="D58" i="7"/>
  <c r="P58" i="7" s="1"/>
  <c r="R57" i="7"/>
  <c r="Q57" i="7"/>
  <c r="O57" i="7"/>
  <c r="O61" i="7" s="1"/>
  <c r="L57" i="7"/>
  <c r="J57" i="7"/>
  <c r="F57" i="7"/>
  <c r="D57" i="7"/>
  <c r="D61" i="7" s="1"/>
  <c r="J55" i="7"/>
  <c r="F55" i="7"/>
  <c r="E55" i="7"/>
  <c r="C55" i="7"/>
  <c r="P54" i="7"/>
  <c r="L54" i="7"/>
  <c r="K54" i="7"/>
  <c r="K55" i="7" s="1"/>
  <c r="L55" i="7" s="1"/>
  <c r="J54" i="7"/>
  <c r="I54" i="7"/>
  <c r="I55" i="7" s="1"/>
  <c r="F54" i="7"/>
  <c r="D54" i="7"/>
  <c r="R53" i="7"/>
  <c r="Q53" i="7"/>
  <c r="P53" i="7"/>
  <c r="P55" i="7" s="1"/>
  <c r="O53" i="7"/>
  <c r="J53" i="7"/>
  <c r="F53" i="7"/>
  <c r="D53" i="7"/>
  <c r="D55" i="7" s="1"/>
  <c r="Q51" i="7"/>
  <c r="K51" i="7"/>
  <c r="L51" i="7" s="1"/>
  <c r="I51" i="7"/>
  <c r="E51" i="7"/>
  <c r="F51" i="7" s="1"/>
  <c r="C51" i="7"/>
  <c r="Q50" i="7"/>
  <c r="R50" i="7" s="1"/>
  <c r="O50" i="7"/>
  <c r="L50" i="7"/>
  <c r="J50" i="7"/>
  <c r="F50" i="7"/>
  <c r="D50" i="7"/>
  <c r="Q49" i="7"/>
  <c r="O49" i="7"/>
  <c r="J49" i="7"/>
  <c r="D49" i="7"/>
  <c r="P49" i="7" s="1"/>
  <c r="R48" i="7"/>
  <c r="Q48" i="7"/>
  <c r="O48" i="7"/>
  <c r="O51" i="7" s="1"/>
  <c r="J48" i="7"/>
  <c r="F48" i="7"/>
  <c r="D48" i="7"/>
  <c r="D51" i="7" s="1"/>
  <c r="Q46" i="7"/>
  <c r="K46" i="7"/>
  <c r="I46" i="7"/>
  <c r="F46" i="7"/>
  <c r="E46" i="7"/>
  <c r="C46" i="7"/>
  <c r="Q45" i="7"/>
  <c r="R45" i="7" s="1"/>
  <c r="O45" i="7"/>
  <c r="O46" i="7" s="1"/>
  <c r="J45" i="7"/>
  <c r="J46" i="7" s="1"/>
  <c r="F45" i="7"/>
  <c r="D45" i="7"/>
  <c r="P45" i="7" s="1"/>
  <c r="P46" i="7" s="1"/>
  <c r="K43" i="7"/>
  <c r="L43" i="7" s="1"/>
  <c r="I43" i="7"/>
  <c r="E43" i="7"/>
  <c r="F43" i="7" s="1"/>
  <c r="C43" i="7"/>
  <c r="Q42" i="7"/>
  <c r="P42" i="7"/>
  <c r="O42" i="7"/>
  <c r="L42" i="7"/>
  <c r="J42" i="7"/>
  <c r="F42" i="7"/>
  <c r="D42" i="7"/>
  <c r="Q41" i="7"/>
  <c r="Q43" i="7" s="1"/>
  <c r="P41" i="7"/>
  <c r="P43" i="7" s="1"/>
  <c r="O41" i="7"/>
  <c r="L41" i="7"/>
  <c r="J41" i="7"/>
  <c r="J43" i="7" s="1"/>
  <c r="F41" i="7"/>
  <c r="D41" i="7"/>
  <c r="D43" i="7" s="1"/>
  <c r="K39" i="7"/>
  <c r="I39" i="7"/>
  <c r="E39" i="7"/>
  <c r="C39" i="7"/>
  <c r="Q38" i="7"/>
  <c r="Q39" i="7" s="1"/>
  <c r="O38" i="7"/>
  <c r="J38" i="7"/>
  <c r="J39" i="7" s="1"/>
  <c r="D38" i="7"/>
  <c r="D39" i="7" s="1"/>
  <c r="Q37" i="7"/>
  <c r="R37" i="7" s="1"/>
  <c r="O37" i="7"/>
  <c r="O101" i="7" s="1"/>
  <c r="L37" i="7"/>
  <c r="J37" i="7"/>
  <c r="J101" i="7" s="1"/>
  <c r="F37" i="7"/>
  <c r="D37" i="7"/>
  <c r="D101" i="7" s="1"/>
  <c r="K35" i="7"/>
  <c r="J35" i="7"/>
  <c r="I35" i="7"/>
  <c r="E35" i="7"/>
  <c r="F35" i="7" s="1"/>
  <c r="C35" i="7"/>
  <c r="R34" i="7"/>
  <c r="Q34" i="7"/>
  <c r="Q35" i="7" s="1"/>
  <c r="R35" i="7" s="1"/>
  <c r="P34" i="7"/>
  <c r="P35" i="7" s="1"/>
  <c r="O34" i="7"/>
  <c r="O35" i="7" s="1"/>
  <c r="J34" i="7"/>
  <c r="F34" i="7"/>
  <c r="D34" i="7"/>
  <c r="D35" i="7" s="1"/>
  <c r="K32" i="7"/>
  <c r="I32" i="7"/>
  <c r="E32" i="7"/>
  <c r="C32" i="7"/>
  <c r="F32" i="7" s="1"/>
  <c r="R31" i="7"/>
  <c r="Q31" i="7"/>
  <c r="O31" i="7"/>
  <c r="J31" i="7"/>
  <c r="F31" i="7"/>
  <c r="D31" i="7"/>
  <c r="P31" i="7" s="1"/>
  <c r="Q30" i="7"/>
  <c r="R30" i="7" s="1"/>
  <c r="O30" i="7"/>
  <c r="J30" i="7"/>
  <c r="F30" i="7"/>
  <c r="D30" i="7"/>
  <c r="P30" i="7" s="1"/>
  <c r="Q29" i="7"/>
  <c r="O29" i="7"/>
  <c r="O32" i="7" s="1"/>
  <c r="J29" i="7"/>
  <c r="D29" i="7"/>
  <c r="P29" i="7" s="1"/>
  <c r="Q28" i="7"/>
  <c r="R28" i="7" s="1"/>
  <c r="O28" i="7"/>
  <c r="J28" i="7"/>
  <c r="J32" i="7" s="1"/>
  <c r="F28" i="7"/>
  <c r="D28" i="7"/>
  <c r="P28" i="7" s="1"/>
  <c r="K26" i="7"/>
  <c r="I26" i="7"/>
  <c r="E26" i="7"/>
  <c r="F26" i="7" s="1"/>
  <c r="C26" i="7"/>
  <c r="Q25" i="7"/>
  <c r="O25" i="7"/>
  <c r="J25" i="7"/>
  <c r="F25" i="7"/>
  <c r="D25" i="7"/>
  <c r="P25" i="7" s="1"/>
  <c r="Q24" i="7"/>
  <c r="R24" i="7" s="1"/>
  <c r="O24" i="7"/>
  <c r="J24" i="7"/>
  <c r="F24" i="7"/>
  <c r="D24" i="7"/>
  <c r="R23" i="7"/>
  <c r="Q23" i="7"/>
  <c r="Q26" i="7" s="1"/>
  <c r="O23" i="7"/>
  <c r="O26" i="7" s="1"/>
  <c r="J23" i="7"/>
  <c r="J26" i="7" s="1"/>
  <c r="F23" i="7"/>
  <c r="D23" i="7"/>
  <c r="D26" i="7" s="1"/>
  <c r="E21" i="7"/>
  <c r="F21" i="7" s="1"/>
  <c r="C21" i="7"/>
  <c r="O20" i="7"/>
  <c r="K20" i="7"/>
  <c r="L20" i="7" s="1"/>
  <c r="I20" i="7"/>
  <c r="I102" i="7" s="1"/>
  <c r="F20" i="7"/>
  <c r="D20" i="7"/>
  <c r="D102" i="7" s="1"/>
  <c r="Q19" i="7"/>
  <c r="R19" i="7" s="1"/>
  <c r="O19" i="7"/>
  <c r="O100" i="7" s="1"/>
  <c r="L19" i="7"/>
  <c r="J19" i="7"/>
  <c r="F19" i="7"/>
  <c r="D19" i="7"/>
  <c r="D100" i="7" s="1"/>
  <c r="Q18" i="7"/>
  <c r="Q99" i="7" s="1"/>
  <c r="R99" i="7" s="1"/>
  <c r="P18" i="7"/>
  <c r="O18" i="7"/>
  <c r="O99" i="7" s="1"/>
  <c r="J18" i="7"/>
  <c r="J99" i="7" s="1"/>
  <c r="D18" i="7"/>
  <c r="D99" i="7" s="1"/>
  <c r="Q17" i="7"/>
  <c r="O17" i="7"/>
  <c r="O21" i="7" s="1"/>
  <c r="L17" i="7"/>
  <c r="J17" i="7"/>
  <c r="F17" i="7"/>
  <c r="D17" i="7"/>
  <c r="D21" i="7" s="1"/>
  <c r="K15" i="7"/>
  <c r="E15" i="7"/>
  <c r="F15" i="7" s="1"/>
  <c r="C15" i="7"/>
  <c r="Q14" i="7"/>
  <c r="L14" i="7"/>
  <c r="J14" i="7"/>
  <c r="J15" i="7" s="1"/>
  <c r="I14" i="7"/>
  <c r="I15" i="7" s="1"/>
  <c r="F14" i="7"/>
  <c r="D14" i="7"/>
  <c r="P14" i="7" s="1"/>
  <c r="P15" i="7" s="1"/>
  <c r="Q12" i="7"/>
  <c r="K12" i="7"/>
  <c r="L12" i="7" s="1"/>
  <c r="I12" i="7"/>
  <c r="E12" i="7"/>
  <c r="F12" i="7" s="1"/>
  <c r="C12" i="7"/>
  <c r="Q11" i="7"/>
  <c r="P11" i="7"/>
  <c r="P12" i="7" s="1"/>
  <c r="O11" i="7"/>
  <c r="O12" i="7" s="1"/>
  <c r="L11" i="7"/>
  <c r="J11" i="7"/>
  <c r="J12" i="7" s="1"/>
  <c r="F11" i="7"/>
  <c r="D11" i="7"/>
  <c r="D12" i="7" s="1"/>
  <c r="K9" i="7"/>
  <c r="L9" i="7" s="1"/>
  <c r="I9" i="7"/>
  <c r="E9" i="7"/>
  <c r="F9" i="7" s="1"/>
  <c r="C9" i="7"/>
  <c r="Q8" i="7"/>
  <c r="P8" i="7"/>
  <c r="O8" i="7"/>
  <c r="L8" i="7"/>
  <c r="F8" i="7"/>
  <c r="Q7" i="7"/>
  <c r="Q98" i="7" s="1"/>
  <c r="O7" i="7"/>
  <c r="O98" i="7" s="1"/>
  <c r="J7" i="7"/>
  <c r="J98" i="7" s="1"/>
  <c r="D7" i="7"/>
  <c r="P7" i="7" s="1"/>
  <c r="P98" i="7" s="1"/>
  <c r="Q6" i="7"/>
  <c r="Q97" i="7" s="1"/>
  <c r="P6" i="7"/>
  <c r="O6" i="7"/>
  <c r="L6" i="7"/>
  <c r="J6" i="7"/>
  <c r="F6" i="7"/>
  <c r="D6" i="7"/>
  <c r="D97" i="7" s="1"/>
  <c r="Q4" i="7"/>
  <c r="P4" i="7"/>
  <c r="O4" i="7"/>
  <c r="K4" i="7"/>
  <c r="J4" i="7"/>
  <c r="I4" i="7"/>
  <c r="G1" i="7"/>
  <c r="M1" i="7" s="1"/>
  <c r="F136" i="6"/>
  <c r="E136" i="6"/>
  <c r="D136" i="6"/>
  <c r="F135" i="6"/>
  <c r="D135" i="6"/>
  <c r="E132" i="6"/>
  <c r="F132" i="6" s="1"/>
  <c r="C132" i="6"/>
  <c r="F131" i="6"/>
  <c r="F130" i="6"/>
  <c r="F129" i="6"/>
  <c r="D129" i="6"/>
  <c r="D132" i="6" s="1"/>
  <c r="E127" i="6"/>
  <c r="C127" i="6"/>
  <c r="C133" i="6" s="1"/>
  <c r="F126" i="6"/>
  <c r="F125" i="6"/>
  <c r="F124" i="6"/>
  <c r="D124" i="6"/>
  <c r="D127" i="6" s="1"/>
  <c r="D133" i="6" s="1"/>
  <c r="F117" i="6"/>
  <c r="E117" i="6"/>
  <c r="E118" i="6" s="1"/>
  <c r="D117" i="6"/>
  <c r="D118" i="6" s="1"/>
  <c r="C117" i="6"/>
  <c r="C118" i="6" s="1"/>
  <c r="F116" i="6"/>
  <c r="E115" i="6"/>
  <c r="F115" i="6" s="1"/>
  <c r="D115" i="6"/>
  <c r="C115" i="6"/>
  <c r="F114" i="6"/>
  <c r="P111" i="6"/>
  <c r="K111" i="6"/>
  <c r="J111" i="6"/>
  <c r="I111" i="6"/>
  <c r="E111" i="6"/>
  <c r="D111" i="6"/>
  <c r="C111" i="6"/>
  <c r="Q110" i="6"/>
  <c r="R110" i="6" s="1"/>
  <c r="O110" i="6"/>
  <c r="O111" i="6" s="1"/>
  <c r="F110" i="6"/>
  <c r="P109" i="6"/>
  <c r="O109" i="6"/>
  <c r="K109" i="6"/>
  <c r="J109" i="6"/>
  <c r="I109" i="6"/>
  <c r="F109" i="6"/>
  <c r="E109" i="6"/>
  <c r="D109" i="6"/>
  <c r="C109" i="6"/>
  <c r="R108" i="6"/>
  <c r="Q108" i="6"/>
  <c r="Q109" i="6" s="1"/>
  <c r="R109" i="6" s="1"/>
  <c r="O108" i="6"/>
  <c r="F108" i="6"/>
  <c r="L107" i="6"/>
  <c r="K107" i="6"/>
  <c r="I107" i="6"/>
  <c r="E107" i="6"/>
  <c r="F107" i="6" s="1"/>
  <c r="C107" i="6"/>
  <c r="R106" i="6"/>
  <c r="Q106" i="6"/>
  <c r="Q107" i="6" s="1"/>
  <c r="P106" i="6"/>
  <c r="P107" i="6" s="1"/>
  <c r="O106" i="6"/>
  <c r="O107" i="6" s="1"/>
  <c r="L106" i="6"/>
  <c r="J106" i="6"/>
  <c r="J107" i="6" s="1"/>
  <c r="F106" i="6"/>
  <c r="D106" i="6"/>
  <c r="D107" i="6" s="1"/>
  <c r="E105" i="6"/>
  <c r="E112" i="6" s="1"/>
  <c r="L104" i="6"/>
  <c r="K104" i="6"/>
  <c r="K105" i="6" s="1"/>
  <c r="I104" i="6"/>
  <c r="J104" i="6" s="1"/>
  <c r="J105" i="6" s="1"/>
  <c r="J112" i="6" s="1"/>
  <c r="D104" i="6"/>
  <c r="D105" i="6" s="1"/>
  <c r="C104" i="6"/>
  <c r="C105" i="6" s="1"/>
  <c r="C112" i="6" s="1"/>
  <c r="E101" i="6"/>
  <c r="F101" i="6" s="1"/>
  <c r="D101" i="6"/>
  <c r="C101" i="6"/>
  <c r="K100" i="6"/>
  <c r="L100" i="6" s="1"/>
  <c r="J100" i="6"/>
  <c r="I100" i="6"/>
  <c r="E100" i="6"/>
  <c r="F100" i="6" s="1"/>
  <c r="C100" i="6"/>
  <c r="E99" i="6"/>
  <c r="F99" i="6" s="1"/>
  <c r="C99" i="6"/>
  <c r="K98" i="6"/>
  <c r="L98" i="6" s="1"/>
  <c r="I98" i="6"/>
  <c r="E98" i="6"/>
  <c r="F98" i="6" s="1"/>
  <c r="C98" i="6"/>
  <c r="O97" i="6"/>
  <c r="K97" i="6"/>
  <c r="I97" i="6"/>
  <c r="E97" i="6"/>
  <c r="C97" i="6"/>
  <c r="K96" i="6"/>
  <c r="E96" i="6"/>
  <c r="K94" i="6"/>
  <c r="L94" i="6" s="1"/>
  <c r="I94" i="6"/>
  <c r="E94" i="6"/>
  <c r="F94" i="6" s="1"/>
  <c r="C94" i="6"/>
  <c r="Q93" i="6"/>
  <c r="R93" i="6" s="1"/>
  <c r="P93" i="6"/>
  <c r="O93" i="6"/>
  <c r="J93" i="6"/>
  <c r="F93" i="6"/>
  <c r="D93" i="6"/>
  <c r="Q92" i="6"/>
  <c r="O92" i="6"/>
  <c r="L92" i="6"/>
  <c r="F92" i="6"/>
  <c r="Q91" i="6"/>
  <c r="R91" i="6" s="1"/>
  <c r="O91" i="6"/>
  <c r="O94" i="6" s="1"/>
  <c r="J91" i="6"/>
  <c r="J94" i="6" s="1"/>
  <c r="F91" i="6"/>
  <c r="D91" i="6"/>
  <c r="D94" i="6" s="1"/>
  <c r="K89" i="6"/>
  <c r="L89" i="6" s="1"/>
  <c r="J89" i="6"/>
  <c r="I89" i="6"/>
  <c r="E89" i="6"/>
  <c r="F89" i="6" s="1"/>
  <c r="C89" i="6"/>
  <c r="Q88" i="6"/>
  <c r="R88" i="6" s="1"/>
  <c r="P88" i="6"/>
  <c r="O88" i="6"/>
  <c r="J88" i="6"/>
  <c r="F88" i="6"/>
  <c r="D88" i="6"/>
  <c r="Q87" i="6"/>
  <c r="O87" i="6"/>
  <c r="R87" i="6" s="1"/>
  <c r="L87" i="6"/>
  <c r="J87" i="6"/>
  <c r="F87" i="6"/>
  <c r="D87" i="6"/>
  <c r="P87" i="6" s="1"/>
  <c r="Q86" i="6"/>
  <c r="O86" i="6"/>
  <c r="R86" i="6" s="1"/>
  <c r="L86" i="6"/>
  <c r="J86" i="6"/>
  <c r="F86" i="6"/>
  <c r="D86" i="6"/>
  <c r="P86" i="6" s="1"/>
  <c r="Q85" i="6"/>
  <c r="Q89" i="6" s="1"/>
  <c r="O85" i="6"/>
  <c r="L85" i="6"/>
  <c r="J85" i="6"/>
  <c r="F85" i="6"/>
  <c r="D85" i="6"/>
  <c r="D89" i="6" s="1"/>
  <c r="O83" i="6"/>
  <c r="K83" i="6"/>
  <c r="I83" i="6"/>
  <c r="L83" i="6" s="1"/>
  <c r="E83" i="6"/>
  <c r="F83" i="6" s="1"/>
  <c r="C83" i="6"/>
  <c r="Q82" i="6"/>
  <c r="O82" i="6"/>
  <c r="R82" i="6" s="1"/>
  <c r="L82" i="6"/>
  <c r="J82" i="6"/>
  <c r="F82" i="6"/>
  <c r="D82" i="6"/>
  <c r="P82" i="6" s="1"/>
  <c r="Q81" i="6"/>
  <c r="O81" i="6"/>
  <c r="R81" i="6" s="1"/>
  <c r="L81" i="6"/>
  <c r="J81" i="6"/>
  <c r="F81" i="6"/>
  <c r="D81" i="6"/>
  <c r="P81" i="6" s="1"/>
  <c r="Q80" i="6"/>
  <c r="O80" i="6"/>
  <c r="R80" i="6" s="1"/>
  <c r="J80" i="6"/>
  <c r="F80" i="6"/>
  <c r="D80" i="6"/>
  <c r="P80" i="6" s="1"/>
  <c r="R79" i="6"/>
  <c r="Q79" i="6"/>
  <c r="Q83" i="6" s="1"/>
  <c r="O79" i="6"/>
  <c r="J79" i="6"/>
  <c r="J83" i="6" s="1"/>
  <c r="F79" i="6"/>
  <c r="D79" i="6"/>
  <c r="P79" i="6" s="1"/>
  <c r="Q77" i="6"/>
  <c r="R77" i="6" s="1"/>
  <c r="K77" i="6"/>
  <c r="L77" i="6" s="1"/>
  <c r="I77" i="6"/>
  <c r="E77" i="6"/>
  <c r="F77" i="6" s="1"/>
  <c r="C77" i="6"/>
  <c r="Q76" i="6"/>
  <c r="R76" i="6" s="1"/>
  <c r="O76" i="6"/>
  <c r="L76" i="6"/>
  <c r="J76" i="6"/>
  <c r="F76" i="6"/>
  <c r="D76" i="6"/>
  <c r="Q75" i="6"/>
  <c r="R75" i="6" s="1"/>
  <c r="O75" i="6"/>
  <c r="L75" i="6"/>
  <c r="J75" i="6"/>
  <c r="F75" i="6"/>
  <c r="D75" i="6"/>
  <c r="P75" i="6" s="1"/>
  <c r="Q74" i="6"/>
  <c r="R74" i="6" s="1"/>
  <c r="O74" i="6"/>
  <c r="O77" i="6" s="1"/>
  <c r="L74" i="6"/>
  <c r="J74" i="6"/>
  <c r="J77" i="6" s="1"/>
  <c r="F74" i="6"/>
  <c r="D74" i="6"/>
  <c r="D77" i="6" s="1"/>
  <c r="K72" i="6"/>
  <c r="L72" i="6" s="1"/>
  <c r="I72" i="6"/>
  <c r="E72" i="6"/>
  <c r="Q71" i="6"/>
  <c r="R71" i="6" s="1"/>
  <c r="O71" i="6"/>
  <c r="J71" i="6"/>
  <c r="F71" i="6"/>
  <c r="D71" i="6"/>
  <c r="P71" i="6" s="1"/>
  <c r="R70" i="6"/>
  <c r="Q70" i="6"/>
  <c r="P70" i="6"/>
  <c r="O70" i="6"/>
  <c r="L70" i="6"/>
  <c r="J70" i="6"/>
  <c r="F70" i="6"/>
  <c r="D70" i="6"/>
  <c r="R69" i="6"/>
  <c r="Q69" i="6"/>
  <c r="P69" i="6"/>
  <c r="O69" i="6"/>
  <c r="L69" i="6"/>
  <c r="J69" i="6"/>
  <c r="F69" i="6"/>
  <c r="D69" i="6"/>
  <c r="Q68" i="6"/>
  <c r="Q72" i="6" s="1"/>
  <c r="P68" i="6"/>
  <c r="P72" i="6" s="1"/>
  <c r="L68" i="6"/>
  <c r="J68" i="6"/>
  <c r="J72" i="6" s="1"/>
  <c r="D68" i="6"/>
  <c r="D72" i="6" s="1"/>
  <c r="C68" i="6"/>
  <c r="O68" i="6" s="1"/>
  <c r="K66" i="6"/>
  <c r="I66" i="6"/>
  <c r="F66" i="6"/>
  <c r="E66" i="6"/>
  <c r="C66" i="6"/>
  <c r="Q65" i="6"/>
  <c r="R65" i="6" s="1"/>
  <c r="O65" i="6"/>
  <c r="J65" i="6"/>
  <c r="F65" i="6"/>
  <c r="D65" i="6"/>
  <c r="P65" i="6" s="1"/>
  <c r="Q64" i="6"/>
  <c r="R64" i="6" s="1"/>
  <c r="O64" i="6"/>
  <c r="J64" i="6"/>
  <c r="F64" i="6"/>
  <c r="D64" i="6"/>
  <c r="P64" i="6" s="1"/>
  <c r="R63" i="6"/>
  <c r="Q63" i="6"/>
  <c r="O63" i="6"/>
  <c r="J63" i="6"/>
  <c r="F63" i="6"/>
  <c r="D63" i="6"/>
  <c r="P63" i="6" s="1"/>
  <c r="Q62" i="6"/>
  <c r="O62" i="6"/>
  <c r="O66" i="6" s="1"/>
  <c r="J62" i="6"/>
  <c r="J66" i="6" s="1"/>
  <c r="F62" i="6"/>
  <c r="D62" i="6"/>
  <c r="P62" i="6" s="1"/>
  <c r="P66" i="6" s="1"/>
  <c r="K60" i="6"/>
  <c r="L60" i="6" s="1"/>
  <c r="I60" i="6"/>
  <c r="E60" i="6"/>
  <c r="F60" i="6" s="1"/>
  <c r="C60" i="6"/>
  <c r="Q59" i="6"/>
  <c r="R59" i="6" s="1"/>
  <c r="O59" i="6"/>
  <c r="L59" i="6"/>
  <c r="J59" i="6"/>
  <c r="F59" i="6"/>
  <c r="D59" i="6"/>
  <c r="P59" i="6" s="1"/>
  <c r="Q58" i="6"/>
  <c r="R58" i="6" s="1"/>
  <c r="O58" i="6"/>
  <c r="L58" i="6"/>
  <c r="J58" i="6"/>
  <c r="F58" i="6"/>
  <c r="D58" i="6"/>
  <c r="P58" i="6" s="1"/>
  <c r="Q57" i="6"/>
  <c r="R57" i="6" s="1"/>
  <c r="O57" i="6"/>
  <c r="J57" i="6"/>
  <c r="F57" i="6"/>
  <c r="D57" i="6"/>
  <c r="P57" i="6" s="1"/>
  <c r="R56" i="6"/>
  <c r="Q56" i="6"/>
  <c r="Q60" i="6" s="1"/>
  <c r="O56" i="6"/>
  <c r="O60" i="6" s="1"/>
  <c r="L56" i="6"/>
  <c r="J56" i="6"/>
  <c r="J60" i="6" s="1"/>
  <c r="F56" i="6"/>
  <c r="D56" i="6"/>
  <c r="P56" i="6" s="1"/>
  <c r="P60" i="6" s="1"/>
  <c r="I54" i="6"/>
  <c r="F54" i="6"/>
  <c r="E54" i="6"/>
  <c r="C54" i="6"/>
  <c r="Q53" i="6"/>
  <c r="O53" i="6"/>
  <c r="L53" i="6"/>
  <c r="K53" i="6"/>
  <c r="K101" i="6" s="1"/>
  <c r="I53" i="6"/>
  <c r="J53" i="6" s="1"/>
  <c r="F53" i="6"/>
  <c r="D53" i="6"/>
  <c r="Q52" i="6"/>
  <c r="P52" i="6"/>
  <c r="O52" i="6"/>
  <c r="O54" i="6" s="1"/>
  <c r="J52" i="6"/>
  <c r="F52" i="6"/>
  <c r="D52" i="6"/>
  <c r="D54" i="6" s="1"/>
  <c r="K50" i="6"/>
  <c r="L50" i="6" s="1"/>
  <c r="I50" i="6"/>
  <c r="E50" i="6"/>
  <c r="F50" i="6" s="1"/>
  <c r="D50" i="6"/>
  <c r="C50" i="6"/>
  <c r="Q49" i="6"/>
  <c r="R49" i="6" s="1"/>
  <c r="O49" i="6"/>
  <c r="L49" i="6"/>
  <c r="J49" i="6"/>
  <c r="F49" i="6"/>
  <c r="D49" i="6"/>
  <c r="P49" i="6" s="1"/>
  <c r="Q48" i="6"/>
  <c r="O48" i="6"/>
  <c r="J48" i="6"/>
  <c r="D48" i="6"/>
  <c r="P48" i="6" s="1"/>
  <c r="P50" i="6" s="1"/>
  <c r="Q47" i="6"/>
  <c r="P47" i="6"/>
  <c r="O47" i="6"/>
  <c r="O50" i="6" s="1"/>
  <c r="J47" i="6"/>
  <c r="J50" i="6" s="1"/>
  <c r="F47" i="6"/>
  <c r="D47" i="6"/>
  <c r="Q45" i="6"/>
  <c r="R45" i="6" s="1"/>
  <c r="P45" i="6"/>
  <c r="O45" i="6"/>
  <c r="K45" i="6"/>
  <c r="I45" i="6"/>
  <c r="E45" i="6"/>
  <c r="C45" i="6"/>
  <c r="R44" i="6"/>
  <c r="Q44" i="6"/>
  <c r="O44" i="6"/>
  <c r="J44" i="6"/>
  <c r="J45" i="6" s="1"/>
  <c r="F44" i="6"/>
  <c r="D44" i="6"/>
  <c r="P44" i="6" s="1"/>
  <c r="K42" i="6"/>
  <c r="L42" i="6" s="1"/>
  <c r="I42" i="6"/>
  <c r="F42" i="6"/>
  <c r="E42" i="6"/>
  <c r="C42" i="6"/>
  <c r="Q41" i="6"/>
  <c r="R41" i="6" s="1"/>
  <c r="O41" i="6"/>
  <c r="L41" i="6"/>
  <c r="J41" i="6"/>
  <c r="P41" i="6" s="1"/>
  <c r="F41" i="6"/>
  <c r="D41" i="6"/>
  <c r="Q40" i="6"/>
  <c r="Q42" i="6" s="1"/>
  <c r="R42" i="6" s="1"/>
  <c r="O40" i="6"/>
  <c r="O42" i="6" s="1"/>
  <c r="L40" i="6"/>
  <c r="J40" i="6"/>
  <c r="J42" i="6" s="1"/>
  <c r="F40" i="6"/>
  <c r="D40" i="6"/>
  <c r="D42" i="6" s="1"/>
  <c r="K38" i="6"/>
  <c r="I38" i="6"/>
  <c r="E38" i="6"/>
  <c r="C38" i="6"/>
  <c r="Q37" i="6"/>
  <c r="O37" i="6"/>
  <c r="J37" i="6"/>
  <c r="J38" i="6" s="1"/>
  <c r="D37" i="6"/>
  <c r="D38" i="6" s="1"/>
  <c r="Q36" i="6"/>
  <c r="R36" i="6" s="1"/>
  <c r="O36" i="6"/>
  <c r="O100" i="6" s="1"/>
  <c r="L36" i="6"/>
  <c r="J36" i="6"/>
  <c r="F36" i="6"/>
  <c r="D36" i="6"/>
  <c r="D100" i="6" s="1"/>
  <c r="K34" i="6"/>
  <c r="I34" i="6"/>
  <c r="E34" i="6"/>
  <c r="F34" i="6" s="1"/>
  <c r="C34" i="6"/>
  <c r="Q33" i="6"/>
  <c r="Q34" i="6" s="1"/>
  <c r="P33" i="6"/>
  <c r="P34" i="6" s="1"/>
  <c r="O33" i="6"/>
  <c r="J33" i="6"/>
  <c r="J34" i="6" s="1"/>
  <c r="F33" i="6"/>
  <c r="D33" i="6"/>
  <c r="D34" i="6" s="1"/>
  <c r="K31" i="6"/>
  <c r="I31" i="6"/>
  <c r="F31" i="6"/>
  <c r="E31" i="6"/>
  <c r="C31" i="6"/>
  <c r="R30" i="6"/>
  <c r="Q30" i="6"/>
  <c r="O30" i="6"/>
  <c r="J30" i="6"/>
  <c r="F30" i="6"/>
  <c r="D30" i="6"/>
  <c r="R29" i="6"/>
  <c r="Q29" i="6"/>
  <c r="O29" i="6"/>
  <c r="J29" i="6"/>
  <c r="P29" i="6" s="1"/>
  <c r="F29" i="6"/>
  <c r="D29" i="6"/>
  <c r="Q28" i="6"/>
  <c r="P28" i="6"/>
  <c r="O28" i="6"/>
  <c r="J28" i="6"/>
  <c r="D28" i="6"/>
  <c r="D31" i="6" s="1"/>
  <c r="Q27" i="6"/>
  <c r="O27" i="6"/>
  <c r="O31" i="6" s="1"/>
  <c r="J27" i="6"/>
  <c r="J31" i="6" s="1"/>
  <c r="F27" i="6"/>
  <c r="D27" i="6"/>
  <c r="P27" i="6" s="1"/>
  <c r="P25" i="6"/>
  <c r="K25" i="6"/>
  <c r="I25" i="6"/>
  <c r="E25" i="6"/>
  <c r="C25" i="6"/>
  <c r="Q24" i="6"/>
  <c r="R24" i="6" s="1"/>
  <c r="P24" i="6"/>
  <c r="O24" i="6"/>
  <c r="J24" i="6"/>
  <c r="F24" i="6"/>
  <c r="D24" i="6"/>
  <c r="D25" i="6" s="1"/>
  <c r="R23" i="6"/>
  <c r="Q23" i="6"/>
  <c r="O23" i="6"/>
  <c r="J23" i="6"/>
  <c r="P23" i="6" s="1"/>
  <c r="F23" i="6"/>
  <c r="D23" i="6"/>
  <c r="Q22" i="6"/>
  <c r="O22" i="6"/>
  <c r="O25" i="6" s="1"/>
  <c r="J22" i="6"/>
  <c r="J25" i="6" s="1"/>
  <c r="F22" i="6"/>
  <c r="D22" i="6"/>
  <c r="P22" i="6" s="1"/>
  <c r="E20" i="6"/>
  <c r="Q19" i="6"/>
  <c r="Q101" i="6" s="1"/>
  <c r="I19" i="6"/>
  <c r="I101" i="6" s="1"/>
  <c r="F19" i="6"/>
  <c r="D19" i="6"/>
  <c r="O18" i="6"/>
  <c r="K18" i="6"/>
  <c r="K99" i="6" s="1"/>
  <c r="L99" i="6" s="1"/>
  <c r="J18" i="6"/>
  <c r="J99" i="6" s="1"/>
  <c r="I18" i="6"/>
  <c r="I99" i="6" s="1"/>
  <c r="F18" i="6"/>
  <c r="D18" i="6"/>
  <c r="D99" i="6" s="1"/>
  <c r="Q17" i="6"/>
  <c r="Q98" i="6" s="1"/>
  <c r="O17" i="6"/>
  <c r="J17" i="6"/>
  <c r="J98" i="6" s="1"/>
  <c r="D17" i="6"/>
  <c r="Q16" i="6"/>
  <c r="L16" i="6"/>
  <c r="J16" i="6"/>
  <c r="C16" i="6"/>
  <c r="Q14" i="6"/>
  <c r="I14" i="6"/>
  <c r="L14" i="6" s="1"/>
  <c r="F14" i="6"/>
  <c r="E14" i="6"/>
  <c r="C14" i="6"/>
  <c r="Q13" i="6"/>
  <c r="O13" i="6"/>
  <c r="O14" i="6" s="1"/>
  <c r="L13" i="6"/>
  <c r="I13" i="6"/>
  <c r="I96" i="6" s="1"/>
  <c r="I102" i="6" s="1"/>
  <c r="F13" i="6"/>
  <c r="D13" i="6"/>
  <c r="D14" i="6" s="1"/>
  <c r="C13" i="6"/>
  <c r="Q11" i="6"/>
  <c r="K11" i="6"/>
  <c r="L11" i="6" s="1"/>
  <c r="J11" i="6"/>
  <c r="I11" i="6"/>
  <c r="E11" i="6"/>
  <c r="C11" i="6"/>
  <c r="Q10" i="6"/>
  <c r="L10" i="6"/>
  <c r="J10" i="6"/>
  <c r="C10" i="6"/>
  <c r="K8" i="6"/>
  <c r="I8" i="6"/>
  <c r="L8" i="6" s="1"/>
  <c r="F8" i="6"/>
  <c r="E8" i="6"/>
  <c r="C8" i="6"/>
  <c r="Q7" i="6"/>
  <c r="P7" i="6"/>
  <c r="O7" i="6"/>
  <c r="L7" i="6"/>
  <c r="F7" i="6"/>
  <c r="Q6" i="6"/>
  <c r="Q97" i="6" s="1"/>
  <c r="P6" i="6"/>
  <c r="P97" i="6" s="1"/>
  <c r="O6" i="6"/>
  <c r="J6" i="6"/>
  <c r="J97" i="6" s="1"/>
  <c r="D6" i="6"/>
  <c r="D97" i="6" s="1"/>
  <c r="Q5" i="6"/>
  <c r="Q8" i="6" s="1"/>
  <c r="P5" i="6"/>
  <c r="O5" i="6"/>
  <c r="L5" i="6"/>
  <c r="J5" i="6"/>
  <c r="J8" i="6" s="1"/>
  <c r="F5" i="6"/>
  <c r="D5" i="6"/>
  <c r="Q3" i="6"/>
  <c r="P3" i="6"/>
  <c r="O3" i="6"/>
  <c r="K3" i="6"/>
  <c r="J3" i="6"/>
  <c r="I3" i="6"/>
  <c r="G1" i="6"/>
  <c r="M1" i="6" s="1"/>
  <c r="F137" i="5"/>
  <c r="D137" i="5"/>
  <c r="F136" i="5"/>
  <c r="D136" i="5"/>
  <c r="E134" i="5"/>
  <c r="E133" i="5"/>
  <c r="D133" i="5"/>
  <c r="C133" i="5"/>
  <c r="F132" i="5"/>
  <c r="F131" i="5"/>
  <c r="F130" i="5"/>
  <c r="D130" i="5"/>
  <c r="E128" i="5"/>
  <c r="F128" i="5" s="1"/>
  <c r="D128" i="5"/>
  <c r="D134" i="5" s="1"/>
  <c r="C128" i="5"/>
  <c r="F127" i="5"/>
  <c r="F126" i="5"/>
  <c r="F125" i="5"/>
  <c r="D125" i="5"/>
  <c r="Q118" i="5"/>
  <c r="E118" i="5"/>
  <c r="D118" i="5"/>
  <c r="D119" i="5" s="1"/>
  <c r="C118" i="5"/>
  <c r="C119" i="5" s="1"/>
  <c r="F117" i="5"/>
  <c r="E116" i="5"/>
  <c r="D116" i="5"/>
  <c r="C116" i="5"/>
  <c r="F116" i="5" s="1"/>
  <c r="F115" i="5"/>
  <c r="P112" i="5"/>
  <c r="O112" i="5"/>
  <c r="K112" i="5"/>
  <c r="J112" i="5"/>
  <c r="I112" i="5"/>
  <c r="E112" i="5"/>
  <c r="D112" i="5"/>
  <c r="C112" i="5"/>
  <c r="F112" i="5" s="1"/>
  <c r="R111" i="5"/>
  <c r="Q111" i="5"/>
  <c r="Q112" i="5" s="1"/>
  <c r="R112" i="5" s="1"/>
  <c r="O111" i="5"/>
  <c r="F111" i="5"/>
  <c r="P110" i="5"/>
  <c r="O110" i="5"/>
  <c r="K110" i="5"/>
  <c r="J110" i="5"/>
  <c r="I110" i="5"/>
  <c r="E110" i="5"/>
  <c r="F110" i="5" s="1"/>
  <c r="D110" i="5"/>
  <c r="C110" i="5"/>
  <c r="Q109" i="5"/>
  <c r="O109" i="5"/>
  <c r="F109" i="5"/>
  <c r="K108" i="5"/>
  <c r="L108" i="5" s="1"/>
  <c r="I108" i="5"/>
  <c r="E108" i="5"/>
  <c r="F108" i="5" s="1"/>
  <c r="C108" i="5"/>
  <c r="Q107" i="5"/>
  <c r="O107" i="5"/>
  <c r="O108" i="5" s="1"/>
  <c r="L107" i="5"/>
  <c r="J107" i="5"/>
  <c r="J108" i="5" s="1"/>
  <c r="F107" i="5"/>
  <c r="D107" i="5"/>
  <c r="P107" i="5" s="1"/>
  <c r="P108" i="5" s="1"/>
  <c r="E106" i="5"/>
  <c r="C106" i="5"/>
  <c r="C113" i="5" s="1"/>
  <c r="K105" i="5"/>
  <c r="I105" i="5"/>
  <c r="J105" i="5" s="1"/>
  <c r="J106" i="5" s="1"/>
  <c r="F105" i="5"/>
  <c r="D105" i="5"/>
  <c r="D106" i="5" s="1"/>
  <c r="K102" i="5"/>
  <c r="I102" i="5"/>
  <c r="E102" i="5"/>
  <c r="F102" i="5" s="1"/>
  <c r="C102" i="5"/>
  <c r="O101" i="5"/>
  <c r="K101" i="5"/>
  <c r="L101" i="5" s="1"/>
  <c r="I101" i="5"/>
  <c r="E101" i="5"/>
  <c r="F101" i="5" s="1"/>
  <c r="C101" i="5"/>
  <c r="K100" i="5"/>
  <c r="L100" i="5" s="1"/>
  <c r="I100" i="5"/>
  <c r="E100" i="5"/>
  <c r="F100" i="5" s="1"/>
  <c r="C100" i="5"/>
  <c r="O99" i="5"/>
  <c r="K99" i="5"/>
  <c r="L99" i="5" s="1"/>
  <c r="I99" i="5"/>
  <c r="E99" i="5"/>
  <c r="C99" i="5"/>
  <c r="C103" i="5" s="1"/>
  <c r="C120" i="5" s="1"/>
  <c r="K98" i="5"/>
  <c r="I98" i="5"/>
  <c r="E98" i="5"/>
  <c r="D98" i="5"/>
  <c r="C98" i="5"/>
  <c r="K97" i="5"/>
  <c r="K103" i="5" s="1"/>
  <c r="F97" i="5"/>
  <c r="E97" i="5"/>
  <c r="E103" i="5" s="1"/>
  <c r="C97" i="5"/>
  <c r="L95" i="5"/>
  <c r="K95" i="5"/>
  <c r="I95" i="5"/>
  <c r="F95" i="5"/>
  <c r="E95" i="5"/>
  <c r="C95" i="5"/>
  <c r="R94" i="5"/>
  <c r="Q94" i="5"/>
  <c r="O94" i="5"/>
  <c r="J94" i="5"/>
  <c r="F94" i="5"/>
  <c r="D94" i="5"/>
  <c r="P94" i="5" s="1"/>
  <c r="P95" i="5" s="1"/>
  <c r="Q93" i="5"/>
  <c r="R93" i="5" s="1"/>
  <c r="O93" i="5"/>
  <c r="L93" i="5"/>
  <c r="F93" i="5"/>
  <c r="R92" i="5"/>
  <c r="Q92" i="5"/>
  <c r="Q95" i="5" s="1"/>
  <c r="P92" i="5"/>
  <c r="O92" i="5"/>
  <c r="O95" i="5" s="1"/>
  <c r="J92" i="5"/>
  <c r="J95" i="5" s="1"/>
  <c r="F92" i="5"/>
  <c r="D92" i="5"/>
  <c r="O90" i="5"/>
  <c r="K90" i="5"/>
  <c r="L90" i="5" s="1"/>
  <c r="I90" i="5"/>
  <c r="E90" i="5"/>
  <c r="C90" i="5"/>
  <c r="Q89" i="5"/>
  <c r="R89" i="5" s="1"/>
  <c r="O89" i="5"/>
  <c r="J89" i="5"/>
  <c r="F89" i="5"/>
  <c r="D89" i="5"/>
  <c r="P89" i="5" s="1"/>
  <c r="R88" i="5"/>
  <c r="Q88" i="5"/>
  <c r="O88" i="5"/>
  <c r="L88" i="5"/>
  <c r="J88" i="5"/>
  <c r="F88" i="5"/>
  <c r="D88" i="5"/>
  <c r="P88" i="5" s="1"/>
  <c r="R87" i="5"/>
  <c r="Q87" i="5"/>
  <c r="O87" i="5"/>
  <c r="L87" i="5"/>
  <c r="J87" i="5"/>
  <c r="F87" i="5"/>
  <c r="D87" i="5"/>
  <c r="P87" i="5" s="1"/>
  <c r="R86" i="5"/>
  <c r="Q86" i="5"/>
  <c r="O86" i="5"/>
  <c r="L86" i="5"/>
  <c r="J86" i="5"/>
  <c r="J90" i="5" s="1"/>
  <c r="F86" i="5"/>
  <c r="D86" i="5"/>
  <c r="P86" i="5" s="1"/>
  <c r="K84" i="5"/>
  <c r="L84" i="5" s="1"/>
  <c r="I84" i="5"/>
  <c r="F84" i="5"/>
  <c r="E84" i="5"/>
  <c r="C84" i="5"/>
  <c r="Q83" i="5"/>
  <c r="R83" i="5" s="1"/>
  <c r="O83" i="5"/>
  <c r="L83" i="5"/>
  <c r="J83" i="5"/>
  <c r="F83" i="5"/>
  <c r="D83" i="5"/>
  <c r="P83" i="5" s="1"/>
  <c r="Q82" i="5"/>
  <c r="R82" i="5" s="1"/>
  <c r="O82" i="5"/>
  <c r="L82" i="5"/>
  <c r="J82" i="5"/>
  <c r="F82" i="5"/>
  <c r="D82" i="5"/>
  <c r="P82" i="5" s="1"/>
  <c r="Q81" i="5"/>
  <c r="R81" i="5" s="1"/>
  <c r="O81" i="5"/>
  <c r="J81" i="5"/>
  <c r="F81" i="5"/>
  <c r="D81" i="5"/>
  <c r="R80" i="5"/>
  <c r="Q80" i="5"/>
  <c r="Q84" i="5" s="1"/>
  <c r="R84" i="5" s="1"/>
  <c r="P80" i="5"/>
  <c r="O80" i="5"/>
  <c r="O84" i="5" s="1"/>
  <c r="J80" i="5"/>
  <c r="J84" i="5" s="1"/>
  <c r="F80" i="5"/>
  <c r="D80" i="5"/>
  <c r="D84" i="5" s="1"/>
  <c r="K78" i="5"/>
  <c r="L78" i="5" s="1"/>
  <c r="J78" i="5"/>
  <c r="I78" i="5"/>
  <c r="E78" i="5"/>
  <c r="F78" i="5" s="1"/>
  <c r="C78" i="5"/>
  <c r="Q77" i="5"/>
  <c r="R77" i="5" s="1"/>
  <c r="P77" i="5"/>
  <c r="O77" i="5"/>
  <c r="L77" i="5"/>
  <c r="J77" i="5"/>
  <c r="F77" i="5"/>
  <c r="D77" i="5"/>
  <c r="Q76" i="5"/>
  <c r="R76" i="5" s="1"/>
  <c r="P76" i="5"/>
  <c r="O76" i="5"/>
  <c r="L76" i="5"/>
  <c r="J76" i="5"/>
  <c r="F76" i="5"/>
  <c r="D76" i="5"/>
  <c r="Q75" i="5"/>
  <c r="Q78" i="5" s="1"/>
  <c r="P75" i="5"/>
  <c r="O75" i="5"/>
  <c r="O78" i="5" s="1"/>
  <c r="L75" i="5"/>
  <c r="J75" i="5"/>
  <c r="F75" i="5"/>
  <c r="D75" i="5"/>
  <c r="D78" i="5" s="1"/>
  <c r="K73" i="5"/>
  <c r="L73" i="5" s="1"/>
  <c r="I73" i="5"/>
  <c r="E73" i="5"/>
  <c r="F73" i="5" s="1"/>
  <c r="C73" i="5"/>
  <c r="Q72" i="5"/>
  <c r="R72" i="5" s="1"/>
  <c r="O72" i="5"/>
  <c r="J72" i="5"/>
  <c r="F72" i="5"/>
  <c r="D72" i="5"/>
  <c r="P72" i="5" s="1"/>
  <c r="Q71" i="5"/>
  <c r="R71" i="5" s="1"/>
  <c r="O71" i="5"/>
  <c r="L71" i="5"/>
  <c r="J71" i="5"/>
  <c r="F71" i="5"/>
  <c r="D71" i="5"/>
  <c r="P71" i="5" s="1"/>
  <c r="Q70" i="5"/>
  <c r="R70" i="5" s="1"/>
  <c r="O70" i="5"/>
  <c r="L70" i="5"/>
  <c r="J70" i="5"/>
  <c r="F70" i="5"/>
  <c r="D70" i="5"/>
  <c r="P70" i="5" s="1"/>
  <c r="Q69" i="5"/>
  <c r="R69" i="5" s="1"/>
  <c r="O69" i="5"/>
  <c r="O73" i="5" s="1"/>
  <c r="L69" i="5"/>
  <c r="J69" i="5"/>
  <c r="J73" i="5" s="1"/>
  <c r="F69" i="5"/>
  <c r="D69" i="5"/>
  <c r="P69" i="5" s="1"/>
  <c r="P73" i="5" s="1"/>
  <c r="K67" i="5"/>
  <c r="I67" i="5"/>
  <c r="F67" i="5"/>
  <c r="E67" i="5"/>
  <c r="C67" i="5"/>
  <c r="Q66" i="5"/>
  <c r="R66" i="5" s="1"/>
  <c r="O66" i="5"/>
  <c r="J66" i="5"/>
  <c r="F66" i="5"/>
  <c r="D66" i="5"/>
  <c r="Q65" i="5"/>
  <c r="R65" i="5" s="1"/>
  <c r="O65" i="5"/>
  <c r="J65" i="5"/>
  <c r="F65" i="5"/>
  <c r="D65" i="5"/>
  <c r="P65" i="5" s="1"/>
  <c r="R64" i="5"/>
  <c r="Q64" i="5"/>
  <c r="O64" i="5"/>
  <c r="J64" i="5"/>
  <c r="F64" i="5"/>
  <c r="D64" i="5"/>
  <c r="P64" i="5" s="1"/>
  <c r="Q63" i="5"/>
  <c r="R63" i="5" s="1"/>
  <c r="O63" i="5"/>
  <c r="O67" i="5" s="1"/>
  <c r="J63" i="5"/>
  <c r="J67" i="5" s="1"/>
  <c r="F63" i="5"/>
  <c r="D63" i="5"/>
  <c r="K61" i="5"/>
  <c r="L61" i="5" s="1"/>
  <c r="I61" i="5"/>
  <c r="F61" i="5"/>
  <c r="E61" i="5"/>
  <c r="C61" i="5"/>
  <c r="Q60" i="5"/>
  <c r="R60" i="5" s="1"/>
  <c r="O60" i="5"/>
  <c r="L60" i="5"/>
  <c r="J60" i="5"/>
  <c r="F60" i="5"/>
  <c r="D60" i="5"/>
  <c r="P60" i="5" s="1"/>
  <c r="Q59" i="5"/>
  <c r="R59" i="5" s="1"/>
  <c r="O59" i="5"/>
  <c r="L59" i="5"/>
  <c r="J59" i="5"/>
  <c r="F59" i="5"/>
  <c r="D59" i="5"/>
  <c r="P59" i="5" s="1"/>
  <c r="Q58" i="5"/>
  <c r="R58" i="5" s="1"/>
  <c r="O58" i="5"/>
  <c r="J58" i="5"/>
  <c r="F58" i="5"/>
  <c r="D58" i="5"/>
  <c r="P58" i="5" s="1"/>
  <c r="R57" i="5"/>
  <c r="Q57" i="5"/>
  <c r="Q61" i="5" s="1"/>
  <c r="R61" i="5" s="1"/>
  <c r="O57" i="5"/>
  <c r="O61" i="5" s="1"/>
  <c r="L57" i="5"/>
  <c r="J57" i="5"/>
  <c r="F57" i="5"/>
  <c r="D57" i="5"/>
  <c r="D61" i="5" s="1"/>
  <c r="K55" i="5"/>
  <c r="L55" i="5" s="1"/>
  <c r="I55" i="5"/>
  <c r="F55" i="5"/>
  <c r="E55" i="5"/>
  <c r="C55" i="5"/>
  <c r="Q54" i="5"/>
  <c r="R54" i="5" s="1"/>
  <c r="O54" i="5"/>
  <c r="L54" i="5"/>
  <c r="J54" i="5"/>
  <c r="F54" i="5"/>
  <c r="D54" i="5"/>
  <c r="P54" i="5" s="1"/>
  <c r="Q53" i="5"/>
  <c r="O53" i="5"/>
  <c r="O55" i="5" s="1"/>
  <c r="J53" i="5"/>
  <c r="J55" i="5" s="1"/>
  <c r="F53" i="5"/>
  <c r="D53" i="5"/>
  <c r="P53" i="5" s="1"/>
  <c r="P55" i="5" s="1"/>
  <c r="P51" i="5"/>
  <c r="K51" i="5"/>
  <c r="L51" i="5" s="1"/>
  <c r="I51" i="5"/>
  <c r="E51" i="5"/>
  <c r="D51" i="5"/>
  <c r="C51" i="5"/>
  <c r="F51" i="5" s="1"/>
  <c r="Q50" i="5"/>
  <c r="R50" i="5" s="1"/>
  <c r="O50" i="5"/>
  <c r="L50" i="5"/>
  <c r="J50" i="5"/>
  <c r="F50" i="5"/>
  <c r="D50" i="5"/>
  <c r="P50" i="5" s="1"/>
  <c r="Q49" i="5"/>
  <c r="O49" i="5"/>
  <c r="J49" i="5"/>
  <c r="D49" i="5"/>
  <c r="P49" i="5" s="1"/>
  <c r="Q48" i="5"/>
  <c r="P48" i="5"/>
  <c r="O48" i="5"/>
  <c r="O51" i="5" s="1"/>
  <c r="J48" i="5"/>
  <c r="J51" i="5" s="1"/>
  <c r="F48" i="5"/>
  <c r="D48" i="5"/>
  <c r="K46" i="5"/>
  <c r="J46" i="5"/>
  <c r="I46" i="5"/>
  <c r="E46" i="5"/>
  <c r="C46" i="5"/>
  <c r="Q45" i="5"/>
  <c r="R45" i="5" s="1"/>
  <c r="O45" i="5"/>
  <c r="O46" i="5" s="1"/>
  <c r="J45" i="5"/>
  <c r="F45" i="5"/>
  <c r="D45" i="5"/>
  <c r="P45" i="5" s="1"/>
  <c r="P46" i="5" s="1"/>
  <c r="K43" i="5"/>
  <c r="I43" i="5"/>
  <c r="L43" i="5" s="1"/>
  <c r="F43" i="5"/>
  <c r="E43" i="5"/>
  <c r="C43" i="5"/>
  <c r="Q42" i="5"/>
  <c r="O42" i="5"/>
  <c r="R42" i="5" s="1"/>
  <c r="L42" i="5"/>
  <c r="J42" i="5"/>
  <c r="F42" i="5"/>
  <c r="D42" i="5"/>
  <c r="P42" i="5" s="1"/>
  <c r="Q41" i="5"/>
  <c r="Q43" i="5" s="1"/>
  <c r="R43" i="5" s="1"/>
  <c r="O41" i="5"/>
  <c r="O43" i="5" s="1"/>
  <c r="L41" i="5"/>
  <c r="J41" i="5"/>
  <c r="J43" i="5" s="1"/>
  <c r="F41" i="5"/>
  <c r="D41" i="5"/>
  <c r="D43" i="5" s="1"/>
  <c r="K39" i="5"/>
  <c r="J39" i="5"/>
  <c r="I39" i="5"/>
  <c r="E39" i="5"/>
  <c r="C39" i="5"/>
  <c r="Q38" i="5"/>
  <c r="Q39" i="5" s="1"/>
  <c r="O38" i="5"/>
  <c r="O39" i="5" s="1"/>
  <c r="J38" i="5"/>
  <c r="D38" i="5"/>
  <c r="D39" i="5" s="1"/>
  <c r="Q37" i="5"/>
  <c r="R37" i="5" s="1"/>
  <c r="O37" i="5"/>
  <c r="L37" i="5"/>
  <c r="J37" i="5"/>
  <c r="J101" i="5" s="1"/>
  <c r="F37" i="5"/>
  <c r="D37" i="5"/>
  <c r="P37" i="5" s="1"/>
  <c r="K35" i="5"/>
  <c r="I35" i="5"/>
  <c r="F35" i="5"/>
  <c r="E35" i="5"/>
  <c r="C35" i="5"/>
  <c r="Q34" i="5"/>
  <c r="Q35" i="5" s="1"/>
  <c r="O34" i="5"/>
  <c r="O35" i="5" s="1"/>
  <c r="J34" i="5"/>
  <c r="J35" i="5" s="1"/>
  <c r="F34" i="5"/>
  <c r="D34" i="5"/>
  <c r="D35" i="5" s="1"/>
  <c r="K32" i="5"/>
  <c r="I32" i="5"/>
  <c r="E32" i="5"/>
  <c r="F32" i="5" s="1"/>
  <c r="C32" i="5"/>
  <c r="Q31" i="5"/>
  <c r="R31" i="5" s="1"/>
  <c r="O31" i="5"/>
  <c r="J31" i="5"/>
  <c r="F31" i="5"/>
  <c r="D31" i="5"/>
  <c r="P31" i="5" s="1"/>
  <c r="Q30" i="5"/>
  <c r="R30" i="5" s="1"/>
  <c r="P30" i="5"/>
  <c r="O30" i="5"/>
  <c r="J30" i="5"/>
  <c r="F30" i="5"/>
  <c r="D30" i="5"/>
  <c r="Q29" i="5"/>
  <c r="O29" i="5"/>
  <c r="J29" i="5"/>
  <c r="D29" i="5"/>
  <c r="P29" i="5" s="1"/>
  <c r="Q28" i="5"/>
  <c r="R28" i="5" s="1"/>
  <c r="O28" i="5"/>
  <c r="O32" i="5" s="1"/>
  <c r="J28" i="5"/>
  <c r="F28" i="5"/>
  <c r="D28" i="5"/>
  <c r="K26" i="5"/>
  <c r="I26" i="5"/>
  <c r="F26" i="5"/>
  <c r="E26" i="5"/>
  <c r="C26" i="5"/>
  <c r="Q25" i="5"/>
  <c r="R25" i="5" s="1"/>
  <c r="O25" i="5"/>
  <c r="J25" i="5"/>
  <c r="F25" i="5"/>
  <c r="D25" i="5"/>
  <c r="P25" i="5" s="1"/>
  <c r="Q24" i="5"/>
  <c r="R24" i="5" s="1"/>
  <c r="O24" i="5"/>
  <c r="J24" i="5"/>
  <c r="F24" i="5"/>
  <c r="D24" i="5"/>
  <c r="P24" i="5" s="1"/>
  <c r="R23" i="5"/>
  <c r="Q23" i="5"/>
  <c r="Q26" i="5" s="1"/>
  <c r="R26" i="5" s="1"/>
  <c r="O23" i="5"/>
  <c r="O26" i="5" s="1"/>
  <c r="J23" i="5"/>
  <c r="J26" i="5" s="1"/>
  <c r="F23" i="5"/>
  <c r="D23" i="5"/>
  <c r="K21" i="5"/>
  <c r="I21" i="5"/>
  <c r="L21" i="5" s="1"/>
  <c r="E21" i="5"/>
  <c r="F21" i="5" s="1"/>
  <c r="C21" i="5"/>
  <c r="Q20" i="5"/>
  <c r="O20" i="5"/>
  <c r="O102" i="5" s="1"/>
  <c r="L20" i="5"/>
  <c r="J20" i="5"/>
  <c r="J102" i="5" s="1"/>
  <c r="F20" i="5"/>
  <c r="D20" i="5"/>
  <c r="Q19" i="5"/>
  <c r="Q100" i="5" s="1"/>
  <c r="O19" i="5"/>
  <c r="O100" i="5" s="1"/>
  <c r="L19" i="5"/>
  <c r="J19" i="5"/>
  <c r="J100" i="5" s="1"/>
  <c r="F19" i="5"/>
  <c r="D19" i="5"/>
  <c r="D100" i="5" s="1"/>
  <c r="Q18" i="5"/>
  <c r="Q99" i="5" s="1"/>
  <c r="R99" i="5" s="1"/>
  <c r="O18" i="5"/>
  <c r="J18" i="5"/>
  <c r="D18" i="5"/>
  <c r="Q17" i="5"/>
  <c r="Q21" i="5" s="1"/>
  <c r="O17" i="5"/>
  <c r="O21" i="5" s="1"/>
  <c r="L17" i="5"/>
  <c r="J17" i="5"/>
  <c r="J21" i="5" s="1"/>
  <c r="F17" i="5"/>
  <c r="D17" i="5"/>
  <c r="P17" i="5" s="1"/>
  <c r="K15" i="5"/>
  <c r="F15" i="5"/>
  <c r="E15" i="5"/>
  <c r="C15" i="5"/>
  <c r="Q14" i="5"/>
  <c r="Q15" i="5" s="1"/>
  <c r="L14" i="5"/>
  <c r="J14" i="5"/>
  <c r="J15" i="5" s="1"/>
  <c r="I14" i="5"/>
  <c r="I97" i="5" s="1"/>
  <c r="F14" i="5"/>
  <c r="D14" i="5"/>
  <c r="D15" i="5" s="1"/>
  <c r="L12" i="5"/>
  <c r="K12" i="5"/>
  <c r="I12" i="5"/>
  <c r="E12" i="5"/>
  <c r="F12" i="5" s="1"/>
  <c r="C12" i="5"/>
  <c r="Q11" i="5"/>
  <c r="Q12" i="5" s="1"/>
  <c r="O11" i="5"/>
  <c r="O12" i="5" s="1"/>
  <c r="L11" i="5"/>
  <c r="J11" i="5"/>
  <c r="J12" i="5" s="1"/>
  <c r="F11" i="5"/>
  <c r="D11" i="5"/>
  <c r="P11" i="5" s="1"/>
  <c r="P12" i="5" s="1"/>
  <c r="K9" i="5"/>
  <c r="L9" i="5" s="1"/>
  <c r="I9" i="5"/>
  <c r="E9" i="5"/>
  <c r="F9" i="5" s="1"/>
  <c r="D9" i="5"/>
  <c r="C9" i="5"/>
  <c r="Q8" i="5"/>
  <c r="P8" i="5"/>
  <c r="O8" i="5"/>
  <c r="L8" i="5"/>
  <c r="F8" i="5"/>
  <c r="Q7" i="5"/>
  <c r="Q98" i="5" s="1"/>
  <c r="P7" i="5"/>
  <c r="P98" i="5" s="1"/>
  <c r="O7" i="5"/>
  <c r="O98" i="5" s="1"/>
  <c r="J7" i="5"/>
  <c r="J98" i="5" s="1"/>
  <c r="D7" i="5"/>
  <c r="Q6" i="5"/>
  <c r="O6" i="5"/>
  <c r="O9" i="5" s="1"/>
  <c r="L6" i="5"/>
  <c r="J6" i="5"/>
  <c r="J97" i="5" s="1"/>
  <c r="F6" i="5"/>
  <c r="D6" i="5"/>
  <c r="Q4" i="5"/>
  <c r="P4" i="5"/>
  <c r="O4" i="5"/>
  <c r="K4" i="5"/>
  <c r="J4" i="5"/>
  <c r="I4" i="5"/>
  <c r="G1" i="5"/>
  <c r="M1" i="5" s="1"/>
  <c r="E133" i="4"/>
  <c r="F131" i="4"/>
  <c r="F130" i="4"/>
  <c r="D130" i="4"/>
  <c r="F129" i="4"/>
  <c r="D129" i="4"/>
  <c r="F128" i="4"/>
  <c r="D128" i="4"/>
  <c r="D126" i="4"/>
  <c r="E125" i="4"/>
  <c r="F125" i="4" s="1"/>
  <c r="C125" i="4"/>
  <c r="C133" i="4" s="1"/>
  <c r="F124" i="4"/>
  <c r="F123" i="4"/>
  <c r="F122" i="4"/>
  <c r="D122" i="4"/>
  <c r="D125" i="4" s="1"/>
  <c r="D133" i="4" s="1"/>
  <c r="F121" i="4"/>
  <c r="E120" i="4"/>
  <c r="F120" i="4" s="1"/>
  <c r="C120" i="4"/>
  <c r="C126" i="4" s="1"/>
  <c r="F119" i="4"/>
  <c r="N118" i="4"/>
  <c r="F118" i="4"/>
  <c r="F117" i="4"/>
  <c r="D117" i="4"/>
  <c r="D120" i="4" s="1"/>
  <c r="E112" i="4"/>
  <c r="F112" i="4" s="1"/>
  <c r="D112" i="4"/>
  <c r="C112" i="4"/>
  <c r="Q111" i="4"/>
  <c r="F111" i="4"/>
  <c r="F110" i="4"/>
  <c r="E107" i="4"/>
  <c r="F107" i="4" s="1"/>
  <c r="C107" i="4"/>
  <c r="K106" i="4"/>
  <c r="L106" i="4" s="1"/>
  <c r="I106" i="4"/>
  <c r="F106" i="4"/>
  <c r="E106" i="4"/>
  <c r="C106" i="4"/>
  <c r="K105" i="4"/>
  <c r="L105" i="4" s="1"/>
  <c r="I105" i="4"/>
  <c r="E105" i="4"/>
  <c r="F105" i="4" s="1"/>
  <c r="C105" i="4"/>
  <c r="K104" i="4"/>
  <c r="L104" i="4" s="1"/>
  <c r="I104" i="4"/>
  <c r="E104" i="4"/>
  <c r="F104" i="4" s="1"/>
  <c r="C104" i="4"/>
  <c r="M114" i="4" s="1"/>
  <c r="O114" i="4" s="1"/>
  <c r="K103" i="4"/>
  <c r="L103" i="4" s="1"/>
  <c r="I103" i="4"/>
  <c r="E103" i="4"/>
  <c r="F103" i="4" s="1"/>
  <c r="C103" i="4"/>
  <c r="K102" i="4"/>
  <c r="L102" i="4" s="1"/>
  <c r="I102" i="4"/>
  <c r="E102" i="4"/>
  <c r="F102" i="4" s="1"/>
  <c r="C102" i="4"/>
  <c r="M112" i="4" s="1"/>
  <c r="O112" i="4" s="1"/>
  <c r="K101" i="4"/>
  <c r="E101" i="4"/>
  <c r="C101" i="4"/>
  <c r="Q99" i="4"/>
  <c r="R99" i="4" s="1"/>
  <c r="O99" i="4"/>
  <c r="K99" i="4"/>
  <c r="L99" i="4" s="1"/>
  <c r="I99" i="4"/>
  <c r="E99" i="4"/>
  <c r="F99" i="4" s="1"/>
  <c r="C99" i="4"/>
  <c r="Q98" i="4"/>
  <c r="R98" i="4" s="1"/>
  <c r="O98" i="4"/>
  <c r="L98" i="4"/>
  <c r="J98" i="4"/>
  <c r="F98" i="4"/>
  <c r="D98" i="4"/>
  <c r="P98" i="4" s="1"/>
  <c r="Q97" i="4"/>
  <c r="R97" i="4" s="1"/>
  <c r="O97" i="4"/>
  <c r="L97" i="4"/>
  <c r="F97" i="4"/>
  <c r="R96" i="4"/>
  <c r="Q96" i="4"/>
  <c r="P96" i="4"/>
  <c r="O96" i="4"/>
  <c r="L96" i="4"/>
  <c r="J96" i="4"/>
  <c r="J99" i="4" s="1"/>
  <c r="F96" i="4"/>
  <c r="D96" i="4"/>
  <c r="D99" i="4" s="1"/>
  <c r="P94" i="4"/>
  <c r="L94" i="4"/>
  <c r="K94" i="4"/>
  <c r="J94" i="4"/>
  <c r="I94" i="4"/>
  <c r="F94" i="4"/>
  <c r="E94" i="4"/>
  <c r="D94" i="4"/>
  <c r="C94" i="4"/>
  <c r="R93" i="4"/>
  <c r="Q93" i="4"/>
  <c r="P93" i="4"/>
  <c r="O93" i="4"/>
  <c r="L93" i="4"/>
  <c r="J93" i="4"/>
  <c r="F93" i="4"/>
  <c r="D93" i="4"/>
  <c r="R92" i="4"/>
  <c r="Q92" i="4"/>
  <c r="P92" i="4"/>
  <c r="O92" i="4"/>
  <c r="L92" i="4"/>
  <c r="J92" i="4"/>
  <c r="F92" i="4"/>
  <c r="D92" i="4"/>
  <c r="R91" i="4"/>
  <c r="Q91" i="4"/>
  <c r="P91" i="4"/>
  <c r="O91" i="4"/>
  <c r="L91" i="4"/>
  <c r="J91" i="4"/>
  <c r="F91" i="4"/>
  <c r="D91" i="4"/>
  <c r="R90" i="4"/>
  <c r="Q90" i="4"/>
  <c r="Q94" i="4" s="1"/>
  <c r="P90" i="4"/>
  <c r="O90" i="4"/>
  <c r="O94" i="4" s="1"/>
  <c r="L90" i="4"/>
  <c r="J90" i="4"/>
  <c r="F90" i="4"/>
  <c r="D90" i="4"/>
  <c r="O88" i="4"/>
  <c r="L88" i="4"/>
  <c r="K88" i="4"/>
  <c r="J88" i="4"/>
  <c r="I88" i="4"/>
  <c r="F88" i="4"/>
  <c r="E88" i="4"/>
  <c r="D88" i="4"/>
  <c r="C88" i="4"/>
  <c r="R87" i="4"/>
  <c r="Q87" i="4"/>
  <c r="P87" i="4"/>
  <c r="O87" i="4"/>
  <c r="L87" i="4"/>
  <c r="J87" i="4"/>
  <c r="F87" i="4"/>
  <c r="D87" i="4"/>
  <c r="R86" i="4"/>
  <c r="Q86" i="4"/>
  <c r="P86" i="4"/>
  <c r="O86" i="4"/>
  <c r="L86" i="4"/>
  <c r="J86" i="4"/>
  <c r="F86" i="4"/>
  <c r="D86" i="4"/>
  <c r="R85" i="4"/>
  <c r="Q85" i="4"/>
  <c r="P85" i="4"/>
  <c r="O85" i="4"/>
  <c r="L85" i="4"/>
  <c r="J85" i="4"/>
  <c r="F85" i="4"/>
  <c r="D85" i="4"/>
  <c r="R84" i="4"/>
  <c r="Q84" i="4"/>
  <c r="Q88" i="4" s="1"/>
  <c r="R88" i="4" s="1"/>
  <c r="P84" i="4"/>
  <c r="P88" i="4" s="1"/>
  <c r="O84" i="4"/>
  <c r="L84" i="4"/>
  <c r="J84" i="4"/>
  <c r="F84" i="4"/>
  <c r="D84" i="4"/>
  <c r="P82" i="4"/>
  <c r="K82" i="4"/>
  <c r="J82" i="4"/>
  <c r="I82" i="4"/>
  <c r="L82" i="4" s="1"/>
  <c r="F82" i="4"/>
  <c r="E82" i="4"/>
  <c r="D82" i="4"/>
  <c r="C82" i="4"/>
  <c r="Q81" i="4"/>
  <c r="P81" i="4"/>
  <c r="O81" i="4"/>
  <c r="R81" i="4" s="1"/>
  <c r="L81" i="4"/>
  <c r="J81" i="4"/>
  <c r="F81" i="4"/>
  <c r="D81" i="4"/>
  <c r="Q80" i="4"/>
  <c r="P80" i="4"/>
  <c r="O80" i="4"/>
  <c r="R80" i="4" s="1"/>
  <c r="L80" i="4"/>
  <c r="J80" i="4"/>
  <c r="F80" i="4"/>
  <c r="D80" i="4"/>
  <c r="Q79" i="4"/>
  <c r="Q82" i="4" s="1"/>
  <c r="P79" i="4"/>
  <c r="O79" i="4"/>
  <c r="O82" i="4" s="1"/>
  <c r="L79" i="4"/>
  <c r="J79" i="4"/>
  <c r="F79" i="4"/>
  <c r="D79" i="4"/>
  <c r="L77" i="4"/>
  <c r="K77" i="4"/>
  <c r="I77" i="4"/>
  <c r="E77" i="4"/>
  <c r="F77" i="4" s="1"/>
  <c r="D77" i="4"/>
  <c r="C77" i="4"/>
  <c r="Q76" i="4"/>
  <c r="O76" i="4"/>
  <c r="R76" i="4" s="1"/>
  <c r="L76" i="4"/>
  <c r="F76" i="4"/>
  <c r="Q75" i="4"/>
  <c r="R75" i="4" s="1"/>
  <c r="O75" i="4"/>
  <c r="L75" i="4"/>
  <c r="J75" i="4"/>
  <c r="F75" i="4"/>
  <c r="D75" i="4"/>
  <c r="P75" i="4" s="1"/>
  <c r="Q74" i="4"/>
  <c r="R74" i="4" s="1"/>
  <c r="O74" i="4"/>
  <c r="L74" i="4"/>
  <c r="J74" i="4"/>
  <c r="F74" i="4"/>
  <c r="D74" i="4"/>
  <c r="P74" i="4" s="1"/>
  <c r="Q73" i="4"/>
  <c r="R73" i="4" s="1"/>
  <c r="O73" i="4"/>
  <c r="L73" i="4"/>
  <c r="J73" i="4"/>
  <c r="F73" i="4"/>
  <c r="D73" i="4"/>
  <c r="P73" i="4" s="1"/>
  <c r="Q72" i="4"/>
  <c r="Q77" i="4" s="1"/>
  <c r="O72" i="4"/>
  <c r="O77" i="4" s="1"/>
  <c r="L72" i="4"/>
  <c r="J72" i="4"/>
  <c r="J77" i="4" s="1"/>
  <c r="F72" i="4"/>
  <c r="D72" i="4"/>
  <c r="P72" i="4" s="1"/>
  <c r="O70" i="4"/>
  <c r="K70" i="4"/>
  <c r="L70" i="4" s="1"/>
  <c r="I70" i="4"/>
  <c r="E70" i="4"/>
  <c r="F70" i="4" s="1"/>
  <c r="C70" i="4"/>
  <c r="Q69" i="4"/>
  <c r="R69" i="4" s="1"/>
  <c r="O69" i="4"/>
  <c r="L69" i="4"/>
  <c r="J69" i="4"/>
  <c r="F69" i="4"/>
  <c r="D69" i="4"/>
  <c r="P69" i="4" s="1"/>
  <c r="Q68" i="4"/>
  <c r="R68" i="4" s="1"/>
  <c r="O68" i="4"/>
  <c r="L68" i="4"/>
  <c r="J68" i="4"/>
  <c r="F68" i="4"/>
  <c r="D68" i="4"/>
  <c r="P68" i="4" s="1"/>
  <c r="Q67" i="4"/>
  <c r="R67" i="4" s="1"/>
  <c r="O67" i="4"/>
  <c r="L67" i="4"/>
  <c r="J67" i="4"/>
  <c r="F67" i="4"/>
  <c r="D67" i="4"/>
  <c r="P67" i="4" s="1"/>
  <c r="Q66" i="4"/>
  <c r="Q70" i="4" s="1"/>
  <c r="R70" i="4" s="1"/>
  <c r="O66" i="4"/>
  <c r="L66" i="4"/>
  <c r="J66" i="4"/>
  <c r="J70" i="4" s="1"/>
  <c r="F66" i="4"/>
  <c r="D66" i="4"/>
  <c r="P66" i="4" s="1"/>
  <c r="P70" i="4" s="1"/>
  <c r="Q64" i="4"/>
  <c r="K64" i="4"/>
  <c r="L64" i="4" s="1"/>
  <c r="I64" i="4"/>
  <c r="E64" i="4"/>
  <c r="F64" i="4" s="1"/>
  <c r="C64" i="4"/>
  <c r="Q63" i="4"/>
  <c r="R63" i="4" s="1"/>
  <c r="O63" i="4"/>
  <c r="L63" i="4"/>
  <c r="J63" i="4"/>
  <c r="F63" i="4"/>
  <c r="D63" i="4"/>
  <c r="P63" i="4" s="1"/>
  <c r="Q62" i="4"/>
  <c r="R62" i="4" s="1"/>
  <c r="O62" i="4"/>
  <c r="L62" i="4"/>
  <c r="J62" i="4"/>
  <c r="F62" i="4"/>
  <c r="D62" i="4"/>
  <c r="P62" i="4" s="1"/>
  <c r="Q61" i="4"/>
  <c r="R61" i="4" s="1"/>
  <c r="O61" i="4"/>
  <c r="L61" i="4"/>
  <c r="J61" i="4"/>
  <c r="F61" i="4"/>
  <c r="D61" i="4"/>
  <c r="P61" i="4" s="1"/>
  <c r="Q60" i="4"/>
  <c r="R60" i="4" s="1"/>
  <c r="O60" i="4"/>
  <c r="O64" i="4" s="1"/>
  <c r="L60" i="4"/>
  <c r="J60" i="4"/>
  <c r="J64" i="4" s="1"/>
  <c r="F60" i="4"/>
  <c r="D60" i="4"/>
  <c r="D64" i="4" s="1"/>
  <c r="Q58" i="4"/>
  <c r="R58" i="4" s="1"/>
  <c r="O58" i="4"/>
  <c r="K58" i="4"/>
  <c r="L58" i="4" s="1"/>
  <c r="I58" i="4"/>
  <c r="E58" i="4"/>
  <c r="F58" i="4" s="1"/>
  <c r="C58" i="4"/>
  <c r="Q57" i="4"/>
  <c r="R57" i="4" s="1"/>
  <c r="O57" i="4"/>
  <c r="L57" i="4"/>
  <c r="F57" i="4"/>
  <c r="R56" i="4"/>
  <c r="Q56" i="4"/>
  <c r="P56" i="4"/>
  <c r="O56" i="4"/>
  <c r="L56" i="4"/>
  <c r="J56" i="4"/>
  <c r="F56" i="4"/>
  <c r="D56" i="4"/>
  <c r="R55" i="4"/>
  <c r="Q55" i="4"/>
  <c r="P55" i="4"/>
  <c r="P58" i="4" s="1"/>
  <c r="O55" i="4"/>
  <c r="L55" i="4"/>
  <c r="J55" i="4"/>
  <c r="J58" i="4" s="1"/>
  <c r="F55" i="4"/>
  <c r="D55" i="4"/>
  <c r="D58" i="4" s="1"/>
  <c r="Q53" i="4"/>
  <c r="P53" i="4"/>
  <c r="L53" i="4"/>
  <c r="K53" i="4"/>
  <c r="I53" i="4"/>
  <c r="F53" i="4"/>
  <c r="E53" i="4"/>
  <c r="D53" i="4"/>
  <c r="C53" i="4"/>
  <c r="R52" i="4"/>
  <c r="Q52" i="4"/>
  <c r="P52" i="4"/>
  <c r="O52" i="4"/>
  <c r="L52" i="4"/>
  <c r="J52" i="4"/>
  <c r="F52" i="4"/>
  <c r="D52" i="4"/>
  <c r="R51" i="4"/>
  <c r="Q51" i="4"/>
  <c r="P51" i="4"/>
  <c r="O51" i="4"/>
  <c r="L51" i="4"/>
  <c r="J51" i="4"/>
  <c r="F51" i="4"/>
  <c r="D51" i="4"/>
  <c r="R50" i="4"/>
  <c r="Q50" i="4"/>
  <c r="P50" i="4"/>
  <c r="O50" i="4"/>
  <c r="O53" i="4" s="1"/>
  <c r="R53" i="4" s="1"/>
  <c r="L50" i="4"/>
  <c r="J50" i="4"/>
  <c r="J53" i="4" s="1"/>
  <c r="F50" i="4"/>
  <c r="D50" i="4"/>
  <c r="L48" i="4"/>
  <c r="K48" i="4"/>
  <c r="J48" i="4"/>
  <c r="I48" i="4"/>
  <c r="F48" i="4"/>
  <c r="E48" i="4"/>
  <c r="D48" i="4"/>
  <c r="C48" i="4"/>
  <c r="R47" i="4"/>
  <c r="Q47" i="4"/>
  <c r="Q48" i="4" s="1"/>
  <c r="P47" i="4"/>
  <c r="P48" i="4" s="1"/>
  <c r="O47" i="4"/>
  <c r="O48" i="4" s="1"/>
  <c r="L47" i="4"/>
  <c r="J47" i="4"/>
  <c r="F47" i="4"/>
  <c r="D47" i="4"/>
  <c r="Q45" i="4"/>
  <c r="L45" i="4"/>
  <c r="K45" i="4"/>
  <c r="I45" i="4"/>
  <c r="F45" i="4"/>
  <c r="E45" i="4"/>
  <c r="D45" i="4"/>
  <c r="C45" i="4"/>
  <c r="R44" i="4"/>
  <c r="Q44" i="4"/>
  <c r="O44" i="4"/>
  <c r="L44" i="4"/>
  <c r="J44" i="4"/>
  <c r="F44" i="4"/>
  <c r="D44" i="4"/>
  <c r="P44" i="4" s="1"/>
  <c r="R43" i="4"/>
  <c r="Q43" i="4"/>
  <c r="O43" i="4"/>
  <c r="O45" i="4" s="1"/>
  <c r="R45" i="4" s="1"/>
  <c r="L43" i="4"/>
  <c r="J43" i="4"/>
  <c r="J45" i="4" s="1"/>
  <c r="F43" i="4"/>
  <c r="D43" i="4"/>
  <c r="P43" i="4" s="1"/>
  <c r="L41" i="4"/>
  <c r="K41" i="4"/>
  <c r="J41" i="4"/>
  <c r="I41" i="4"/>
  <c r="F41" i="4"/>
  <c r="E41" i="4"/>
  <c r="C41" i="4"/>
  <c r="R40" i="4"/>
  <c r="Q40" i="4"/>
  <c r="Q41" i="4" s="1"/>
  <c r="P40" i="4"/>
  <c r="P41" i="4" s="1"/>
  <c r="O40" i="4"/>
  <c r="O41" i="4" s="1"/>
  <c r="L40" i="4"/>
  <c r="J40" i="4"/>
  <c r="F40" i="4"/>
  <c r="D40" i="4"/>
  <c r="D41" i="4" s="1"/>
  <c r="R39" i="4"/>
  <c r="Q39" i="4"/>
  <c r="Q105" i="4" s="1"/>
  <c r="P39" i="4"/>
  <c r="P105" i="4" s="1"/>
  <c r="O39" i="4"/>
  <c r="O105" i="4" s="1"/>
  <c r="L39" i="4"/>
  <c r="J39" i="4"/>
  <c r="J105" i="4" s="1"/>
  <c r="F39" i="4"/>
  <c r="D39" i="4"/>
  <c r="D105" i="4" s="1"/>
  <c r="Q37" i="4"/>
  <c r="L37" i="4"/>
  <c r="K37" i="4"/>
  <c r="I37" i="4"/>
  <c r="F37" i="4"/>
  <c r="E37" i="4"/>
  <c r="D37" i="4"/>
  <c r="C37" i="4"/>
  <c r="R36" i="4"/>
  <c r="Q36" i="4"/>
  <c r="O36" i="4"/>
  <c r="O37" i="4" s="1"/>
  <c r="R37" i="4" s="1"/>
  <c r="L36" i="4"/>
  <c r="J36" i="4"/>
  <c r="J37" i="4" s="1"/>
  <c r="F36" i="4"/>
  <c r="D36" i="4"/>
  <c r="P36" i="4" s="1"/>
  <c r="P37" i="4" s="1"/>
  <c r="L34" i="4"/>
  <c r="K34" i="4"/>
  <c r="J34" i="4"/>
  <c r="I34" i="4"/>
  <c r="F34" i="4"/>
  <c r="E34" i="4"/>
  <c r="C34" i="4"/>
  <c r="R33" i="4"/>
  <c r="Q33" i="4"/>
  <c r="P33" i="4"/>
  <c r="O33" i="4"/>
  <c r="L33" i="4"/>
  <c r="J33" i="4"/>
  <c r="F33" i="4"/>
  <c r="D33" i="4"/>
  <c r="R32" i="4"/>
  <c r="Q32" i="4"/>
  <c r="P32" i="4"/>
  <c r="O32" i="4"/>
  <c r="L32" i="4"/>
  <c r="J32" i="4"/>
  <c r="F32" i="4"/>
  <c r="D32" i="4"/>
  <c r="R31" i="4"/>
  <c r="Q31" i="4"/>
  <c r="P31" i="4"/>
  <c r="O31" i="4"/>
  <c r="L31" i="4"/>
  <c r="J31" i="4"/>
  <c r="F31" i="4"/>
  <c r="D31" i="4"/>
  <c r="R30" i="4"/>
  <c r="Q30" i="4"/>
  <c r="Q34" i="4" s="1"/>
  <c r="P30" i="4"/>
  <c r="P34" i="4" s="1"/>
  <c r="O30" i="4"/>
  <c r="O34" i="4" s="1"/>
  <c r="L30" i="4"/>
  <c r="J30" i="4"/>
  <c r="F30" i="4"/>
  <c r="D30" i="4"/>
  <c r="D34" i="4" s="1"/>
  <c r="Q28" i="4"/>
  <c r="L28" i="4"/>
  <c r="K28" i="4"/>
  <c r="I28" i="4"/>
  <c r="F28" i="4"/>
  <c r="E28" i="4"/>
  <c r="D28" i="4"/>
  <c r="C28" i="4"/>
  <c r="R27" i="4"/>
  <c r="Q27" i="4"/>
  <c r="O27" i="4"/>
  <c r="L27" i="4"/>
  <c r="J27" i="4"/>
  <c r="F27" i="4"/>
  <c r="D27" i="4"/>
  <c r="P27" i="4" s="1"/>
  <c r="R26" i="4"/>
  <c r="Q26" i="4"/>
  <c r="O26" i="4"/>
  <c r="L26" i="4"/>
  <c r="J26" i="4"/>
  <c r="F26" i="4"/>
  <c r="D26" i="4"/>
  <c r="P26" i="4" s="1"/>
  <c r="R25" i="4"/>
  <c r="Q25" i="4"/>
  <c r="O25" i="4"/>
  <c r="O28" i="4" s="1"/>
  <c r="R28" i="4" s="1"/>
  <c r="L25" i="4"/>
  <c r="J25" i="4"/>
  <c r="J28" i="4" s="1"/>
  <c r="F25" i="4"/>
  <c r="D25" i="4"/>
  <c r="P25" i="4" s="1"/>
  <c r="L23" i="4"/>
  <c r="K23" i="4"/>
  <c r="J23" i="4"/>
  <c r="I23" i="4"/>
  <c r="F23" i="4"/>
  <c r="E23" i="4"/>
  <c r="C23" i="4"/>
  <c r="R22" i="4"/>
  <c r="Q22" i="4"/>
  <c r="P22" i="4"/>
  <c r="O22" i="4"/>
  <c r="L22" i="4"/>
  <c r="J22" i="4"/>
  <c r="F22" i="4"/>
  <c r="D22" i="4"/>
  <c r="R21" i="4"/>
  <c r="Q21" i="4"/>
  <c r="Q106" i="4" s="1"/>
  <c r="R106" i="4" s="1"/>
  <c r="P21" i="4"/>
  <c r="O21" i="4"/>
  <c r="O106" i="4" s="1"/>
  <c r="L21" i="4"/>
  <c r="J21" i="4"/>
  <c r="J106" i="4" s="1"/>
  <c r="F21" i="4"/>
  <c r="D21" i="4"/>
  <c r="D106" i="4" s="1"/>
  <c r="R20" i="4"/>
  <c r="Q20" i="4"/>
  <c r="Q104" i="4" s="1"/>
  <c r="R104" i="4" s="1"/>
  <c r="P20" i="4"/>
  <c r="O20" i="4"/>
  <c r="O104" i="4" s="1"/>
  <c r="L20" i="4"/>
  <c r="J20" i="4"/>
  <c r="J104" i="4" s="1"/>
  <c r="F20" i="4"/>
  <c r="D20" i="4"/>
  <c r="D104" i="4" s="1"/>
  <c r="R19" i="4"/>
  <c r="Q19" i="4"/>
  <c r="Q103" i="4" s="1"/>
  <c r="R103" i="4" s="1"/>
  <c r="P19" i="4"/>
  <c r="O19" i="4"/>
  <c r="O103" i="4" s="1"/>
  <c r="L19" i="4"/>
  <c r="J19" i="4"/>
  <c r="J103" i="4" s="1"/>
  <c r="F19" i="4"/>
  <c r="D19" i="4"/>
  <c r="D103" i="4" s="1"/>
  <c r="R18" i="4"/>
  <c r="Q18" i="4"/>
  <c r="Q23" i="4" s="1"/>
  <c r="R23" i="4" s="1"/>
  <c r="P18" i="4"/>
  <c r="P23" i="4" s="1"/>
  <c r="O18" i="4"/>
  <c r="O23" i="4" s="1"/>
  <c r="L18" i="4"/>
  <c r="J18" i="4"/>
  <c r="F18" i="4"/>
  <c r="D18" i="4"/>
  <c r="D23" i="4" s="1"/>
  <c r="F16" i="4"/>
  <c r="E16" i="4"/>
  <c r="D16" i="4"/>
  <c r="C16" i="4"/>
  <c r="L15" i="4"/>
  <c r="K15" i="4"/>
  <c r="K107" i="4" s="1"/>
  <c r="L107" i="4" s="1"/>
  <c r="J15" i="4"/>
  <c r="J107" i="4" s="1"/>
  <c r="I15" i="4"/>
  <c r="I107" i="4" s="1"/>
  <c r="F15" i="4"/>
  <c r="D15" i="4"/>
  <c r="D107" i="4" s="1"/>
  <c r="Q14" i="4"/>
  <c r="I14" i="4"/>
  <c r="I16" i="4" s="1"/>
  <c r="F14" i="4"/>
  <c r="D14" i="4"/>
  <c r="L12" i="4"/>
  <c r="K12" i="4"/>
  <c r="J12" i="4"/>
  <c r="I12" i="4"/>
  <c r="E12" i="4"/>
  <c r="F12" i="4" s="1"/>
  <c r="C12" i="4"/>
  <c r="Q11" i="4"/>
  <c r="Q12" i="4" s="1"/>
  <c r="O11" i="4"/>
  <c r="O12" i="4" s="1"/>
  <c r="L11" i="4"/>
  <c r="J11" i="4"/>
  <c r="F11" i="4"/>
  <c r="D11" i="4"/>
  <c r="D12" i="4" s="1"/>
  <c r="L9" i="4"/>
  <c r="K9" i="4"/>
  <c r="I9" i="4"/>
  <c r="F9" i="4"/>
  <c r="E9" i="4"/>
  <c r="D9" i="4"/>
  <c r="C9" i="4"/>
  <c r="Q8" i="4"/>
  <c r="P8" i="4"/>
  <c r="O8" i="4"/>
  <c r="L8" i="4"/>
  <c r="F8" i="4"/>
  <c r="Q7" i="4"/>
  <c r="Q102" i="4" s="1"/>
  <c r="P7" i="4"/>
  <c r="P102" i="4" s="1"/>
  <c r="O7" i="4"/>
  <c r="O102" i="4" s="1"/>
  <c r="L7" i="4"/>
  <c r="J7" i="4"/>
  <c r="J102" i="4" s="1"/>
  <c r="F7" i="4"/>
  <c r="D7" i="4"/>
  <c r="D102" i="4" s="1"/>
  <c r="Q6" i="4"/>
  <c r="Q101" i="4" s="1"/>
  <c r="O6" i="4"/>
  <c r="L6" i="4"/>
  <c r="J6" i="4"/>
  <c r="J9" i="4" s="1"/>
  <c r="F6" i="4"/>
  <c r="D6" i="4"/>
  <c r="D101" i="4" s="1"/>
  <c r="Q4" i="4"/>
  <c r="P4" i="4"/>
  <c r="O4" i="4"/>
  <c r="K4" i="4"/>
  <c r="J4" i="4"/>
  <c r="I4" i="4"/>
  <c r="G1" i="4"/>
  <c r="M1" i="4" s="1"/>
  <c r="E131" i="3"/>
  <c r="F129" i="3"/>
  <c r="F128" i="3"/>
  <c r="D128" i="3"/>
  <c r="C126" i="3"/>
  <c r="F125" i="3"/>
  <c r="E125" i="3"/>
  <c r="D125" i="3"/>
  <c r="D131" i="3" s="1"/>
  <c r="C125" i="3"/>
  <c r="C131" i="3" s="1"/>
  <c r="F124" i="3"/>
  <c r="F123" i="3"/>
  <c r="F122" i="3"/>
  <c r="D122" i="3"/>
  <c r="F121" i="3"/>
  <c r="E120" i="3"/>
  <c r="E126" i="3" s="1"/>
  <c r="F126" i="3" s="1"/>
  <c r="C120" i="3"/>
  <c r="F119" i="3"/>
  <c r="N118" i="3"/>
  <c r="F118" i="3"/>
  <c r="F117" i="3"/>
  <c r="D117" i="3"/>
  <c r="D120" i="3" s="1"/>
  <c r="D126" i="3" s="1"/>
  <c r="E112" i="3"/>
  <c r="F112" i="3" s="1"/>
  <c r="D112" i="3"/>
  <c r="C112" i="3"/>
  <c r="Q111" i="3"/>
  <c r="F111" i="3"/>
  <c r="F110" i="3"/>
  <c r="K107" i="3"/>
  <c r="F107" i="3"/>
  <c r="E107" i="3"/>
  <c r="C107" i="3"/>
  <c r="L106" i="3"/>
  <c r="K106" i="3"/>
  <c r="I106" i="3"/>
  <c r="E106" i="3"/>
  <c r="F106" i="3" s="1"/>
  <c r="C106" i="3"/>
  <c r="M116" i="3" s="1"/>
  <c r="O116" i="3" s="1"/>
  <c r="K105" i="3"/>
  <c r="L105" i="3" s="1"/>
  <c r="I105" i="3"/>
  <c r="F105" i="3"/>
  <c r="E105" i="3"/>
  <c r="C105" i="3"/>
  <c r="M115" i="3" s="1"/>
  <c r="O115" i="3" s="1"/>
  <c r="K104" i="3"/>
  <c r="L104" i="3" s="1"/>
  <c r="I104" i="3"/>
  <c r="E104" i="3"/>
  <c r="F104" i="3" s="1"/>
  <c r="C104" i="3"/>
  <c r="M114" i="3" s="1"/>
  <c r="O114" i="3" s="1"/>
  <c r="K103" i="3"/>
  <c r="L103" i="3" s="1"/>
  <c r="I103" i="3"/>
  <c r="E103" i="3"/>
  <c r="F103" i="3" s="1"/>
  <c r="C103" i="3"/>
  <c r="M113" i="3" s="1"/>
  <c r="O113" i="3" s="1"/>
  <c r="K102" i="3"/>
  <c r="L102" i="3" s="1"/>
  <c r="I102" i="3"/>
  <c r="E102" i="3"/>
  <c r="F102" i="3" s="1"/>
  <c r="C102" i="3"/>
  <c r="M112" i="3" s="1"/>
  <c r="O112" i="3" s="1"/>
  <c r="K101" i="3"/>
  <c r="K108" i="3" s="1"/>
  <c r="E101" i="3"/>
  <c r="E130" i="3" s="1"/>
  <c r="C101" i="3"/>
  <c r="K99" i="3"/>
  <c r="L99" i="3" s="1"/>
  <c r="I99" i="3"/>
  <c r="E99" i="3"/>
  <c r="F99" i="3" s="1"/>
  <c r="C99" i="3"/>
  <c r="Q98" i="3"/>
  <c r="R98" i="3" s="1"/>
  <c r="O98" i="3"/>
  <c r="O99" i="3" s="1"/>
  <c r="L98" i="3"/>
  <c r="J98" i="3"/>
  <c r="F98" i="3"/>
  <c r="D98" i="3"/>
  <c r="P98" i="3" s="1"/>
  <c r="Q97" i="3"/>
  <c r="R97" i="3" s="1"/>
  <c r="O97" i="3"/>
  <c r="L97" i="3"/>
  <c r="F97" i="3"/>
  <c r="R96" i="3"/>
  <c r="Q96" i="3"/>
  <c r="Q99" i="3" s="1"/>
  <c r="R99" i="3" s="1"/>
  <c r="P96" i="3"/>
  <c r="P99" i="3" s="1"/>
  <c r="O96" i="3"/>
  <c r="L96" i="3"/>
  <c r="J96" i="3"/>
  <c r="J99" i="3" s="1"/>
  <c r="F96" i="3"/>
  <c r="D96" i="3"/>
  <c r="L94" i="3"/>
  <c r="K94" i="3"/>
  <c r="I94" i="3"/>
  <c r="F94" i="3"/>
  <c r="E94" i="3"/>
  <c r="D94" i="3"/>
  <c r="C94" i="3"/>
  <c r="R93" i="3"/>
  <c r="Q93" i="3"/>
  <c r="P93" i="3"/>
  <c r="O93" i="3"/>
  <c r="L93" i="3"/>
  <c r="J93" i="3"/>
  <c r="F93" i="3"/>
  <c r="D93" i="3"/>
  <c r="R92" i="3"/>
  <c r="Q92" i="3"/>
  <c r="O92" i="3"/>
  <c r="L92" i="3"/>
  <c r="J92" i="3"/>
  <c r="P92" i="3" s="1"/>
  <c r="F92" i="3"/>
  <c r="D92" i="3"/>
  <c r="R91" i="3"/>
  <c r="Q91" i="3"/>
  <c r="O91" i="3"/>
  <c r="L91" i="3"/>
  <c r="J91" i="3"/>
  <c r="P91" i="3" s="1"/>
  <c r="F91" i="3"/>
  <c r="D91" i="3"/>
  <c r="R90" i="3"/>
  <c r="Q90" i="3"/>
  <c r="Q94" i="3" s="1"/>
  <c r="O90" i="3"/>
  <c r="O94" i="3" s="1"/>
  <c r="L90" i="3"/>
  <c r="J90" i="3"/>
  <c r="J94" i="3" s="1"/>
  <c r="F90" i="3"/>
  <c r="D90" i="3"/>
  <c r="K88" i="3"/>
  <c r="L88" i="3" s="1"/>
  <c r="I88" i="3"/>
  <c r="F88" i="3"/>
  <c r="E88" i="3"/>
  <c r="D88" i="3"/>
  <c r="C88" i="3"/>
  <c r="Q87" i="3"/>
  <c r="R87" i="3" s="1"/>
  <c r="P87" i="3"/>
  <c r="O87" i="3"/>
  <c r="L87" i="3"/>
  <c r="J87" i="3"/>
  <c r="F87" i="3"/>
  <c r="D87" i="3"/>
  <c r="Q86" i="3"/>
  <c r="R86" i="3" s="1"/>
  <c r="P86" i="3"/>
  <c r="O86" i="3"/>
  <c r="L86" i="3"/>
  <c r="J86" i="3"/>
  <c r="F86" i="3"/>
  <c r="D86" i="3"/>
  <c r="Q85" i="3"/>
  <c r="R85" i="3" s="1"/>
  <c r="P85" i="3"/>
  <c r="O85" i="3"/>
  <c r="L85" i="3"/>
  <c r="J85" i="3"/>
  <c r="F85" i="3"/>
  <c r="D85" i="3"/>
  <c r="Q84" i="3"/>
  <c r="Q88" i="3" s="1"/>
  <c r="P84" i="3"/>
  <c r="P88" i="3" s="1"/>
  <c r="O84" i="3"/>
  <c r="O88" i="3" s="1"/>
  <c r="L84" i="3"/>
  <c r="J84" i="3"/>
  <c r="J88" i="3" s="1"/>
  <c r="F84" i="3"/>
  <c r="D84" i="3"/>
  <c r="Q82" i="3"/>
  <c r="R82" i="3" s="1"/>
  <c r="L82" i="3"/>
  <c r="K82" i="3"/>
  <c r="I82" i="3"/>
  <c r="E82" i="3"/>
  <c r="F82" i="3" s="1"/>
  <c r="D82" i="3"/>
  <c r="C82" i="3"/>
  <c r="R81" i="3"/>
  <c r="Q81" i="3"/>
  <c r="O81" i="3"/>
  <c r="L81" i="3"/>
  <c r="J81" i="3"/>
  <c r="P81" i="3" s="1"/>
  <c r="F81" i="3"/>
  <c r="D81" i="3"/>
  <c r="R80" i="3"/>
  <c r="Q80" i="3"/>
  <c r="O80" i="3"/>
  <c r="L80" i="3"/>
  <c r="J80" i="3"/>
  <c r="P80" i="3" s="1"/>
  <c r="F80" i="3"/>
  <c r="D80" i="3"/>
  <c r="R79" i="3"/>
  <c r="Q79" i="3"/>
  <c r="O79" i="3"/>
  <c r="O82" i="3" s="1"/>
  <c r="L79" i="3"/>
  <c r="J79" i="3"/>
  <c r="J82" i="3" s="1"/>
  <c r="F79" i="3"/>
  <c r="D79" i="3"/>
  <c r="K77" i="3"/>
  <c r="L77" i="3" s="1"/>
  <c r="I77" i="3"/>
  <c r="F77" i="3"/>
  <c r="E77" i="3"/>
  <c r="C77" i="3"/>
  <c r="Q76" i="3"/>
  <c r="R76" i="3" s="1"/>
  <c r="O76" i="3"/>
  <c r="L76" i="3"/>
  <c r="F76" i="3"/>
  <c r="Q75" i="3"/>
  <c r="R75" i="3" s="1"/>
  <c r="O75" i="3"/>
  <c r="L75" i="3"/>
  <c r="J75" i="3"/>
  <c r="F75" i="3"/>
  <c r="D75" i="3"/>
  <c r="P75" i="3" s="1"/>
  <c r="Q74" i="3"/>
  <c r="R74" i="3" s="1"/>
  <c r="O74" i="3"/>
  <c r="L74" i="3"/>
  <c r="J74" i="3"/>
  <c r="F74" i="3"/>
  <c r="D74" i="3"/>
  <c r="P74" i="3" s="1"/>
  <c r="Q73" i="3"/>
  <c r="R73" i="3" s="1"/>
  <c r="O73" i="3"/>
  <c r="L73" i="3"/>
  <c r="J73" i="3"/>
  <c r="F73" i="3"/>
  <c r="D73" i="3"/>
  <c r="P73" i="3" s="1"/>
  <c r="Q72" i="3"/>
  <c r="Q77" i="3" s="1"/>
  <c r="O72" i="3"/>
  <c r="O77" i="3" s="1"/>
  <c r="L72" i="3"/>
  <c r="J72" i="3"/>
  <c r="J77" i="3" s="1"/>
  <c r="F72" i="3"/>
  <c r="D72" i="3"/>
  <c r="D77" i="3" s="1"/>
  <c r="K70" i="3"/>
  <c r="I70" i="3"/>
  <c r="L70" i="3" s="1"/>
  <c r="E70" i="3"/>
  <c r="F70" i="3" s="1"/>
  <c r="C70" i="3"/>
  <c r="Q69" i="3"/>
  <c r="O69" i="3"/>
  <c r="R69" i="3" s="1"/>
  <c r="L69" i="3"/>
  <c r="J69" i="3"/>
  <c r="F69" i="3"/>
  <c r="D69" i="3"/>
  <c r="P69" i="3" s="1"/>
  <c r="Q68" i="3"/>
  <c r="R68" i="3" s="1"/>
  <c r="O68" i="3"/>
  <c r="L68" i="3"/>
  <c r="J68" i="3"/>
  <c r="F68" i="3"/>
  <c r="D68" i="3"/>
  <c r="P68" i="3" s="1"/>
  <c r="Q67" i="3"/>
  <c r="R67" i="3" s="1"/>
  <c r="O67" i="3"/>
  <c r="L67" i="3"/>
  <c r="J67" i="3"/>
  <c r="F67" i="3"/>
  <c r="D67" i="3"/>
  <c r="P67" i="3" s="1"/>
  <c r="Q66" i="3"/>
  <c r="Q70" i="3" s="1"/>
  <c r="R70" i="3" s="1"/>
  <c r="O66" i="3"/>
  <c r="O70" i="3" s="1"/>
  <c r="L66" i="3"/>
  <c r="J66" i="3"/>
  <c r="J70" i="3" s="1"/>
  <c r="F66" i="3"/>
  <c r="D66" i="3"/>
  <c r="D70" i="3" s="1"/>
  <c r="K64" i="3"/>
  <c r="L64" i="3" s="1"/>
  <c r="I64" i="3"/>
  <c r="E64" i="3"/>
  <c r="C64" i="3"/>
  <c r="F64" i="3" s="1"/>
  <c r="Q63" i="3"/>
  <c r="R63" i="3" s="1"/>
  <c r="O63" i="3"/>
  <c r="L63" i="3"/>
  <c r="J63" i="3"/>
  <c r="F63" i="3"/>
  <c r="D63" i="3"/>
  <c r="P63" i="3" s="1"/>
  <c r="Q62" i="3"/>
  <c r="R62" i="3" s="1"/>
  <c r="O62" i="3"/>
  <c r="L62" i="3"/>
  <c r="J62" i="3"/>
  <c r="F62" i="3"/>
  <c r="D62" i="3"/>
  <c r="P62" i="3" s="1"/>
  <c r="Q61" i="3"/>
  <c r="R61" i="3" s="1"/>
  <c r="O61" i="3"/>
  <c r="L61" i="3"/>
  <c r="J61" i="3"/>
  <c r="F61" i="3"/>
  <c r="D61" i="3"/>
  <c r="P61" i="3" s="1"/>
  <c r="Q60" i="3"/>
  <c r="R60" i="3" s="1"/>
  <c r="O60" i="3"/>
  <c r="O64" i="3" s="1"/>
  <c r="L60" i="3"/>
  <c r="J60" i="3"/>
  <c r="J64" i="3" s="1"/>
  <c r="F60" i="3"/>
  <c r="D60" i="3"/>
  <c r="P60" i="3" s="1"/>
  <c r="Q58" i="3"/>
  <c r="K58" i="3"/>
  <c r="I58" i="3"/>
  <c r="L58" i="3" s="1"/>
  <c r="E58" i="3"/>
  <c r="F58" i="3" s="1"/>
  <c r="C58" i="3"/>
  <c r="Q57" i="3"/>
  <c r="R57" i="3" s="1"/>
  <c r="O57" i="3"/>
  <c r="L57" i="3"/>
  <c r="F57" i="3"/>
  <c r="Q56" i="3"/>
  <c r="P56" i="3"/>
  <c r="O56" i="3"/>
  <c r="R56" i="3" s="1"/>
  <c r="L56" i="3"/>
  <c r="J56" i="3"/>
  <c r="F56" i="3"/>
  <c r="D56" i="3"/>
  <c r="Q55" i="3"/>
  <c r="P55" i="3"/>
  <c r="P58" i="3" s="1"/>
  <c r="O55" i="3"/>
  <c r="R55" i="3" s="1"/>
  <c r="L55" i="3"/>
  <c r="J55" i="3"/>
  <c r="J58" i="3" s="1"/>
  <c r="F55" i="3"/>
  <c r="D55" i="3"/>
  <c r="D58" i="3" s="1"/>
  <c r="O53" i="3"/>
  <c r="L53" i="3"/>
  <c r="K53" i="3"/>
  <c r="I53" i="3"/>
  <c r="E53" i="3"/>
  <c r="C53" i="3"/>
  <c r="F53" i="3" s="1"/>
  <c r="R52" i="3"/>
  <c r="Q52" i="3"/>
  <c r="O52" i="3"/>
  <c r="L52" i="3"/>
  <c r="J52" i="3"/>
  <c r="F52" i="3"/>
  <c r="D52" i="3"/>
  <c r="P52" i="3" s="1"/>
  <c r="R51" i="3"/>
  <c r="Q51" i="3"/>
  <c r="O51" i="3"/>
  <c r="L51" i="3"/>
  <c r="J51" i="3"/>
  <c r="F51" i="3"/>
  <c r="D51" i="3"/>
  <c r="P51" i="3" s="1"/>
  <c r="R50" i="3"/>
  <c r="Q50" i="3"/>
  <c r="Q53" i="3" s="1"/>
  <c r="R53" i="3" s="1"/>
  <c r="O50" i="3"/>
  <c r="L50" i="3"/>
  <c r="J50" i="3"/>
  <c r="J53" i="3" s="1"/>
  <c r="F50" i="3"/>
  <c r="D50" i="3"/>
  <c r="P50" i="3" s="1"/>
  <c r="P53" i="3" s="1"/>
  <c r="K48" i="3"/>
  <c r="J48" i="3"/>
  <c r="I48" i="3"/>
  <c r="L48" i="3" s="1"/>
  <c r="F48" i="3"/>
  <c r="E48" i="3"/>
  <c r="D48" i="3"/>
  <c r="C48" i="3"/>
  <c r="Q47" i="3"/>
  <c r="Q48" i="3" s="1"/>
  <c r="R48" i="3" s="1"/>
  <c r="P47" i="3"/>
  <c r="P48" i="3" s="1"/>
  <c r="O47" i="3"/>
  <c r="O48" i="3" s="1"/>
  <c r="L47" i="3"/>
  <c r="J47" i="3"/>
  <c r="F47" i="3"/>
  <c r="D47" i="3"/>
  <c r="O45" i="3"/>
  <c r="L45" i="3"/>
  <c r="K45" i="3"/>
  <c r="I45" i="3"/>
  <c r="E45" i="3"/>
  <c r="C45" i="3"/>
  <c r="F45" i="3" s="1"/>
  <c r="R44" i="3"/>
  <c r="Q44" i="3"/>
  <c r="O44" i="3"/>
  <c r="L44" i="3"/>
  <c r="J44" i="3"/>
  <c r="F44" i="3"/>
  <c r="D44" i="3"/>
  <c r="P44" i="3" s="1"/>
  <c r="R43" i="3"/>
  <c r="Q43" i="3"/>
  <c r="Q45" i="3" s="1"/>
  <c r="R45" i="3" s="1"/>
  <c r="O43" i="3"/>
  <c r="L43" i="3"/>
  <c r="J43" i="3"/>
  <c r="J45" i="3" s="1"/>
  <c r="F43" i="3"/>
  <c r="D43" i="3"/>
  <c r="P43" i="3" s="1"/>
  <c r="K41" i="3"/>
  <c r="L41" i="3" s="1"/>
  <c r="I41" i="3"/>
  <c r="F41" i="3"/>
  <c r="E41" i="3"/>
  <c r="C41" i="3"/>
  <c r="Q40" i="3"/>
  <c r="R40" i="3" s="1"/>
  <c r="O40" i="3"/>
  <c r="O41" i="3" s="1"/>
  <c r="L40" i="3"/>
  <c r="J40" i="3"/>
  <c r="J41" i="3" s="1"/>
  <c r="F40" i="3"/>
  <c r="D40" i="3"/>
  <c r="D41" i="3" s="1"/>
  <c r="Q39" i="3"/>
  <c r="Q105" i="3" s="1"/>
  <c r="R105" i="3" s="1"/>
  <c r="O39" i="3"/>
  <c r="O105" i="3" s="1"/>
  <c r="L39" i="3"/>
  <c r="J39" i="3"/>
  <c r="J105" i="3" s="1"/>
  <c r="F39" i="3"/>
  <c r="D39" i="3"/>
  <c r="D105" i="3" s="1"/>
  <c r="O37" i="3"/>
  <c r="L37" i="3"/>
  <c r="K37" i="3"/>
  <c r="I37" i="3"/>
  <c r="E37" i="3"/>
  <c r="F37" i="3" s="1"/>
  <c r="C37" i="3"/>
  <c r="R36" i="3"/>
  <c r="Q36" i="3"/>
  <c r="Q37" i="3" s="1"/>
  <c r="R37" i="3" s="1"/>
  <c r="O36" i="3"/>
  <c r="L36" i="3"/>
  <c r="J36" i="3"/>
  <c r="J37" i="3" s="1"/>
  <c r="F36" i="3"/>
  <c r="D36" i="3"/>
  <c r="P36" i="3" s="1"/>
  <c r="P37" i="3" s="1"/>
  <c r="K34" i="3"/>
  <c r="L34" i="3" s="1"/>
  <c r="I34" i="3"/>
  <c r="E34" i="3"/>
  <c r="F34" i="3" s="1"/>
  <c r="C34" i="3"/>
  <c r="Q33" i="3"/>
  <c r="R33" i="3" s="1"/>
  <c r="O33" i="3"/>
  <c r="L33" i="3"/>
  <c r="J33" i="3"/>
  <c r="F33" i="3"/>
  <c r="D33" i="3"/>
  <c r="P33" i="3" s="1"/>
  <c r="Q32" i="3"/>
  <c r="R32" i="3" s="1"/>
  <c r="O32" i="3"/>
  <c r="L32" i="3"/>
  <c r="J32" i="3"/>
  <c r="F32" i="3"/>
  <c r="D32" i="3"/>
  <c r="P32" i="3" s="1"/>
  <c r="Q31" i="3"/>
  <c r="R31" i="3" s="1"/>
  <c r="O31" i="3"/>
  <c r="L31" i="3"/>
  <c r="J31" i="3"/>
  <c r="F31" i="3"/>
  <c r="D31" i="3"/>
  <c r="Q30" i="3"/>
  <c r="R30" i="3" s="1"/>
  <c r="O30" i="3"/>
  <c r="O34" i="3" s="1"/>
  <c r="L30" i="3"/>
  <c r="J30" i="3"/>
  <c r="F30" i="3"/>
  <c r="D30" i="3"/>
  <c r="O28" i="3"/>
  <c r="L28" i="3"/>
  <c r="K28" i="3"/>
  <c r="I28" i="3"/>
  <c r="E28" i="3"/>
  <c r="C28" i="3"/>
  <c r="F28" i="3" s="1"/>
  <c r="R27" i="3"/>
  <c r="Q27" i="3"/>
  <c r="O27" i="3"/>
  <c r="L27" i="3"/>
  <c r="J27" i="3"/>
  <c r="F27" i="3"/>
  <c r="D27" i="3"/>
  <c r="P27" i="3" s="1"/>
  <c r="R26" i="3"/>
  <c r="Q26" i="3"/>
  <c r="O26" i="3"/>
  <c r="L26" i="3"/>
  <c r="J26" i="3"/>
  <c r="F26" i="3"/>
  <c r="D26" i="3"/>
  <c r="P26" i="3" s="1"/>
  <c r="R25" i="3"/>
  <c r="Q25" i="3"/>
  <c r="Q28" i="3" s="1"/>
  <c r="O25" i="3"/>
  <c r="L25" i="3"/>
  <c r="J25" i="3"/>
  <c r="F25" i="3"/>
  <c r="D25" i="3"/>
  <c r="P25" i="3" s="1"/>
  <c r="K23" i="3"/>
  <c r="J23" i="3"/>
  <c r="I23" i="3"/>
  <c r="F23" i="3"/>
  <c r="E23" i="3"/>
  <c r="D23" i="3"/>
  <c r="C23" i="3"/>
  <c r="Q22" i="3"/>
  <c r="P22" i="3"/>
  <c r="O22" i="3"/>
  <c r="L22" i="3"/>
  <c r="J22" i="3"/>
  <c r="F22" i="3"/>
  <c r="D22" i="3"/>
  <c r="Q21" i="3"/>
  <c r="P21" i="3"/>
  <c r="O21" i="3"/>
  <c r="O106" i="3" s="1"/>
  <c r="L21" i="3"/>
  <c r="J21" i="3"/>
  <c r="J106" i="3" s="1"/>
  <c r="F21" i="3"/>
  <c r="D21" i="3"/>
  <c r="D106" i="3" s="1"/>
  <c r="Q20" i="3"/>
  <c r="P20" i="3"/>
  <c r="O20" i="3"/>
  <c r="O104" i="3" s="1"/>
  <c r="L20" i="3"/>
  <c r="J20" i="3"/>
  <c r="F20" i="3"/>
  <c r="D20" i="3"/>
  <c r="Q19" i="3"/>
  <c r="P19" i="3"/>
  <c r="O19" i="3"/>
  <c r="O103" i="3" s="1"/>
  <c r="L19" i="3"/>
  <c r="J19" i="3"/>
  <c r="F19" i="3"/>
  <c r="D19" i="3"/>
  <c r="Q18" i="3"/>
  <c r="P18" i="3"/>
  <c r="P23" i="3" s="1"/>
  <c r="O18" i="3"/>
  <c r="L18" i="3"/>
  <c r="J18" i="3"/>
  <c r="F18" i="3"/>
  <c r="D18" i="3"/>
  <c r="Q16" i="3"/>
  <c r="K16" i="3"/>
  <c r="E16" i="3"/>
  <c r="D16" i="3"/>
  <c r="C16" i="3"/>
  <c r="Q15" i="3"/>
  <c r="J15" i="3"/>
  <c r="J107" i="3" s="1"/>
  <c r="I15" i="3"/>
  <c r="F15" i="3"/>
  <c r="D15" i="3"/>
  <c r="D107" i="3" s="1"/>
  <c r="Q14" i="3"/>
  <c r="J14" i="3"/>
  <c r="I14" i="3"/>
  <c r="F14" i="3"/>
  <c r="D14" i="3"/>
  <c r="P14" i="3" s="1"/>
  <c r="L12" i="3"/>
  <c r="K12" i="3"/>
  <c r="J12" i="3"/>
  <c r="I12" i="3"/>
  <c r="E12" i="3"/>
  <c r="F12" i="3" s="1"/>
  <c r="C12" i="3"/>
  <c r="Q11" i="3"/>
  <c r="Q12" i="3" s="1"/>
  <c r="P11" i="3"/>
  <c r="P12" i="3" s="1"/>
  <c r="O11" i="3"/>
  <c r="O12" i="3" s="1"/>
  <c r="L11" i="3"/>
  <c r="J11" i="3"/>
  <c r="F11" i="3"/>
  <c r="D11" i="3"/>
  <c r="D12" i="3" s="1"/>
  <c r="O9" i="3"/>
  <c r="L9" i="3"/>
  <c r="K9" i="3"/>
  <c r="I9" i="3"/>
  <c r="E9" i="3"/>
  <c r="C9" i="3"/>
  <c r="L8" i="3"/>
  <c r="F8" i="3"/>
  <c r="Q7" i="3"/>
  <c r="Q102" i="3" s="1"/>
  <c r="R102" i="3" s="1"/>
  <c r="O7" i="3"/>
  <c r="O102" i="3" s="1"/>
  <c r="L7" i="3"/>
  <c r="J7" i="3"/>
  <c r="J102" i="3" s="1"/>
  <c r="F7" i="3"/>
  <c r="D7" i="3"/>
  <c r="Q6" i="3"/>
  <c r="Q9" i="3" s="1"/>
  <c r="O6" i="3"/>
  <c r="L6" i="3"/>
  <c r="J6" i="3"/>
  <c r="F6" i="3"/>
  <c r="D6" i="3"/>
  <c r="D9" i="3" s="1"/>
  <c r="Q4" i="3"/>
  <c r="P4" i="3"/>
  <c r="O4" i="3"/>
  <c r="K4" i="3"/>
  <c r="J4" i="3"/>
  <c r="I4" i="3"/>
  <c r="G1" i="3"/>
  <c r="M1" i="3" s="1"/>
  <c r="H176" i="2"/>
  <c r="H169" i="2"/>
  <c r="J167" i="2"/>
  <c r="H167" i="2"/>
  <c r="G167" i="2"/>
  <c r="D167" i="2"/>
  <c r="H166" i="2"/>
  <c r="G166" i="2"/>
  <c r="F166" i="2"/>
  <c r="F167" i="2" s="1"/>
  <c r="C166" i="2"/>
  <c r="H165" i="2"/>
  <c r="G165" i="2"/>
  <c r="F165" i="2"/>
  <c r="C165" i="2"/>
  <c r="Q164" i="2"/>
  <c r="H164" i="2"/>
  <c r="G164" i="2"/>
  <c r="F164" i="2"/>
  <c r="E164" i="2"/>
  <c r="E167" i="2" s="1"/>
  <c r="D164" i="2"/>
  <c r="C164" i="2"/>
  <c r="C167" i="2" s="1"/>
  <c r="J162" i="2"/>
  <c r="H162" i="2"/>
  <c r="G162" i="2"/>
  <c r="F162" i="2"/>
  <c r="E162" i="2"/>
  <c r="D162" i="2"/>
  <c r="C162" i="2"/>
  <c r="L161" i="2"/>
  <c r="K161" i="2"/>
  <c r="I161" i="2"/>
  <c r="L160" i="2"/>
  <c r="K160" i="2"/>
  <c r="I160" i="2"/>
  <c r="S159" i="2"/>
  <c r="L159" i="2"/>
  <c r="K159" i="2"/>
  <c r="I159" i="2"/>
  <c r="I164" i="2" s="1"/>
  <c r="I167" i="2" s="1"/>
  <c r="H158" i="2"/>
  <c r="G158" i="2"/>
  <c r="F158" i="2"/>
  <c r="E158" i="2"/>
  <c r="D158" i="2"/>
  <c r="C158" i="2"/>
  <c r="L157" i="2"/>
  <c r="K157" i="2"/>
  <c r="I157" i="2"/>
  <c r="I166" i="2" s="1"/>
  <c r="L156" i="2"/>
  <c r="K156" i="2"/>
  <c r="I156" i="2"/>
  <c r="I165" i="2" s="1"/>
  <c r="L155" i="2"/>
  <c r="K155" i="2"/>
  <c r="I155" i="2"/>
  <c r="P151" i="2"/>
  <c r="S150" i="2"/>
  <c r="T150" i="2" s="1"/>
  <c r="R150" i="2"/>
  <c r="U150" i="2" s="1"/>
  <c r="Q150" i="2"/>
  <c r="V150" i="2" s="1"/>
  <c r="P150" i="2"/>
  <c r="O150" i="2"/>
  <c r="H150" i="2"/>
  <c r="G150" i="2"/>
  <c r="AB150" i="2" s="1"/>
  <c r="F150" i="2"/>
  <c r="E150" i="2"/>
  <c r="D150" i="2"/>
  <c r="C150" i="2"/>
  <c r="S149" i="2"/>
  <c r="R149" i="2"/>
  <c r="AB149" i="2" s="1"/>
  <c r="Q149" i="2"/>
  <c r="V149" i="2" s="1"/>
  <c r="P149" i="2"/>
  <c r="O149" i="2"/>
  <c r="I149" i="2"/>
  <c r="H149" i="2"/>
  <c r="J149" i="2" s="1"/>
  <c r="G149" i="2"/>
  <c r="F149" i="2"/>
  <c r="L149" i="2" s="1"/>
  <c r="E149" i="2"/>
  <c r="D149" i="2"/>
  <c r="C149" i="2"/>
  <c r="R148" i="2"/>
  <c r="AB148" i="2" s="1"/>
  <c r="P148" i="2"/>
  <c r="O148" i="2"/>
  <c r="J148" i="2"/>
  <c r="I148" i="2"/>
  <c r="H148" i="2"/>
  <c r="G148" i="2"/>
  <c r="E148" i="2"/>
  <c r="D148" i="2"/>
  <c r="C148" i="2"/>
  <c r="S147" i="2"/>
  <c r="AC147" i="2" s="1"/>
  <c r="R147" i="2"/>
  <c r="AB147" i="2" s="1"/>
  <c r="Q147" i="2"/>
  <c r="P147" i="2"/>
  <c r="V147" i="2" s="1"/>
  <c r="O147" i="2"/>
  <c r="K147" i="2"/>
  <c r="J147" i="2"/>
  <c r="I147" i="2"/>
  <c r="H147" i="2"/>
  <c r="G147" i="2"/>
  <c r="F147" i="2"/>
  <c r="L147" i="2" s="1"/>
  <c r="E147" i="2"/>
  <c r="D147" i="2"/>
  <c r="C147" i="2"/>
  <c r="V146" i="2"/>
  <c r="U146" i="2"/>
  <c r="T146" i="2"/>
  <c r="S146" i="2"/>
  <c r="AC146" i="2" s="1"/>
  <c r="R146" i="2"/>
  <c r="Q146" i="2"/>
  <c r="P146" i="2"/>
  <c r="O146" i="2"/>
  <c r="L146" i="2"/>
  <c r="K146" i="2"/>
  <c r="J146" i="2"/>
  <c r="H146" i="2"/>
  <c r="G146" i="2"/>
  <c r="I146" i="2" s="1"/>
  <c r="F146" i="2"/>
  <c r="E146" i="2"/>
  <c r="D146" i="2"/>
  <c r="C146" i="2"/>
  <c r="AE145" i="2"/>
  <c r="AB145" i="2"/>
  <c r="Y145" i="2"/>
  <c r="V145" i="2"/>
  <c r="T145" i="2"/>
  <c r="S145" i="2"/>
  <c r="R145" i="2"/>
  <c r="Q145" i="2"/>
  <c r="P145" i="2"/>
  <c r="O145" i="2"/>
  <c r="L145" i="2"/>
  <c r="K145" i="2"/>
  <c r="I145" i="2"/>
  <c r="H145" i="2"/>
  <c r="AC145" i="2" s="1"/>
  <c r="AD145" i="2" s="1"/>
  <c r="G145" i="2"/>
  <c r="F145" i="2"/>
  <c r="E145" i="2"/>
  <c r="D145" i="2"/>
  <c r="C145" i="2"/>
  <c r="V144" i="2"/>
  <c r="U144" i="2"/>
  <c r="T144" i="2"/>
  <c r="S144" i="2"/>
  <c r="AC144" i="2" s="1"/>
  <c r="R144" i="2"/>
  <c r="Q144" i="2"/>
  <c r="P144" i="2"/>
  <c r="O144" i="2"/>
  <c r="K144" i="2"/>
  <c r="J144" i="2"/>
  <c r="H144" i="2"/>
  <c r="G144" i="2"/>
  <c r="I144" i="2" s="1"/>
  <c r="F144" i="2"/>
  <c r="E144" i="2"/>
  <c r="D144" i="2"/>
  <c r="L144" i="2" s="1"/>
  <c r="C144" i="2"/>
  <c r="U143" i="2"/>
  <c r="S143" i="2"/>
  <c r="R143" i="2"/>
  <c r="T143" i="2" s="1"/>
  <c r="P143" i="2"/>
  <c r="O143" i="2"/>
  <c r="H143" i="2"/>
  <c r="J143" i="2" s="1"/>
  <c r="G143" i="2"/>
  <c r="F143" i="2"/>
  <c r="D143" i="2"/>
  <c r="L143" i="2" s="1"/>
  <c r="C143" i="2"/>
  <c r="V142" i="2"/>
  <c r="S142" i="2"/>
  <c r="U142" i="2" s="1"/>
  <c r="R142" i="2"/>
  <c r="Q142" i="2"/>
  <c r="P142" i="2"/>
  <c r="O142" i="2"/>
  <c r="I142" i="2"/>
  <c r="H142" i="2"/>
  <c r="J142" i="2" s="1"/>
  <c r="G142" i="2"/>
  <c r="AB142" i="2" s="1"/>
  <c r="F142" i="2"/>
  <c r="E142" i="2"/>
  <c r="D142" i="2"/>
  <c r="L142" i="2" s="1"/>
  <c r="C142" i="2"/>
  <c r="T141" i="2"/>
  <c r="S141" i="2"/>
  <c r="U141" i="2" s="1"/>
  <c r="R141" i="2"/>
  <c r="Q141" i="2"/>
  <c r="V141" i="2" s="1"/>
  <c r="P141" i="2"/>
  <c r="O141" i="2"/>
  <c r="O151" i="2" s="1"/>
  <c r="H141" i="2"/>
  <c r="AC141" i="2" s="1"/>
  <c r="G141" i="2"/>
  <c r="F141" i="2"/>
  <c r="E141" i="2"/>
  <c r="D141" i="2"/>
  <c r="C141" i="2"/>
  <c r="AA140" i="2"/>
  <c r="Z140" i="2"/>
  <c r="Y140" i="2"/>
  <c r="S140" i="2"/>
  <c r="T140" i="2" s="1"/>
  <c r="R140" i="2"/>
  <c r="U140" i="2" s="1"/>
  <c r="Q140" i="2"/>
  <c r="P140" i="2"/>
  <c r="O140" i="2"/>
  <c r="H140" i="2"/>
  <c r="G140" i="2"/>
  <c r="AB140" i="2" s="1"/>
  <c r="F140" i="2"/>
  <c r="E140" i="2"/>
  <c r="D140" i="2"/>
  <c r="C140" i="2"/>
  <c r="AC139" i="2"/>
  <c r="S139" i="2"/>
  <c r="T139" i="2" s="1"/>
  <c r="R139" i="2"/>
  <c r="Q139" i="2"/>
  <c r="V139" i="2" s="1"/>
  <c r="P139" i="2"/>
  <c r="O139" i="2"/>
  <c r="H139" i="2"/>
  <c r="I139" i="2" s="1"/>
  <c r="G139" i="2"/>
  <c r="AB139" i="2" s="1"/>
  <c r="F139" i="2"/>
  <c r="E139" i="2"/>
  <c r="D139" i="2"/>
  <c r="C139" i="2"/>
  <c r="AA138" i="2"/>
  <c r="Z138" i="2"/>
  <c r="S138" i="2"/>
  <c r="T138" i="2" s="1"/>
  <c r="R138" i="2"/>
  <c r="U138" i="2" s="1"/>
  <c r="Q138" i="2"/>
  <c r="V138" i="2" s="1"/>
  <c r="P138" i="2"/>
  <c r="O138" i="2"/>
  <c r="H138" i="2"/>
  <c r="G138" i="2"/>
  <c r="AB138" i="2" s="1"/>
  <c r="F138" i="2"/>
  <c r="E138" i="2"/>
  <c r="D138" i="2"/>
  <c r="C138" i="2"/>
  <c r="AB137" i="2"/>
  <c r="S137" i="2"/>
  <c r="R137" i="2"/>
  <c r="R151" i="2" s="1"/>
  <c r="Q137" i="2"/>
  <c r="V137" i="2" s="1"/>
  <c r="P137" i="2"/>
  <c r="O137" i="2"/>
  <c r="H137" i="2"/>
  <c r="AC137" i="2" s="1"/>
  <c r="G137" i="2"/>
  <c r="F137" i="2"/>
  <c r="L137" i="2" s="1"/>
  <c r="E137" i="2"/>
  <c r="D137" i="2"/>
  <c r="D151" i="2" s="1"/>
  <c r="C137" i="2"/>
  <c r="AC136" i="2"/>
  <c r="AB136" i="2"/>
  <c r="AD136" i="2" s="1"/>
  <c r="U135" i="2"/>
  <c r="S135" i="2"/>
  <c r="AC135" i="2" s="1"/>
  <c r="R135" i="2"/>
  <c r="Q135" i="2"/>
  <c r="P135" i="2"/>
  <c r="V135" i="2" s="1"/>
  <c r="O135" i="2"/>
  <c r="H135" i="2"/>
  <c r="G135" i="2"/>
  <c r="J135" i="2" s="1"/>
  <c r="F135" i="2"/>
  <c r="E135" i="2"/>
  <c r="D135" i="2"/>
  <c r="C135" i="2"/>
  <c r="AD134" i="2"/>
  <c r="AC134" i="2"/>
  <c r="AB134" i="2"/>
  <c r="AE134" i="2" s="1"/>
  <c r="AA134" i="2"/>
  <c r="Z134" i="2"/>
  <c r="Z135" i="2" s="1"/>
  <c r="Y134" i="2"/>
  <c r="V134" i="2"/>
  <c r="U134" i="2"/>
  <c r="T134" i="2"/>
  <c r="L134" i="2"/>
  <c r="K134" i="2"/>
  <c r="J134" i="2"/>
  <c r="I134" i="2"/>
  <c r="AE133" i="2"/>
  <c r="AD133" i="2"/>
  <c r="AC133" i="2"/>
  <c r="AB133" i="2"/>
  <c r="AA133" i="2"/>
  <c r="Z133" i="2"/>
  <c r="Y133" i="2"/>
  <c r="Y135" i="2" s="1"/>
  <c r="V133" i="2"/>
  <c r="T133" i="2"/>
  <c r="L133" i="2"/>
  <c r="K133" i="2"/>
  <c r="I133" i="2"/>
  <c r="AC132" i="2"/>
  <c r="AB132" i="2"/>
  <c r="AA132" i="2"/>
  <c r="AA135" i="2" s="1"/>
  <c r="Z132" i="2"/>
  <c r="Y132" i="2"/>
  <c r="V132" i="2"/>
  <c r="U132" i="2"/>
  <c r="T132" i="2"/>
  <c r="L132" i="2"/>
  <c r="K132" i="2"/>
  <c r="J132" i="2"/>
  <c r="I132" i="2"/>
  <c r="I135" i="2" s="1"/>
  <c r="AE131" i="2"/>
  <c r="AD131" i="2"/>
  <c r="AC131" i="2"/>
  <c r="AB131" i="2"/>
  <c r="AC130" i="2"/>
  <c r="AE130" i="2" s="1"/>
  <c r="S130" i="2"/>
  <c r="U130" i="2" s="1"/>
  <c r="R130" i="2"/>
  <c r="AB130" i="2" s="1"/>
  <c r="Q130" i="2"/>
  <c r="V130" i="2" s="1"/>
  <c r="P130" i="2"/>
  <c r="O130" i="2"/>
  <c r="J130" i="2"/>
  <c r="I130" i="2"/>
  <c r="H130" i="2"/>
  <c r="G130" i="2"/>
  <c r="F130" i="2"/>
  <c r="L130" i="2" s="1"/>
  <c r="D130" i="2"/>
  <c r="C130" i="2"/>
  <c r="AE129" i="2"/>
  <c r="AD129" i="2"/>
  <c r="AC129" i="2"/>
  <c r="AB129" i="2"/>
  <c r="AA129" i="2"/>
  <c r="Z129" i="2"/>
  <c r="Y129" i="2"/>
  <c r="V129" i="2"/>
  <c r="U129" i="2"/>
  <c r="T129" i="2"/>
  <c r="L129" i="2"/>
  <c r="K129" i="2"/>
  <c r="J129" i="2"/>
  <c r="I129" i="2"/>
  <c r="AC128" i="2"/>
  <c r="AB128" i="2"/>
  <c r="AA128" i="2"/>
  <c r="Z128" i="2"/>
  <c r="Y128" i="2"/>
  <c r="V128" i="2"/>
  <c r="T128" i="2"/>
  <c r="L128" i="2"/>
  <c r="K128" i="2"/>
  <c r="I128" i="2"/>
  <c r="AC127" i="2"/>
  <c r="AE127" i="2" s="1"/>
  <c r="AB127" i="2"/>
  <c r="U127" i="2"/>
  <c r="T127" i="2"/>
  <c r="T130" i="2" s="1"/>
  <c r="J127" i="2"/>
  <c r="I127" i="2"/>
  <c r="AC126" i="2"/>
  <c r="AE126" i="2" s="1"/>
  <c r="AB126" i="2"/>
  <c r="AA126" i="2"/>
  <c r="Z126" i="2"/>
  <c r="Y126" i="2"/>
  <c r="V126" i="2"/>
  <c r="U126" i="2"/>
  <c r="T126" i="2"/>
  <c r="L126" i="2"/>
  <c r="J126" i="2"/>
  <c r="I126" i="2"/>
  <c r="E126" i="2"/>
  <c r="AE125" i="2"/>
  <c r="AC125" i="2"/>
  <c r="AB125" i="2"/>
  <c r="AD125" i="2" s="1"/>
  <c r="AA125" i="2"/>
  <c r="Z125" i="2"/>
  <c r="Y125" i="2"/>
  <c r="V125" i="2"/>
  <c r="U125" i="2"/>
  <c r="T125" i="2"/>
  <c r="L125" i="2"/>
  <c r="K125" i="2"/>
  <c r="J125" i="2"/>
  <c r="I125" i="2"/>
  <c r="AC124" i="2"/>
  <c r="AE124" i="2" s="1"/>
  <c r="AB124" i="2"/>
  <c r="AA124" i="2"/>
  <c r="Z124" i="2"/>
  <c r="Y124" i="2"/>
  <c r="V124" i="2"/>
  <c r="U124" i="2"/>
  <c r="T124" i="2"/>
  <c r="L124" i="2"/>
  <c r="K124" i="2"/>
  <c r="J124" i="2"/>
  <c r="I124" i="2"/>
  <c r="AC123" i="2"/>
  <c r="AB123" i="2"/>
  <c r="AA123" i="2"/>
  <c r="AA130" i="2" s="1"/>
  <c r="Z123" i="2"/>
  <c r="Y123" i="2"/>
  <c r="Y130" i="2" s="1"/>
  <c r="V123" i="2"/>
  <c r="T123" i="2"/>
  <c r="L123" i="2"/>
  <c r="K123" i="2"/>
  <c r="I123" i="2"/>
  <c r="AE122" i="2"/>
  <c r="AC122" i="2"/>
  <c r="AB122" i="2"/>
  <c r="AD122" i="2" s="1"/>
  <c r="AB121" i="2"/>
  <c r="S121" i="2"/>
  <c r="R121" i="2"/>
  <c r="Q121" i="2"/>
  <c r="V121" i="2" s="1"/>
  <c r="P121" i="2"/>
  <c r="O121" i="2"/>
  <c r="H121" i="2"/>
  <c r="J121" i="2" s="1"/>
  <c r="G121" i="2"/>
  <c r="F121" i="2"/>
  <c r="L121" i="2" s="1"/>
  <c r="E121" i="2"/>
  <c r="D121" i="2"/>
  <c r="C121" i="2"/>
  <c r="AC120" i="2"/>
  <c r="AB120" i="2"/>
  <c r="AD120" i="2" s="1"/>
  <c r="AA120" i="2"/>
  <c r="Z120" i="2"/>
  <c r="Y120" i="2"/>
  <c r="V120" i="2"/>
  <c r="T120" i="2"/>
  <c r="L120" i="2"/>
  <c r="K120" i="2"/>
  <c r="I120" i="2"/>
  <c r="AC119" i="2"/>
  <c r="AE119" i="2" s="1"/>
  <c r="AB119" i="2"/>
  <c r="AA119" i="2"/>
  <c r="Z119" i="2"/>
  <c r="Y119" i="2"/>
  <c r="V119" i="2"/>
  <c r="U119" i="2"/>
  <c r="T119" i="2"/>
  <c r="L119" i="2"/>
  <c r="K119" i="2"/>
  <c r="J119" i="2"/>
  <c r="I119" i="2"/>
  <c r="AE118" i="2"/>
  <c r="AD118" i="2"/>
  <c r="AC118" i="2"/>
  <c r="AB118" i="2"/>
  <c r="U118" i="2"/>
  <c r="T118" i="2"/>
  <c r="J118" i="2"/>
  <c r="I118" i="2"/>
  <c r="AE117" i="2"/>
  <c r="AD117" i="2"/>
  <c r="AC117" i="2"/>
  <c r="AB117" i="2"/>
  <c r="AA117" i="2"/>
  <c r="Z117" i="2"/>
  <c r="Y117" i="2"/>
  <c r="V117" i="2"/>
  <c r="U117" i="2"/>
  <c r="T117" i="2"/>
  <c r="L117" i="2"/>
  <c r="K117" i="2"/>
  <c r="J117" i="2"/>
  <c r="I117" i="2"/>
  <c r="AC116" i="2"/>
  <c r="AE116" i="2" s="1"/>
  <c r="AB116" i="2"/>
  <c r="AA116" i="2"/>
  <c r="Z116" i="2"/>
  <c r="Y116" i="2"/>
  <c r="V116" i="2"/>
  <c r="U116" i="2"/>
  <c r="T116" i="2"/>
  <c r="L116" i="2"/>
  <c r="K116" i="2"/>
  <c r="J116" i="2"/>
  <c r="I116" i="2"/>
  <c r="AC115" i="2"/>
  <c r="AB115" i="2"/>
  <c r="AA115" i="2"/>
  <c r="AA121" i="2" s="1"/>
  <c r="Z115" i="2"/>
  <c r="Y115" i="2"/>
  <c r="V115" i="2"/>
  <c r="U115" i="2"/>
  <c r="T115" i="2"/>
  <c r="L115" i="2"/>
  <c r="K115" i="2"/>
  <c r="J115" i="2"/>
  <c r="I115" i="2"/>
  <c r="I121" i="2" s="1"/>
  <c r="AC114" i="2"/>
  <c r="AE114" i="2" s="1"/>
  <c r="AB114" i="2"/>
  <c r="AA114" i="2"/>
  <c r="Z114" i="2"/>
  <c r="Y114" i="2"/>
  <c r="Y121" i="2" s="1"/>
  <c r="V114" i="2"/>
  <c r="T114" i="2"/>
  <c r="L114" i="2"/>
  <c r="K114" i="2"/>
  <c r="I114" i="2"/>
  <c r="AC113" i="2"/>
  <c r="AB113" i="2"/>
  <c r="AD113" i="2" s="1"/>
  <c r="V112" i="2"/>
  <c r="S112" i="2"/>
  <c r="U112" i="2" s="1"/>
  <c r="R112" i="2"/>
  <c r="Q112" i="2"/>
  <c r="P112" i="2"/>
  <c r="O112" i="2"/>
  <c r="H112" i="2"/>
  <c r="J112" i="2" s="1"/>
  <c r="G112" i="2"/>
  <c r="AB112" i="2" s="1"/>
  <c r="F112" i="2"/>
  <c r="K112" i="2" s="1"/>
  <c r="E112" i="2"/>
  <c r="D112" i="2"/>
  <c r="C112" i="2"/>
  <c r="AD111" i="2"/>
  <c r="AC111" i="2"/>
  <c r="AE111" i="2" s="1"/>
  <c r="AB111" i="2"/>
  <c r="AA111" i="2"/>
  <c r="Z111" i="2"/>
  <c r="Z112" i="2" s="1"/>
  <c r="Y111" i="2"/>
  <c r="V111" i="2"/>
  <c r="U111" i="2"/>
  <c r="T111" i="2"/>
  <c r="L111" i="2"/>
  <c r="K111" i="2"/>
  <c r="J111" i="2"/>
  <c r="I111" i="2"/>
  <c r="AE110" i="2"/>
  <c r="AC110" i="2"/>
  <c r="AB110" i="2"/>
  <c r="AD110" i="2" s="1"/>
  <c r="AA110" i="2"/>
  <c r="Z110" i="2"/>
  <c r="Y110" i="2"/>
  <c r="Y112" i="2" s="1"/>
  <c r="V110" i="2"/>
  <c r="U110" i="2"/>
  <c r="T110" i="2"/>
  <c r="L110" i="2"/>
  <c r="K110" i="2"/>
  <c r="J110" i="2"/>
  <c r="I110" i="2"/>
  <c r="AC109" i="2"/>
  <c r="AE109" i="2" s="1"/>
  <c r="AB109" i="2"/>
  <c r="U109" i="2"/>
  <c r="T109" i="2"/>
  <c r="L109" i="2"/>
  <c r="J109" i="2"/>
  <c r="I109" i="2"/>
  <c r="AE108" i="2"/>
  <c r="AD108" i="2"/>
  <c r="AC108" i="2"/>
  <c r="AB108" i="2"/>
  <c r="AA108" i="2"/>
  <c r="Z108" i="2"/>
  <c r="Y108" i="2"/>
  <c r="V108" i="2"/>
  <c r="U108" i="2"/>
  <c r="T108" i="2"/>
  <c r="L108" i="2"/>
  <c r="K108" i="2"/>
  <c r="J108" i="2"/>
  <c r="I108" i="2"/>
  <c r="AC107" i="2"/>
  <c r="AB107" i="2"/>
  <c r="AA107" i="2"/>
  <c r="AA112" i="2" s="1"/>
  <c r="Z107" i="2"/>
  <c r="Y107" i="2"/>
  <c r="V107" i="2"/>
  <c r="T107" i="2"/>
  <c r="T112" i="2" s="1"/>
  <c r="L107" i="2"/>
  <c r="K107" i="2"/>
  <c r="I107" i="2"/>
  <c r="AC106" i="2"/>
  <c r="AE106" i="2" s="1"/>
  <c r="AB106" i="2"/>
  <c r="AB105" i="2"/>
  <c r="R105" i="2"/>
  <c r="P105" i="2"/>
  <c r="O105" i="2"/>
  <c r="H105" i="2"/>
  <c r="J105" i="2" s="1"/>
  <c r="G105" i="2"/>
  <c r="F105" i="2"/>
  <c r="L105" i="2" s="1"/>
  <c r="D105" i="2"/>
  <c r="C105" i="2"/>
  <c r="AE104" i="2"/>
  <c r="AD104" i="2"/>
  <c r="AC104" i="2"/>
  <c r="AB104" i="2"/>
  <c r="AA104" i="2"/>
  <c r="Z104" i="2"/>
  <c r="Y104" i="2"/>
  <c r="V104" i="2"/>
  <c r="U104" i="2"/>
  <c r="T104" i="2"/>
  <c r="L104" i="2"/>
  <c r="K104" i="2"/>
  <c r="J104" i="2"/>
  <c r="I104" i="2"/>
  <c r="AB103" i="2"/>
  <c r="AA103" i="2"/>
  <c r="Z103" i="2"/>
  <c r="Y103" i="2"/>
  <c r="S103" i="2"/>
  <c r="S148" i="2" s="1"/>
  <c r="R103" i="2"/>
  <c r="Q103" i="2"/>
  <c r="L103" i="2"/>
  <c r="K103" i="2"/>
  <c r="J103" i="2"/>
  <c r="I103" i="2"/>
  <c r="AC102" i="2"/>
  <c r="AE102" i="2" s="1"/>
  <c r="AB102" i="2"/>
  <c r="AA102" i="2"/>
  <c r="Z102" i="2"/>
  <c r="Y102" i="2"/>
  <c r="V102" i="2"/>
  <c r="T102" i="2"/>
  <c r="L102" i="2"/>
  <c r="I102" i="2"/>
  <c r="AE101" i="2"/>
  <c r="AC101" i="2"/>
  <c r="AB101" i="2"/>
  <c r="AD101" i="2" s="1"/>
  <c r="AA101" i="2"/>
  <c r="Z101" i="2"/>
  <c r="Y101" i="2"/>
  <c r="V101" i="2"/>
  <c r="T101" i="2"/>
  <c r="L101" i="2"/>
  <c r="K101" i="2"/>
  <c r="I101" i="2"/>
  <c r="AC100" i="2"/>
  <c r="AB100" i="2"/>
  <c r="AA100" i="2"/>
  <c r="AA144" i="2" s="1"/>
  <c r="Z100" i="2"/>
  <c r="Z144" i="2" s="1"/>
  <c r="Y100" i="2"/>
  <c r="Y144" i="2" s="1"/>
  <c r="V100" i="2"/>
  <c r="U100" i="2"/>
  <c r="T100" i="2"/>
  <c r="L100" i="2"/>
  <c r="K100" i="2"/>
  <c r="J100" i="2"/>
  <c r="I100" i="2"/>
  <c r="AD99" i="2"/>
  <c r="AC99" i="2"/>
  <c r="AE99" i="2" s="1"/>
  <c r="AB99" i="2"/>
  <c r="AA99" i="2"/>
  <c r="Z99" i="2"/>
  <c r="Y99" i="2"/>
  <c r="V99" i="2"/>
  <c r="U99" i="2"/>
  <c r="T99" i="2"/>
  <c r="Q99" i="2"/>
  <c r="L99" i="2"/>
  <c r="K99" i="2"/>
  <c r="J99" i="2"/>
  <c r="I99" i="2"/>
  <c r="E99" i="2"/>
  <c r="E105" i="2" s="1"/>
  <c r="AD98" i="2"/>
  <c r="AC98" i="2"/>
  <c r="AE98" i="2" s="1"/>
  <c r="AB98" i="2"/>
  <c r="AA98" i="2"/>
  <c r="AA142" i="2" s="1"/>
  <c r="Z98" i="2"/>
  <c r="Z142" i="2" s="1"/>
  <c r="Y98" i="2"/>
  <c r="Y142" i="2" s="1"/>
  <c r="V98" i="2"/>
  <c r="U98" i="2"/>
  <c r="T98" i="2"/>
  <c r="L98" i="2"/>
  <c r="K98" i="2"/>
  <c r="J98" i="2"/>
  <c r="I98" i="2"/>
  <c r="AE97" i="2"/>
  <c r="AC97" i="2"/>
  <c r="AB97" i="2"/>
  <c r="AD97" i="2" s="1"/>
  <c r="Z97" i="2"/>
  <c r="Y97" i="2"/>
  <c r="V97" i="2"/>
  <c r="U97" i="2"/>
  <c r="T97" i="2"/>
  <c r="Q97" i="2"/>
  <c r="AA97" i="2" s="1"/>
  <c r="L97" i="2"/>
  <c r="K97" i="2"/>
  <c r="J97" i="2"/>
  <c r="I97" i="2"/>
  <c r="AE96" i="2"/>
  <c r="AD96" i="2"/>
  <c r="AC96" i="2"/>
  <c r="AB96" i="2"/>
  <c r="AA96" i="2"/>
  <c r="Z96" i="2"/>
  <c r="Y96" i="2"/>
  <c r="V96" i="2"/>
  <c r="T96" i="2"/>
  <c r="L96" i="2"/>
  <c r="K96" i="2"/>
  <c r="I96" i="2"/>
  <c r="AC95" i="2"/>
  <c r="AB95" i="2"/>
  <c r="AE95" i="2" s="1"/>
  <c r="AA95" i="2"/>
  <c r="Z95" i="2"/>
  <c r="Z105" i="2" s="1"/>
  <c r="Y95" i="2"/>
  <c r="V95" i="2"/>
  <c r="T95" i="2"/>
  <c r="L95" i="2"/>
  <c r="K95" i="2"/>
  <c r="I95" i="2"/>
  <c r="I105" i="2" s="1"/>
  <c r="AE94" i="2"/>
  <c r="AD94" i="2"/>
  <c r="AC94" i="2"/>
  <c r="AB94" i="2"/>
  <c r="Z93" i="2"/>
  <c r="S93" i="2"/>
  <c r="R93" i="2"/>
  <c r="U93" i="2" s="1"/>
  <c r="Q93" i="2"/>
  <c r="V93" i="2" s="1"/>
  <c r="P93" i="2"/>
  <c r="O93" i="2"/>
  <c r="H93" i="2"/>
  <c r="G93" i="2"/>
  <c r="AB93" i="2" s="1"/>
  <c r="F93" i="2"/>
  <c r="E93" i="2"/>
  <c r="D93" i="2"/>
  <c r="C93" i="2"/>
  <c r="AC92" i="2"/>
  <c r="AB92" i="2"/>
  <c r="AA92" i="2"/>
  <c r="Z92" i="2"/>
  <c r="Y92" i="2"/>
  <c r="V92" i="2"/>
  <c r="U92" i="2"/>
  <c r="T92" i="2"/>
  <c r="L92" i="2"/>
  <c r="K92" i="2"/>
  <c r="J92" i="2"/>
  <c r="I92" i="2"/>
  <c r="AD91" i="2"/>
  <c r="AC91" i="2"/>
  <c r="AE91" i="2" s="1"/>
  <c r="AB91" i="2"/>
  <c r="AA91" i="2"/>
  <c r="Z91" i="2"/>
  <c r="Y91" i="2"/>
  <c r="V91" i="2"/>
  <c r="T91" i="2"/>
  <c r="L91" i="2"/>
  <c r="K91" i="2"/>
  <c r="I91" i="2"/>
  <c r="AE90" i="2"/>
  <c r="AC90" i="2"/>
  <c r="AD90" i="2" s="1"/>
  <c r="AB90" i="2"/>
  <c r="AA90" i="2"/>
  <c r="Z90" i="2"/>
  <c r="Y90" i="2"/>
  <c r="V90" i="2"/>
  <c r="U90" i="2"/>
  <c r="T90" i="2"/>
  <c r="L90" i="2"/>
  <c r="K90" i="2"/>
  <c r="J90" i="2"/>
  <c r="I90" i="2"/>
  <c r="E90" i="2"/>
  <c r="AC89" i="2"/>
  <c r="AE89" i="2" s="1"/>
  <c r="AB89" i="2"/>
  <c r="AA89" i="2"/>
  <c r="Z89" i="2"/>
  <c r="Y89" i="2"/>
  <c r="V89" i="2"/>
  <c r="U89" i="2"/>
  <c r="T89" i="2"/>
  <c r="L89" i="2"/>
  <c r="K89" i="2"/>
  <c r="J89" i="2"/>
  <c r="I89" i="2"/>
  <c r="AC88" i="2"/>
  <c r="AD88" i="2" s="1"/>
  <c r="AB88" i="2"/>
  <c r="AE88" i="2" s="1"/>
  <c r="AA88" i="2"/>
  <c r="AA93" i="2" s="1"/>
  <c r="Z88" i="2"/>
  <c r="Z139" i="2" s="1"/>
  <c r="Y88" i="2"/>
  <c r="Y93" i="2" s="1"/>
  <c r="V88" i="2"/>
  <c r="T88" i="2"/>
  <c r="L88" i="2"/>
  <c r="K88" i="2"/>
  <c r="I88" i="2"/>
  <c r="AE87" i="2"/>
  <c r="AD87" i="2"/>
  <c r="AC87" i="2"/>
  <c r="AB87" i="2"/>
  <c r="AA87" i="2"/>
  <c r="Z87" i="2"/>
  <c r="Y87" i="2"/>
  <c r="V87" i="2"/>
  <c r="T87" i="2"/>
  <c r="T93" i="2" s="1"/>
  <c r="L87" i="2"/>
  <c r="K87" i="2"/>
  <c r="I87" i="2"/>
  <c r="AC86" i="2"/>
  <c r="AB86" i="2"/>
  <c r="AE86" i="2" s="1"/>
  <c r="AE85" i="2"/>
  <c r="AD85" i="2"/>
  <c r="V85" i="2"/>
  <c r="U85" i="2"/>
  <c r="T85" i="2"/>
  <c r="S85" i="2"/>
  <c r="AC85" i="2" s="1"/>
  <c r="R85" i="2"/>
  <c r="Q85" i="2"/>
  <c r="P85" i="2"/>
  <c r="O85" i="2"/>
  <c r="L85" i="2"/>
  <c r="K85" i="2"/>
  <c r="J85" i="2"/>
  <c r="H85" i="2"/>
  <c r="G85" i="2"/>
  <c r="AB85" i="2" s="1"/>
  <c r="F85" i="2"/>
  <c r="E85" i="2"/>
  <c r="D85" i="2"/>
  <c r="C85" i="2"/>
  <c r="AE84" i="2"/>
  <c r="AC84" i="2"/>
  <c r="AB84" i="2"/>
  <c r="AD84" i="2" s="1"/>
  <c r="AA84" i="2"/>
  <c r="Z84" i="2"/>
  <c r="Y84" i="2"/>
  <c r="V84" i="2"/>
  <c r="T84" i="2"/>
  <c r="L84" i="2"/>
  <c r="K84" i="2"/>
  <c r="I84" i="2"/>
  <c r="AC83" i="2"/>
  <c r="AB83" i="2"/>
  <c r="AA83" i="2"/>
  <c r="Z83" i="2"/>
  <c r="Y83" i="2"/>
  <c r="V83" i="2"/>
  <c r="U83" i="2"/>
  <c r="T83" i="2"/>
  <c r="L83" i="2"/>
  <c r="K83" i="2"/>
  <c r="J83" i="2"/>
  <c r="I83" i="2"/>
  <c r="AD82" i="2"/>
  <c r="AC82" i="2"/>
  <c r="AE82" i="2" s="1"/>
  <c r="AB82" i="2"/>
  <c r="AA82" i="2"/>
  <c r="Z82" i="2"/>
  <c r="Y82" i="2"/>
  <c r="V82" i="2"/>
  <c r="T82" i="2"/>
  <c r="L82" i="2"/>
  <c r="K82" i="2"/>
  <c r="I82" i="2"/>
  <c r="AC81" i="2"/>
  <c r="AE81" i="2" s="1"/>
  <c r="AB81" i="2"/>
  <c r="AA81" i="2"/>
  <c r="Z81" i="2"/>
  <c r="Y81" i="2"/>
  <c r="V81" i="2"/>
  <c r="U81" i="2"/>
  <c r="T81" i="2"/>
  <c r="L81" i="2"/>
  <c r="K81" i="2"/>
  <c r="J81" i="2"/>
  <c r="I81" i="2"/>
  <c r="AC80" i="2"/>
  <c r="AB80" i="2"/>
  <c r="AA80" i="2"/>
  <c r="Z80" i="2"/>
  <c r="Y80" i="2"/>
  <c r="V80" i="2"/>
  <c r="U80" i="2"/>
  <c r="T80" i="2"/>
  <c r="L80" i="2"/>
  <c r="K80" i="2"/>
  <c r="J80" i="2"/>
  <c r="I80" i="2"/>
  <c r="I85" i="2" s="1"/>
  <c r="AD79" i="2"/>
  <c r="AC79" i="2"/>
  <c r="AE79" i="2" s="1"/>
  <c r="AB79" i="2"/>
  <c r="AA79" i="2"/>
  <c r="AA85" i="2" s="1"/>
  <c r="Z79" i="2"/>
  <c r="Z85" i="2" s="1"/>
  <c r="Y79" i="2"/>
  <c r="Y85" i="2" s="1"/>
  <c r="V79" i="2"/>
  <c r="T79" i="2"/>
  <c r="L79" i="2"/>
  <c r="K79" i="2"/>
  <c r="I79" i="2"/>
  <c r="AC78" i="2"/>
  <c r="AE78" i="2" s="1"/>
  <c r="AB78" i="2"/>
  <c r="S77" i="2"/>
  <c r="U77" i="2" s="1"/>
  <c r="R77" i="2"/>
  <c r="Q77" i="2"/>
  <c r="P77" i="2"/>
  <c r="O77" i="2"/>
  <c r="H77" i="2"/>
  <c r="AC77" i="2" s="1"/>
  <c r="G77" i="2"/>
  <c r="F77" i="2"/>
  <c r="E77" i="2"/>
  <c r="D77" i="2"/>
  <c r="C77" i="2"/>
  <c r="AC76" i="2"/>
  <c r="AD76" i="2" s="1"/>
  <c r="AB76" i="2"/>
  <c r="AE76" i="2" s="1"/>
  <c r="AA76" i="2"/>
  <c r="Z76" i="2"/>
  <c r="Y76" i="2"/>
  <c r="U76" i="2"/>
  <c r="T76" i="2"/>
  <c r="Q76" i="2"/>
  <c r="V76" i="2" s="1"/>
  <c r="L76" i="2"/>
  <c r="K76" i="2"/>
  <c r="J76" i="2"/>
  <c r="I76" i="2"/>
  <c r="AD75" i="2"/>
  <c r="AC75" i="2"/>
  <c r="AE75" i="2" s="1"/>
  <c r="AB75" i="2"/>
  <c r="AA75" i="2"/>
  <c r="Z75" i="2"/>
  <c r="Y75" i="2"/>
  <c r="V75" i="2"/>
  <c r="T75" i="2"/>
  <c r="L75" i="2"/>
  <c r="K75" i="2"/>
  <c r="I75" i="2"/>
  <c r="AE74" i="2"/>
  <c r="AD74" i="2"/>
  <c r="AC74" i="2"/>
  <c r="AB74" i="2"/>
  <c r="AA74" i="2"/>
  <c r="Z74" i="2"/>
  <c r="Y74" i="2"/>
  <c r="V74" i="2"/>
  <c r="T74" i="2"/>
  <c r="L74" i="2"/>
  <c r="K74" i="2"/>
  <c r="I74" i="2"/>
  <c r="AD73" i="2"/>
  <c r="AC73" i="2"/>
  <c r="AE73" i="2" s="1"/>
  <c r="AB73" i="2"/>
  <c r="AA73" i="2"/>
  <c r="AA77" i="2" s="1"/>
  <c r="Z73" i="2"/>
  <c r="Z77" i="2" s="1"/>
  <c r="Y73" i="2"/>
  <c r="Y77" i="2" s="1"/>
  <c r="V73" i="2"/>
  <c r="T73" i="2"/>
  <c r="L73" i="2"/>
  <c r="K73" i="2"/>
  <c r="I73" i="2"/>
  <c r="AC72" i="2"/>
  <c r="AE72" i="2" s="1"/>
  <c r="AB72" i="2"/>
  <c r="AA72" i="2"/>
  <c r="Z72" i="2"/>
  <c r="Y72" i="2"/>
  <c r="V72" i="2"/>
  <c r="T72" i="2"/>
  <c r="T77" i="2" s="1"/>
  <c r="L72" i="2"/>
  <c r="K72" i="2"/>
  <c r="I72" i="2"/>
  <c r="I77" i="2" s="1"/>
  <c r="AD71" i="2"/>
  <c r="AC71" i="2"/>
  <c r="AE71" i="2" s="1"/>
  <c r="AB71" i="2"/>
  <c r="AD70" i="2"/>
  <c r="AC70" i="2"/>
  <c r="AE70" i="2" s="1"/>
  <c r="U70" i="2"/>
  <c r="S70" i="2"/>
  <c r="R70" i="2"/>
  <c r="AB70" i="2" s="1"/>
  <c r="Q70" i="2"/>
  <c r="P70" i="2"/>
  <c r="V70" i="2" s="1"/>
  <c r="O70" i="2"/>
  <c r="K70" i="2"/>
  <c r="J70" i="2"/>
  <c r="H70" i="2"/>
  <c r="G70" i="2"/>
  <c r="F70" i="2"/>
  <c r="L70" i="2" s="1"/>
  <c r="E70" i="2"/>
  <c r="D70" i="2"/>
  <c r="C70" i="2"/>
  <c r="AE69" i="2"/>
  <c r="AD69" i="2"/>
  <c r="AC69" i="2"/>
  <c r="AB69" i="2"/>
  <c r="AA69" i="2"/>
  <c r="Z69" i="2"/>
  <c r="Y69" i="2"/>
  <c r="V69" i="2"/>
  <c r="U69" i="2"/>
  <c r="T69" i="2"/>
  <c r="L69" i="2"/>
  <c r="K69" i="2"/>
  <c r="J69" i="2"/>
  <c r="I69" i="2"/>
  <c r="AC68" i="2"/>
  <c r="AB68" i="2"/>
  <c r="AD68" i="2" s="1"/>
  <c r="AA68" i="2"/>
  <c r="Z68" i="2"/>
  <c r="Y68" i="2"/>
  <c r="V68" i="2"/>
  <c r="T68" i="2"/>
  <c r="L68" i="2"/>
  <c r="K68" i="2"/>
  <c r="I68" i="2"/>
  <c r="AC67" i="2"/>
  <c r="AE67" i="2" s="1"/>
  <c r="AB67" i="2"/>
  <c r="AA67" i="2"/>
  <c r="Z67" i="2"/>
  <c r="Y67" i="2"/>
  <c r="V67" i="2"/>
  <c r="T67" i="2"/>
  <c r="L67" i="2"/>
  <c r="K67" i="2"/>
  <c r="I67" i="2"/>
  <c r="AC66" i="2"/>
  <c r="AE66" i="2" s="1"/>
  <c r="AB66" i="2"/>
  <c r="AA66" i="2"/>
  <c r="Z66" i="2"/>
  <c r="Y66" i="2"/>
  <c r="V66" i="2"/>
  <c r="U66" i="2"/>
  <c r="T66" i="2"/>
  <c r="T70" i="2" s="1"/>
  <c r="L66" i="2"/>
  <c r="K66" i="2"/>
  <c r="J66" i="2"/>
  <c r="I66" i="2"/>
  <c r="AC65" i="2"/>
  <c r="AD65" i="2" s="1"/>
  <c r="AB65" i="2"/>
  <c r="AE65" i="2" s="1"/>
  <c r="AA65" i="2"/>
  <c r="AA70" i="2" s="1"/>
  <c r="Z65" i="2"/>
  <c r="Y65" i="2"/>
  <c r="Y70" i="2" s="1"/>
  <c r="V65" i="2"/>
  <c r="T65" i="2"/>
  <c r="L65" i="2"/>
  <c r="K65" i="2"/>
  <c r="I65" i="2"/>
  <c r="I70" i="2" s="1"/>
  <c r="AE64" i="2"/>
  <c r="AD64" i="2"/>
  <c r="AC64" i="2"/>
  <c r="AB64" i="2"/>
  <c r="AB63" i="2"/>
  <c r="Z63" i="2"/>
  <c r="S63" i="2"/>
  <c r="R63" i="2"/>
  <c r="U63" i="2" s="1"/>
  <c r="Q63" i="2"/>
  <c r="P63" i="2"/>
  <c r="O63" i="2"/>
  <c r="H63" i="2"/>
  <c r="G63" i="2"/>
  <c r="F63" i="2"/>
  <c r="E63" i="2"/>
  <c r="D63" i="2"/>
  <c r="C63" i="2"/>
  <c r="AC62" i="2"/>
  <c r="AB62" i="2"/>
  <c r="AA62" i="2"/>
  <c r="Z62" i="2"/>
  <c r="Y62" i="2"/>
  <c r="V62" i="2"/>
  <c r="U62" i="2"/>
  <c r="T62" i="2"/>
  <c r="L62" i="2"/>
  <c r="K62" i="2"/>
  <c r="J62" i="2"/>
  <c r="I62" i="2"/>
  <c r="AD61" i="2"/>
  <c r="AC61" i="2"/>
  <c r="AE61" i="2" s="1"/>
  <c r="AB61" i="2"/>
  <c r="AA61" i="2"/>
  <c r="AA141" i="2" s="1"/>
  <c r="Z61" i="2"/>
  <c r="Y61" i="2"/>
  <c r="Y63" i="2" s="1"/>
  <c r="V61" i="2"/>
  <c r="T61" i="2"/>
  <c r="L61" i="2"/>
  <c r="K61" i="2"/>
  <c r="I61" i="2"/>
  <c r="AE60" i="2"/>
  <c r="AD60" i="2"/>
  <c r="AC60" i="2"/>
  <c r="AB60" i="2"/>
  <c r="AA60" i="2"/>
  <c r="AA147" i="2" s="1"/>
  <c r="Z60" i="2"/>
  <c r="Z147" i="2" s="1"/>
  <c r="Y60" i="2"/>
  <c r="Y147" i="2" s="1"/>
  <c r="V60" i="2"/>
  <c r="U60" i="2"/>
  <c r="T60" i="2"/>
  <c r="L60" i="2"/>
  <c r="K60" i="2"/>
  <c r="J60" i="2"/>
  <c r="I60" i="2"/>
  <c r="AC59" i="2"/>
  <c r="AB59" i="2"/>
  <c r="AA59" i="2"/>
  <c r="AA63" i="2" s="1"/>
  <c r="Z59" i="2"/>
  <c r="Y59" i="2"/>
  <c r="V59" i="2"/>
  <c r="T59" i="2"/>
  <c r="L59" i="2"/>
  <c r="K59" i="2"/>
  <c r="I59" i="2"/>
  <c r="I63" i="2" s="1"/>
  <c r="AE58" i="2"/>
  <c r="AC58" i="2"/>
  <c r="AB58" i="2"/>
  <c r="AD58" i="2" s="1"/>
  <c r="AC57" i="2"/>
  <c r="S57" i="2"/>
  <c r="R57" i="2"/>
  <c r="Q57" i="2"/>
  <c r="V57" i="2" s="1"/>
  <c r="P57" i="2"/>
  <c r="O57" i="2"/>
  <c r="I57" i="2"/>
  <c r="H57" i="2"/>
  <c r="G57" i="2"/>
  <c r="AB57" i="2" s="1"/>
  <c r="F57" i="2"/>
  <c r="L57" i="2" s="1"/>
  <c r="E57" i="2"/>
  <c r="D57" i="2"/>
  <c r="C57" i="2"/>
  <c r="AC56" i="2"/>
  <c r="AE56" i="2" s="1"/>
  <c r="AB56" i="2"/>
  <c r="AA56" i="2"/>
  <c r="Z56" i="2"/>
  <c r="Y56" i="2"/>
  <c r="V56" i="2"/>
  <c r="U56" i="2"/>
  <c r="T56" i="2"/>
  <c r="L56" i="2"/>
  <c r="K56" i="2"/>
  <c r="J56" i="2"/>
  <c r="I56" i="2"/>
  <c r="AC55" i="2"/>
  <c r="AB55" i="2"/>
  <c r="AE55" i="2" s="1"/>
  <c r="AA55" i="2"/>
  <c r="Z55" i="2"/>
  <c r="Y55" i="2"/>
  <c r="V55" i="2"/>
  <c r="U55" i="2"/>
  <c r="T55" i="2"/>
  <c r="L55" i="2"/>
  <c r="K55" i="2"/>
  <c r="J55" i="2"/>
  <c r="I55" i="2"/>
  <c r="AC54" i="2"/>
  <c r="AE54" i="2" s="1"/>
  <c r="AB54" i="2"/>
  <c r="AA54" i="2"/>
  <c r="Z54" i="2"/>
  <c r="Y54" i="2"/>
  <c r="V54" i="2"/>
  <c r="U54" i="2"/>
  <c r="T54" i="2"/>
  <c r="L54" i="2"/>
  <c r="K54" i="2"/>
  <c r="J54" i="2"/>
  <c r="I54" i="2"/>
  <c r="AE53" i="2"/>
  <c r="AD53" i="2"/>
  <c r="AC53" i="2"/>
  <c r="AB53" i="2"/>
  <c r="AA53" i="2"/>
  <c r="Z53" i="2"/>
  <c r="Y53" i="2"/>
  <c r="V53" i="2"/>
  <c r="T53" i="2"/>
  <c r="L53" i="2"/>
  <c r="K53" i="2"/>
  <c r="I53" i="2"/>
  <c r="AC52" i="2"/>
  <c r="AD52" i="2" s="1"/>
  <c r="AB52" i="2"/>
  <c r="AE52" i="2" s="1"/>
  <c r="AA52" i="2"/>
  <c r="AA145" i="2" s="1"/>
  <c r="Z52" i="2"/>
  <c r="Y52" i="2"/>
  <c r="Y57" i="2" s="1"/>
  <c r="V52" i="2"/>
  <c r="T52" i="2"/>
  <c r="T57" i="2" s="1"/>
  <c r="L52" i="2"/>
  <c r="K52" i="2"/>
  <c r="I52" i="2"/>
  <c r="AE51" i="2"/>
  <c r="AD51" i="2"/>
  <c r="AC51" i="2"/>
  <c r="AB51" i="2"/>
  <c r="Z50" i="2"/>
  <c r="S50" i="2"/>
  <c r="R50" i="2"/>
  <c r="U50" i="2" s="1"/>
  <c r="Q50" i="2"/>
  <c r="P50" i="2"/>
  <c r="O50" i="2"/>
  <c r="H50" i="2"/>
  <c r="G50" i="2"/>
  <c r="F50" i="2"/>
  <c r="E50" i="2"/>
  <c r="D50" i="2"/>
  <c r="C50" i="2"/>
  <c r="AC49" i="2"/>
  <c r="AB49" i="2"/>
  <c r="AA49" i="2"/>
  <c r="AA50" i="2" s="1"/>
  <c r="Z49" i="2"/>
  <c r="Y49" i="2"/>
  <c r="V49" i="2"/>
  <c r="U49" i="2"/>
  <c r="T49" i="2"/>
  <c r="L49" i="2"/>
  <c r="K49" i="2"/>
  <c r="J49" i="2"/>
  <c r="I49" i="2"/>
  <c r="AD48" i="2"/>
  <c r="AC48" i="2"/>
  <c r="AE48" i="2" s="1"/>
  <c r="AB48" i="2"/>
  <c r="AA48" i="2"/>
  <c r="Z48" i="2"/>
  <c r="Y48" i="2"/>
  <c r="Y50" i="2" s="1"/>
  <c r="V48" i="2"/>
  <c r="T48" i="2"/>
  <c r="T50" i="2" s="1"/>
  <c r="L48" i="2"/>
  <c r="K48" i="2"/>
  <c r="I48" i="2"/>
  <c r="I50" i="2" s="1"/>
  <c r="AC47" i="2"/>
  <c r="AE47" i="2" s="1"/>
  <c r="AB47" i="2"/>
  <c r="V47" i="2"/>
  <c r="T47" i="2"/>
  <c r="L47" i="2"/>
  <c r="K47" i="2"/>
  <c r="I47" i="2"/>
  <c r="V46" i="2"/>
  <c r="U46" i="2"/>
  <c r="S46" i="2"/>
  <c r="AC46" i="2" s="1"/>
  <c r="AE46" i="2" s="1"/>
  <c r="R46" i="2"/>
  <c r="Q46" i="2"/>
  <c r="P46" i="2"/>
  <c r="O46" i="2"/>
  <c r="L46" i="2"/>
  <c r="K46" i="2"/>
  <c r="J46" i="2"/>
  <c r="H46" i="2"/>
  <c r="G46" i="2"/>
  <c r="AB46" i="2" s="1"/>
  <c r="AD46" i="2" s="1"/>
  <c r="F46" i="2"/>
  <c r="E46" i="2"/>
  <c r="D46" i="2"/>
  <c r="C46" i="2"/>
  <c r="AE45" i="2"/>
  <c r="AC45" i="2"/>
  <c r="AB45" i="2"/>
  <c r="AD45" i="2" s="1"/>
  <c r="AA45" i="2"/>
  <c r="Z45" i="2"/>
  <c r="Y45" i="2"/>
  <c r="V45" i="2"/>
  <c r="T45" i="2"/>
  <c r="T46" i="2" s="1"/>
  <c r="L45" i="2"/>
  <c r="K45" i="2"/>
  <c r="I45" i="2"/>
  <c r="AC44" i="2"/>
  <c r="AB44" i="2"/>
  <c r="AA44" i="2"/>
  <c r="AA46" i="2" s="1"/>
  <c r="Z44" i="2"/>
  <c r="Z46" i="2" s="1"/>
  <c r="Y44" i="2"/>
  <c r="Y46" i="2" s="1"/>
  <c r="V44" i="2"/>
  <c r="U44" i="2"/>
  <c r="T44" i="2"/>
  <c r="L44" i="2"/>
  <c r="K44" i="2"/>
  <c r="J44" i="2"/>
  <c r="I44" i="2"/>
  <c r="I46" i="2" s="1"/>
  <c r="AD43" i="2"/>
  <c r="AC43" i="2"/>
  <c r="AE43" i="2" s="1"/>
  <c r="AB43" i="2"/>
  <c r="S42" i="2"/>
  <c r="AC42" i="2" s="1"/>
  <c r="R42" i="2"/>
  <c r="AB42" i="2" s="1"/>
  <c r="Q42" i="2"/>
  <c r="V42" i="2" s="1"/>
  <c r="P42" i="2"/>
  <c r="O42" i="2"/>
  <c r="K42" i="2"/>
  <c r="J42" i="2"/>
  <c r="I42" i="2"/>
  <c r="H42" i="2"/>
  <c r="G42" i="2"/>
  <c r="F42" i="2"/>
  <c r="L42" i="2" s="1"/>
  <c r="E42" i="2"/>
  <c r="D42" i="2"/>
  <c r="C42" i="2"/>
  <c r="AE41" i="2"/>
  <c r="AD41" i="2"/>
  <c r="AC41" i="2"/>
  <c r="AB41" i="2"/>
  <c r="AA41" i="2"/>
  <c r="Z41" i="2"/>
  <c r="Y41" i="2"/>
  <c r="V41" i="2"/>
  <c r="U41" i="2"/>
  <c r="T41" i="2"/>
  <c r="T42" i="2" s="1"/>
  <c r="L41" i="2"/>
  <c r="K41" i="2"/>
  <c r="J41" i="2"/>
  <c r="I41" i="2"/>
  <c r="F41" i="2"/>
  <c r="F148" i="2" s="1"/>
  <c r="AC40" i="2"/>
  <c r="AE40" i="2" s="1"/>
  <c r="AB40" i="2"/>
  <c r="AA40" i="2"/>
  <c r="Z40" i="2"/>
  <c r="Y40" i="2"/>
  <c r="V40" i="2"/>
  <c r="T40" i="2"/>
  <c r="L40" i="2"/>
  <c r="K40" i="2"/>
  <c r="I40" i="2"/>
  <c r="AE39" i="2"/>
  <c r="AD39" i="2"/>
  <c r="AC39" i="2"/>
  <c r="AB39" i="2"/>
  <c r="AA39" i="2"/>
  <c r="Z39" i="2"/>
  <c r="Y39" i="2"/>
  <c r="V39" i="2"/>
  <c r="U39" i="2"/>
  <c r="T39" i="2"/>
  <c r="L39" i="2"/>
  <c r="K39" i="2"/>
  <c r="J39" i="2"/>
  <c r="I39" i="2"/>
  <c r="AE38" i="2"/>
  <c r="AC38" i="2"/>
  <c r="AB38" i="2"/>
  <c r="AD38" i="2" s="1"/>
  <c r="AA38" i="2"/>
  <c r="Z38" i="2"/>
  <c r="Y38" i="2"/>
  <c r="V38" i="2"/>
  <c r="T38" i="2"/>
  <c r="L38" i="2"/>
  <c r="K38" i="2"/>
  <c r="I38" i="2"/>
  <c r="AC37" i="2"/>
  <c r="AB37" i="2"/>
  <c r="AA37" i="2"/>
  <c r="AA42" i="2" s="1"/>
  <c r="Z37" i="2"/>
  <c r="Y37" i="2"/>
  <c r="V37" i="2"/>
  <c r="T37" i="2"/>
  <c r="L37" i="2"/>
  <c r="K37" i="2"/>
  <c r="I37" i="2"/>
  <c r="AE36" i="2"/>
  <c r="AC36" i="2"/>
  <c r="AB36" i="2"/>
  <c r="AD36" i="2" s="1"/>
  <c r="AC35" i="2"/>
  <c r="AB35" i="2"/>
  <c r="AA35" i="2"/>
  <c r="S35" i="2"/>
  <c r="U35" i="2" s="1"/>
  <c r="R35" i="2"/>
  <c r="Q35" i="2"/>
  <c r="V35" i="2" s="1"/>
  <c r="P35" i="2"/>
  <c r="O35" i="2"/>
  <c r="H35" i="2"/>
  <c r="J35" i="2" s="1"/>
  <c r="G35" i="2"/>
  <c r="F35" i="2"/>
  <c r="L35" i="2" s="1"/>
  <c r="E35" i="2"/>
  <c r="D35" i="2"/>
  <c r="C35" i="2"/>
  <c r="AC34" i="2"/>
  <c r="AE34" i="2" s="1"/>
  <c r="AB34" i="2"/>
  <c r="AA34" i="2"/>
  <c r="Z34" i="2"/>
  <c r="Y34" i="2"/>
  <c r="V34" i="2"/>
  <c r="U34" i="2"/>
  <c r="T34" i="2"/>
  <c r="L34" i="2"/>
  <c r="K34" i="2"/>
  <c r="J34" i="2"/>
  <c r="I34" i="2"/>
  <c r="AC33" i="2"/>
  <c r="AB33" i="2"/>
  <c r="AE33" i="2" s="1"/>
  <c r="AA33" i="2"/>
  <c r="Z33" i="2"/>
  <c r="Y33" i="2"/>
  <c r="V33" i="2"/>
  <c r="U33" i="2"/>
  <c r="T33" i="2"/>
  <c r="L33" i="2"/>
  <c r="K33" i="2"/>
  <c r="J33" i="2"/>
  <c r="I33" i="2"/>
  <c r="AC32" i="2"/>
  <c r="AE32" i="2" s="1"/>
  <c r="AB32" i="2"/>
  <c r="AA32" i="2"/>
  <c r="Z32" i="2"/>
  <c r="Z35" i="2" s="1"/>
  <c r="Y32" i="2"/>
  <c r="V32" i="2"/>
  <c r="U32" i="2"/>
  <c r="T32" i="2"/>
  <c r="L32" i="2"/>
  <c r="K32" i="2"/>
  <c r="J32" i="2"/>
  <c r="I32" i="2"/>
  <c r="I35" i="2" s="1"/>
  <c r="AE31" i="2"/>
  <c r="AD31" i="2"/>
  <c r="AC31" i="2"/>
  <c r="AB31" i="2"/>
  <c r="AA31" i="2"/>
  <c r="Z31" i="2"/>
  <c r="Y31" i="2"/>
  <c r="V31" i="2"/>
  <c r="T31" i="2"/>
  <c r="T35" i="2" s="1"/>
  <c r="L31" i="2"/>
  <c r="K31" i="2"/>
  <c r="I31" i="2"/>
  <c r="AC30" i="2"/>
  <c r="AD30" i="2" s="1"/>
  <c r="AB30" i="2"/>
  <c r="AE30" i="2" s="1"/>
  <c r="V29" i="2"/>
  <c r="U29" i="2"/>
  <c r="S29" i="2"/>
  <c r="AC29" i="2" s="1"/>
  <c r="Q29" i="2"/>
  <c r="P29" i="2"/>
  <c r="O29" i="2"/>
  <c r="L29" i="2"/>
  <c r="K29" i="2"/>
  <c r="J29" i="2"/>
  <c r="H29" i="2"/>
  <c r="G29" i="2"/>
  <c r="F29" i="2"/>
  <c r="E29" i="2"/>
  <c r="D29" i="2"/>
  <c r="C29" i="2"/>
  <c r="AE28" i="2"/>
  <c r="AC28" i="2"/>
  <c r="AB28" i="2"/>
  <c r="AD28" i="2" s="1"/>
  <c r="AA28" i="2"/>
  <c r="Z28" i="2"/>
  <c r="Y28" i="2"/>
  <c r="V28" i="2"/>
  <c r="T28" i="2"/>
  <c r="L28" i="2"/>
  <c r="K28" i="2"/>
  <c r="I28" i="2"/>
  <c r="AC27" i="2"/>
  <c r="AB27" i="2"/>
  <c r="AA27" i="2"/>
  <c r="Z27" i="2"/>
  <c r="Y27" i="2"/>
  <c r="V27" i="2"/>
  <c r="U27" i="2"/>
  <c r="T27" i="2"/>
  <c r="L27" i="2"/>
  <c r="K27" i="2"/>
  <c r="J27" i="2"/>
  <c r="I27" i="2"/>
  <c r="AC26" i="2"/>
  <c r="AA26" i="2"/>
  <c r="Z26" i="2"/>
  <c r="Y26" i="2"/>
  <c r="V26" i="2"/>
  <c r="T26" i="2"/>
  <c r="R26" i="2"/>
  <c r="R29" i="2" s="1"/>
  <c r="Q26" i="2"/>
  <c r="Q148" i="2" s="1"/>
  <c r="V148" i="2" s="1"/>
  <c r="L26" i="2"/>
  <c r="K26" i="2"/>
  <c r="J26" i="2"/>
  <c r="I26" i="2"/>
  <c r="AD25" i="2"/>
  <c r="AC25" i="2"/>
  <c r="AE25" i="2" s="1"/>
  <c r="AB25" i="2"/>
  <c r="AA25" i="2"/>
  <c r="Z25" i="2"/>
  <c r="Y25" i="2"/>
  <c r="V25" i="2"/>
  <c r="T25" i="2"/>
  <c r="L25" i="2"/>
  <c r="K25" i="2"/>
  <c r="I25" i="2"/>
  <c r="AD24" i="2"/>
  <c r="AC24" i="2"/>
  <c r="AE24" i="2" s="1"/>
  <c r="AB24" i="2"/>
  <c r="AA24" i="2"/>
  <c r="Z24" i="2"/>
  <c r="Y24" i="2"/>
  <c r="Y146" i="2" s="1"/>
  <c r="V24" i="2"/>
  <c r="T24" i="2"/>
  <c r="L24" i="2"/>
  <c r="K24" i="2"/>
  <c r="I24" i="2"/>
  <c r="AD23" i="2"/>
  <c r="AC23" i="2"/>
  <c r="AE23" i="2" s="1"/>
  <c r="AB23" i="2"/>
  <c r="AA23" i="2"/>
  <c r="AA143" i="2" s="1"/>
  <c r="Z23" i="2"/>
  <c r="Z143" i="2" s="1"/>
  <c r="Y23" i="2"/>
  <c r="Y143" i="2" s="1"/>
  <c r="V23" i="2"/>
  <c r="U23" i="2"/>
  <c r="T23" i="2"/>
  <c r="Q23" i="2"/>
  <c r="Q143" i="2" s="1"/>
  <c r="V143" i="2" s="1"/>
  <c r="L23" i="2"/>
  <c r="K23" i="2"/>
  <c r="J23" i="2"/>
  <c r="I23" i="2"/>
  <c r="AC22" i="2"/>
  <c r="AE22" i="2" s="1"/>
  <c r="AB22" i="2"/>
  <c r="AA22" i="2"/>
  <c r="Z22" i="2"/>
  <c r="Y22" i="2"/>
  <c r="V22" i="2"/>
  <c r="U22" i="2"/>
  <c r="T22" i="2"/>
  <c r="L22" i="2"/>
  <c r="K22" i="2"/>
  <c r="J22" i="2"/>
  <c r="I22" i="2"/>
  <c r="AE21" i="2"/>
  <c r="AD21" i="2"/>
  <c r="AC21" i="2"/>
  <c r="AB21" i="2"/>
  <c r="AA21" i="2"/>
  <c r="Z21" i="2"/>
  <c r="Z29" i="2" s="1"/>
  <c r="Y21" i="2"/>
  <c r="V21" i="2"/>
  <c r="T21" i="2"/>
  <c r="T29" i="2" s="1"/>
  <c r="L21" i="2"/>
  <c r="K21" i="2"/>
  <c r="I21" i="2"/>
  <c r="AC20" i="2"/>
  <c r="AB20" i="2"/>
  <c r="AE20" i="2" s="1"/>
  <c r="V19" i="2"/>
  <c r="Q19" i="2"/>
  <c r="P19" i="2"/>
  <c r="O19" i="2"/>
  <c r="K19" i="2"/>
  <c r="J19" i="2"/>
  <c r="H19" i="2"/>
  <c r="G19" i="2"/>
  <c r="F19" i="2"/>
  <c r="E19" i="2"/>
  <c r="D19" i="2"/>
  <c r="L19" i="2" s="1"/>
  <c r="C19" i="2"/>
  <c r="Z18" i="2"/>
  <c r="Z149" i="2" s="1"/>
  <c r="Y18" i="2"/>
  <c r="Y149" i="2" s="1"/>
  <c r="V18" i="2"/>
  <c r="U18" i="2"/>
  <c r="S18" i="2"/>
  <c r="AC18" i="2" s="1"/>
  <c r="R18" i="2"/>
  <c r="T18" i="2" s="1"/>
  <c r="Q18" i="2"/>
  <c r="AA18" i="2" s="1"/>
  <c r="AA149" i="2" s="1"/>
  <c r="L18" i="2"/>
  <c r="K18" i="2"/>
  <c r="J18" i="2"/>
  <c r="I18" i="2"/>
  <c r="AA17" i="2"/>
  <c r="Z17" i="2"/>
  <c r="Y17" i="2"/>
  <c r="V17" i="2"/>
  <c r="S17" i="2"/>
  <c r="S19" i="2" s="1"/>
  <c r="AC19" i="2" s="1"/>
  <c r="R17" i="2"/>
  <c r="R19" i="2" s="1"/>
  <c r="U19" i="2" s="1"/>
  <c r="L17" i="2"/>
  <c r="K17" i="2"/>
  <c r="J17" i="2"/>
  <c r="I17" i="2"/>
  <c r="AC16" i="2"/>
  <c r="AE16" i="2" s="1"/>
  <c r="AB16" i="2"/>
  <c r="AA16" i="2"/>
  <c r="Z16" i="2"/>
  <c r="Z141" i="2" s="1"/>
  <c r="Y16" i="2"/>
  <c r="Y141" i="2" s="1"/>
  <c r="V16" i="2"/>
  <c r="T16" i="2"/>
  <c r="L16" i="2"/>
  <c r="K16" i="2"/>
  <c r="I16" i="2"/>
  <c r="AC15" i="2"/>
  <c r="AE15" i="2" s="1"/>
  <c r="AB15" i="2"/>
  <c r="AA15" i="2"/>
  <c r="AA19" i="2" s="1"/>
  <c r="Z15" i="2"/>
  <c r="Y15" i="2"/>
  <c r="V15" i="2"/>
  <c r="T15" i="2"/>
  <c r="L15" i="2"/>
  <c r="K15" i="2"/>
  <c r="I15" i="2"/>
  <c r="I19" i="2" s="1"/>
  <c r="AC14" i="2"/>
  <c r="AE14" i="2" s="1"/>
  <c r="AB14" i="2"/>
  <c r="AC13" i="2"/>
  <c r="Y13" i="2"/>
  <c r="T13" i="2"/>
  <c r="S13" i="2"/>
  <c r="U13" i="2" s="1"/>
  <c r="R13" i="2"/>
  <c r="AB13" i="2" s="1"/>
  <c r="Q13" i="2"/>
  <c r="V13" i="2" s="1"/>
  <c r="P13" i="2"/>
  <c r="O13" i="2"/>
  <c r="H13" i="2"/>
  <c r="J13" i="2" s="1"/>
  <c r="G13" i="2"/>
  <c r="F13" i="2"/>
  <c r="L13" i="2" s="1"/>
  <c r="E13" i="2"/>
  <c r="D13" i="2"/>
  <c r="C13" i="2"/>
  <c r="AC12" i="2"/>
  <c r="AE12" i="2" s="1"/>
  <c r="AB12" i="2"/>
  <c r="AA12" i="2"/>
  <c r="Z12" i="2"/>
  <c r="Y12" i="2"/>
  <c r="V12" i="2"/>
  <c r="U12" i="2"/>
  <c r="T12" i="2"/>
  <c r="L12" i="2"/>
  <c r="K12" i="2"/>
  <c r="J12" i="2"/>
  <c r="I12" i="2"/>
  <c r="AC11" i="2"/>
  <c r="AB11" i="2"/>
  <c r="AA11" i="2"/>
  <c r="AA13" i="2" s="1"/>
  <c r="Z11" i="2"/>
  <c r="Z13" i="2" s="1"/>
  <c r="Y11" i="2"/>
  <c r="V11" i="2"/>
  <c r="T11" i="2"/>
  <c r="L11" i="2"/>
  <c r="K11" i="2"/>
  <c r="I11" i="2"/>
  <c r="I13" i="2" s="1"/>
  <c r="AE10" i="2"/>
  <c r="AC10" i="2"/>
  <c r="AB10" i="2"/>
  <c r="AD10" i="2" s="1"/>
  <c r="AC9" i="2"/>
  <c r="AA9" i="2"/>
  <c r="S9" i="2"/>
  <c r="R9" i="2"/>
  <c r="Q9" i="2"/>
  <c r="V9" i="2" s="1"/>
  <c r="P9" i="2"/>
  <c r="O9" i="2"/>
  <c r="I9" i="2"/>
  <c r="H9" i="2"/>
  <c r="G9" i="2"/>
  <c r="AB9" i="2" s="1"/>
  <c r="F9" i="2"/>
  <c r="L9" i="2" s="1"/>
  <c r="E9" i="2"/>
  <c r="D9" i="2"/>
  <c r="C9" i="2"/>
  <c r="AD8" i="2"/>
  <c r="AC8" i="2"/>
  <c r="AE8" i="2" s="1"/>
  <c r="AB8" i="2"/>
  <c r="AA8" i="2"/>
  <c r="AA148" i="2" s="1"/>
  <c r="Z8" i="2"/>
  <c r="Y8" i="2"/>
  <c r="Y148" i="2" s="1"/>
  <c r="V8" i="2"/>
  <c r="U8" i="2"/>
  <c r="T8" i="2"/>
  <c r="L8" i="2"/>
  <c r="K8" i="2"/>
  <c r="J8" i="2"/>
  <c r="I8" i="2"/>
  <c r="AC7" i="2"/>
  <c r="AB7" i="2"/>
  <c r="AA7" i="2"/>
  <c r="AA150" i="2" s="1"/>
  <c r="Z7" i="2"/>
  <c r="Z9" i="2" s="1"/>
  <c r="Y7" i="2"/>
  <c r="Y150" i="2" s="1"/>
  <c r="V7" i="2"/>
  <c r="T7" i="2"/>
  <c r="L7" i="2"/>
  <c r="K7" i="2"/>
  <c r="I7" i="2"/>
  <c r="AE6" i="2"/>
  <c r="AD6" i="2"/>
  <c r="AC6" i="2"/>
  <c r="AB6" i="2"/>
  <c r="AA6" i="2"/>
  <c r="Z6" i="2"/>
  <c r="Y6" i="2"/>
  <c r="Y138" i="2" s="1"/>
  <c r="V6" i="2"/>
  <c r="U6" i="2"/>
  <c r="T6" i="2"/>
  <c r="L6" i="2"/>
  <c r="K6" i="2"/>
  <c r="J6" i="2"/>
  <c r="I6" i="2"/>
  <c r="AD5" i="2"/>
  <c r="AC5" i="2"/>
  <c r="AB5" i="2"/>
  <c r="AA5" i="2"/>
  <c r="Z5" i="2"/>
  <c r="Y5" i="2"/>
  <c r="V5" i="2"/>
  <c r="T5" i="2"/>
  <c r="L5" i="2"/>
  <c r="K5" i="2"/>
  <c r="I5" i="2"/>
  <c r="AC3" i="2"/>
  <c r="S3" i="2"/>
  <c r="T2" i="2"/>
  <c r="M1" i="2"/>
  <c r="W1" i="2" s="1"/>
  <c r="H176" i="1"/>
  <c r="H171" i="1"/>
  <c r="H169" i="1"/>
  <c r="J167" i="1"/>
  <c r="F167" i="1"/>
  <c r="E167" i="1"/>
  <c r="H166" i="1"/>
  <c r="G166" i="1"/>
  <c r="F166" i="1"/>
  <c r="C166" i="1"/>
  <c r="I165" i="1"/>
  <c r="H165" i="1"/>
  <c r="G165" i="1"/>
  <c r="F165" i="1"/>
  <c r="C165" i="1"/>
  <c r="Q164" i="1"/>
  <c r="H164" i="1"/>
  <c r="H167" i="1" s="1"/>
  <c r="G164" i="1"/>
  <c r="G167" i="1" s="1"/>
  <c r="F164" i="1"/>
  <c r="E164" i="1"/>
  <c r="D164" i="1"/>
  <c r="D167" i="1" s="1"/>
  <c r="C164" i="1"/>
  <c r="J162" i="1"/>
  <c r="H162" i="1"/>
  <c r="G162" i="1"/>
  <c r="F162" i="1"/>
  <c r="E162" i="1"/>
  <c r="D162" i="1"/>
  <c r="C162" i="1"/>
  <c r="L161" i="1"/>
  <c r="K161" i="1"/>
  <c r="I161" i="1"/>
  <c r="L160" i="1"/>
  <c r="K160" i="1"/>
  <c r="I160" i="1"/>
  <c r="S159" i="1"/>
  <c r="L159" i="1"/>
  <c r="K159" i="1"/>
  <c r="I159" i="1"/>
  <c r="I162" i="1" s="1"/>
  <c r="H158" i="1"/>
  <c r="G158" i="1"/>
  <c r="F158" i="1"/>
  <c r="E158" i="1"/>
  <c r="D158" i="1"/>
  <c r="C158" i="1"/>
  <c r="L157" i="1"/>
  <c r="K157" i="1"/>
  <c r="I157" i="1"/>
  <c r="I166" i="1" s="1"/>
  <c r="L156" i="1"/>
  <c r="K156" i="1"/>
  <c r="I156" i="1"/>
  <c r="L155" i="1"/>
  <c r="K155" i="1"/>
  <c r="I155" i="1"/>
  <c r="I164" i="1" s="1"/>
  <c r="I167" i="1" s="1"/>
  <c r="S150" i="1"/>
  <c r="U150" i="1" s="1"/>
  <c r="R150" i="1"/>
  <c r="Q150" i="1"/>
  <c r="P150" i="1"/>
  <c r="V150" i="1" s="1"/>
  <c r="O150" i="1"/>
  <c r="I150" i="1"/>
  <c r="H150" i="1"/>
  <c r="J150" i="1" s="1"/>
  <c r="G150" i="1"/>
  <c r="AB150" i="1" s="1"/>
  <c r="F150" i="1"/>
  <c r="E150" i="1"/>
  <c r="D150" i="1"/>
  <c r="L150" i="1" s="1"/>
  <c r="C150" i="1"/>
  <c r="Q149" i="1"/>
  <c r="V149" i="1" s="1"/>
  <c r="P149" i="1"/>
  <c r="O149" i="1"/>
  <c r="H149" i="1"/>
  <c r="G149" i="1"/>
  <c r="F149" i="1"/>
  <c r="E149" i="1"/>
  <c r="D149" i="1"/>
  <c r="C149" i="1"/>
  <c r="P148" i="1"/>
  <c r="O148" i="1"/>
  <c r="H148" i="1"/>
  <c r="G148" i="1"/>
  <c r="E148" i="1"/>
  <c r="D148" i="1"/>
  <c r="C148" i="1"/>
  <c r="AC147" i="1"/>
  <c r="AA147" i="1"/>
  <c r="S147" i="1"/>
  <c r="R147" i="1"/>
  <c r="Q147" i="1"/>
  <c r="V147" i="1" s="1"/>
  <c r="P147" i="1"/>
  <c r="O147" i="1"/>
  <c r="H147" i="1"/>
  <c r="G147" i="1"/>
  <c r="I147" i="1" s="1"/>
  <c r="F147" i="1"/>
  <c r="L147" i="1" s="1"/>
  <c r="E147" i="1"/>
  <c r="D147" i="1"/>
  <c r="C147" i="1"/>
  <c r="T146" i="1"/>
  <c r="S146" i="1"/>
  <c r="R146" i="1"/>
  <c r="AB146" i="1" s="1"/>
  <c r="Q146" i="1"/>
  <c r="V146" i="1" s="1"/>
  <c r="P146" i="1"/>
  <c r="O146" i="1"/>
  <c r="H146" i="1"/>
  <c r="AC146" i="1" s="1"/>
  <c r="G146" i="1"/>
  <c r="F146" i="1"/>
  <c r="L146" i="1" s="1"/>
  <c r="E146" i="1"/>
  <c r="D146" i="1"/>
  <c r="C146" i="1"/>
  <c r="S145" i="1"/>
  <c r="T145" i="1" s="1"/>
  <c r="R145" i="1"/>
  <c r="Q145" i="1"/>
  <c r="V145" i="1" s="1"/>
  <c r="P145" i="1"/>
  <c r="O145" i="1"/>
  <c r="H145" i="1"/>
  <c r="I145" i="1" s="1"/>
  <c r="G145" i="1"/>
  <c r="F145" i="1"/>
  <c r="L145" i="1" s="1"/>
  <c r="E145" i="1"/>
  <c r="D145" i="1"/>
  <c r="C145" i="1"/>
  <c r="AB144" i="1"/>
  <c r="S144" i="1"/>
  <c r="AC144" i="1" s="1"/>
  <c r="R144" i="1"/>
  <c r="Q144" i="1"/>
  <c r="V144" i="1" s="1"/>
  <c r="P144" i="1"/>
  <c r="O144" i="1"/>
  <c r="J144" i="1"/>
  <c r="I144" i="1"/>
  <c r="H144" i="1"/>
  <c r="G144" i="1"/>
  <c r="F144" i="1"/>
  <c r="L144" i="1" s="1"/>
  <c r="E144" i="1"/>
  <c r="D144" i="1"/>
  <c r="C144" i="1"/>
  <c r="T143" i="1"/>
  <c r="S143" i="1"/>
  <c r="AC143" i="1" s="1"/>
  <c r="R143" i="1"/>
  <c r="AB143" i="1" s="1"/>
  <c r="P143" i="1"/>
  <c r="O143" i="1"/>
  <c r="K143" i="1"/>
  <c r="J143" i="1"/>
  <c r="I143" i="1"/>
  <c r="H143" i="1"/>
  <c r="G143" i="1"/>
  <c r="F143" i="1"/>
  <c r="L143" i="1" s="1"/>
  <c r="D143" i="1"/>
  <c r="C143" i="1"/>
  <c r="V142" i="1"/>
  <c r="U142" i="1"/>
  <c r="T142" i="1"/>
  <c r="S142" i="1"/>
  <c r="AC142" i="1" s="1"/>
  <c r="R142" i="1"/>
  <c r="Q142" i="1"/>
  <c r="P142" i="1"/>
  <c r="O142" i="1"/>
  <c r="L142" i="1"/>
  <c r="K142" i="1"/>
  <c r="J142" i="1"/>
  <c r="H142" i="1"/>
  <c r="G142" i="1"/>
  <c r="I142" i="1" s="1"/>
  <c r="F142" i="1"/>
  <c r="E142" i="1"/>
  <c r="D142" i="1"/>
  <c r="C142" i="1"/>
  <c r="U141" i="1"/>
  <c r="S141" i="1"/>
  <c r="R141" i="1"/>
  <c r="T141" i="1" s="1"/>
  <c r="P141" i="1"/>
  <c r="O141" i="1"/>
  <c r="L141" i="1"/>
  <c r="H141" i="1"/>
  <c r="J141" i="1" s="1"/>
  <c r="G141" i="1"/>
  <c r="F141" i="1"/>
  <c r="E141" i="1"/>
  <c r="K141" i="1" s="1"/>
  <c r="D141" i="1"/>
  <c r="C141" i="1"/>
  <c r="C151" i="1" s="1"/>
  <c r="Z140" i="1"/>
  <c r="Y140" i="1"/>
  <c r="V140" i="1"/>
  <c r="S140" i="1"/>
  <c r="U140" i="1" s="1"/>
  <c r="R140" i="1"/>
  <c r="Q140" i="1"/>
  <c r="P140" i="1"/>
  <c r="O140" i="1"/>
  <c r="L140" i="1"/>
  <c r="I140" i="1"/>
  <c r="H140" i="1"/>
  <c r="J140" i="1" s="1"/>
  <c r="G140" i="1"/>
  <c r="AB140" i="1" s="1"/>
  <c r="F140" i="1"/>
  <c r="E140" i="1"/>
  <c r="D140" i="1"/>
  <c r="C140" i="1"/>
  <c r="AA139" i="1"/>
  <c r="S139" i="1"/>
  <c r="T139" i="1" s="1"/>
  <c r="R139" i="1"/>
  <c r="Q139" i="1"/>
  <c r="P139" i="1"/>
  <c r="V139" i="1" s="1"/>
  <c r="O139" i="1"/>
  <c r="H139" i="1"/>
  <c r="I139" i="1" s="1"/>
  <c r="G139" i="1"/>
  <c r="AB139" i="1" s="1"/>
  <c r="F139" i="1"/>
  <c r="E139" i="1"/>
  <c r="K139" i="1" s="1"/>
  <c r="D139" i="1"/>
  <c r="L139" i="1" s="1"/>
  <c r="C139" i="1"/>
  <c r="S138" i="1"/>
  <c r="U138" i="1" s="1"/>
  <c r="R138" i="1"/>
  <c r="Q138" i="1"/>
  <c r="P138" i="1"/>
  <c r="V138" i="1" s="1"/>
  <c r="O138" i="1"/>
  <c r="I138" i="1"/>
  <c r="H138" i="1"/>
  <c r="J138" i="1" s="1"/>
  <c r="G138" i="1"/>
  <c r="AB138" i="1" s="1"/>
  <c r="F138" i="1"/>
  <c r="K138" i="1" s="1"/>
  <c r="E138" i="1"/>
  <c r="D138" i="1"/>
  <c r="D151" i="1" s="1"/>
  <c r="C138" i="1"/>
  <c r="T137" i="1"/>
  <c r="S137" i="1"/>
  <c r="R137" i="1"/>
  <c r="Q137" i="1"/>
  <c r="P137" i="1"/>
  <c r="O137" i="1"/>
  <c r="O151" i="1" s="1"/>
  <c r="H137" i="1"/>
  <c r="H168" i="1" s="1"/>
  <c r="H170" i="1" s="1"/>
  <c r="G137" i="1"/>
  <c r="F137" i="1"/>
  <c r="E137" i="1"/>
  <c r="E151" i="1" s="1"/>
  <c r="D137" i="1"/>
  <c r="C137" i="1"/>
  <c r="AC136" i="1"/>
  <c r="AB136" i="1"/>
  <c r="AE136" i="1" s="1"/>
  <c r="V135" i="1"/>
  <c r="U135" i="1"/>
  <c r="S135" i="1"/>
  <c r="AC135" i="1" s="1"/>
  <c r="AE135" i="1" s="1"/>
  <c r="R135" i="1"/>
  <c r="Q135" i="1"/>
  <c r="P135" i="1"/>
  <c r="O135" i="1"/>
  <c r="K135" i="1"/>
  <c r="J135" i="1"/>
  <c r="H135" i="1"/>
  <c r="G135" i="1"/>
  <c r="AB135" i="1" s="1"/>
  <c r="F135" i="1"/>
  <c r="E135" i="1"/>
  <c r="D135" i="1"/>
  <c r="L135" i="1" s="1"/>
  <c r="C135" i="1"/>
  <c r="AE134" i="1"/>
  <c r="AC134" i="1"/>
  <c r="AB134" i="1"/>
  <c r="AD134" i="1" s="1"/>
  <c r="AA134" i="1"/>
  <c r="Z134" i="1"/>
  <c r="Y134" i="1"/>
  <c r="V134" i="1"/>
  <c r="U134" i="1"/>
  <c r="T134" i="1"/>
  <c r="L134" i="1"/>
  <c r="K134" i="1"/>
  <c r="J134" i="1"/>
  <c r="I134" i="1"/>
  <c r="AE133" i="1"/>
  <c r="AD133" i="1"/>
  <c r="AC133" i="1"/>
  <c r="AB133" i="1"/>
  <c r="AA133" i="1"/>
  <c r="Z133" i="1"/>
  <c r="Y133" i="1"/>
  <c r="V133" i="1"/>
  <c r="T133" i="1"/>
  <c r="T135" i="1" s="1"/>
  <c r="L133" i="1"/>
  <c r="K133" i="1"/>
  <c r="I133" i="1"/>
  <c r="AD132" i="1"/>
  <c r="AC132" i="1"/>
  <c r="AE132" i="1" s="1"/>
  <c r="AB132" i="1"/>
  <c r="AA132" i="1"/>
  <c r="AA135" i="1" s="1"/>
  <c r="Z132" i="1"/>
  <c r="Z135" i="1" s="1"/>
  <c r="Y132" i="1"/>
  <c r="V132" i="1"/>
  <c r="U132" i="1"/>
  <c r="T132" i="1"/>
  <c r="L132" i="1"/>
  <c r="K132" i="1"/>
  <c r="J132" i="1"/>
  <c r="I132" i="1"/>
  <c r="I135" i="1" s="1"/>
  <c r="AE131" i="1"/>
  <c r="AC131" i="1"/>
  <c r="AB131" i="1"/>
  <c r="AD131" i="1" s="1"/>
  <c r="AB130" i="1"/>
  <c r="S130" i="1"/>
  <c r="R130" i="1"/>
  <c r="Q130" i="1"/>
  <c r="V130" i="1" s="1"/>
  <c r="P130" i="1"/>
  <c r="O130" i="1"/>
  <c r="H130" i="1"/>
  <c r="J130" i="1" s="1"/>
  <c r="G130" i="1"/>
  <c r="F130" i="1"/>
  <c r="K130" i="1" s="1"/>
  <c r="D130" i="1"/>
  <c r="L130" i="1" s="1"/>
  <c r="C130" i="1"/>
  <c r="AC129" i="1"/>
  <c r="AE129" i="1" s="1"/>
  <c r="AB129" i="1"/>
  <c r="AA129" i="1"/>
  <c r="Z129" i="1"/>
  <c r="Y129" i="1"/>
  <c r="V129" i="1"/>
  <c r="U129" i="1"/>
  <c r="T129" i="1"/>
  <c r="L129" i="1"/>
  <c r="K129" i="1"/>
  <c r="J129" i="1"/>
  <c r="I129" i="1"/>
  <c r="AC128" i="1"/>
  <c r="AB128" i="1"/>
  <c r="AE128" i="1" s="1"/>
  <c r="AA128" i="1"/>
  <c r="Z128" i="1"/>
  <c r="Y128" i="1"/>
  <c r="V128" i="1"/>
  <c r="T128" i="1"/>
  <c r="L128" i="1"/>
  <c r="K128" i="1"/>
  <c r="I128" i="1"/>
  <c r="AE127" i="1"/>
  <c r="AD127" i="1"/>
  <c r="AC127" i="1"/>
  <c r="AB127" i="1"/>
  <c r="U127" i="1"/>
  <c r="T127" i="1"/>
  <c r="J127" i="1"/>
  <c r="I127" i="1"/>
  <c r="I130" i="1" s="1"/>
  <c r="AE126" i="1"/>
  <c r="AD126" i="1"/>
  <c r="AC126" i="1"/>
  <c r="AB126" i="1"/>
  <c r="AA126" i="1"/>
  <c r="Z126" i="1"/>
  <c r="Y126" i="1"/>
  <c r="V126" i="1"/>
  <c r="U126" i="1"/>
  <c r="T126" i="1"/>
  <c r="L126" i="1"/>
  <c r="J126" i="1"/>
  <c r="I126" i="1"/>
  <c r="E126" i="1"/>
  <c r="E130" i="1" s="1"/>
  <c r="AD125" i="1"/>
  <c r="AC125" i="1"/>
  <c r="AE125" i="1" s="1"/>
  <c r="AB125" i="1"/>
  <c r="AA125" i="1"/>
  <c r="Z125" i="1"/>
  <c r="Y125" i="1"/>
  <c r="V125" i="1"/>
  <c r="U125" i="1"/>
  <c r="T125" i="1"/>
  <c r="L125" i="1"/>
  <c r="K125" i="1"/>
  <c r="J125" i="1"/>
  <c r="I125" i="1"/>
  <c r="AC124" i="1"/>
  <c r="AB124" i="1"/>
  <c r="AA124" i="1"/>
  <c r="AA140" i="1" s="1"/>
  <c r="Z124" i="1"/>
  <c r="Y124" i="1"/>
  <c r="V124" i="1"/>
  <c r="U124" i="1"/>
  <c r="T124" i="1"/>
  <c r="L124" i="1"/>
  <c r="K124" i="1"/>
  <c r="J124" i="1"/>
  <c r="I124" i="1"/>
  <c r="AD123" i="1"/>
  <c r="AC123" i="1"/>
  <c r="AE123" i="1" s="1"/>
  <c r="AB123" i="1"/>
  <c r="AA123" i="1"/>
  <c r="AA130" i="1" s="1"/>
  <c r="Z123" i="1"/>
  <c r="Z130" i="1" s="1"/>
  <c r="Y123" i="1"/>
  <c r="Y130" i="1" s="1"/>
  <c r="V123" i="1"/>
  <c r="T123" i="1"/>
  <c r="T130" i="1" s="1"/>
  <c r="L123" i="1"/>
  <c r="K123" i="1"/>
  <c r="I123" i="1"/>
  <c r="AE122" i="1"/>
  <c r="AD122" i="1"/>
  <c r="AC122" i="1"/>
  <c r="AB122" i="1"/>
  <c r="S121" i="1"/>
  <c r="U121" i="1" s="1"/>
  <c r="R121" i="1"/>
  <c r="Q121" i="1"/>
  <c r="V121" i="1" s="1"/>
  <c r="P121" i="1"/>
  <c r="O121" i="1"/>
  <c r="H121" i="1"/>
  <c r="AC121" i="1" s="1"/>
  <c r="G121" i="1"/>
  <c r="F121" i="1"/>
  <c r="E121" i="1"/>
  <c r="D121" i="1"/>
  <c r="C121" i="1"/>
  <c r="AC120" i="1"/>
  <c r="AB120" i="1"/>
  <c r="AA120" i="1"/>
  <c r="AA121" i="1" s="1"/>
  <c r="Z120" i="1"/>
  <c r="Y120" i="1"/>
  <c r="V120" i="1"/>
  <c r="T120" i="1"/>
  <c r="L120" i="1"/>
  <c r="K120" i="1"/>
  <c r="I120" i="1"/>
  <c r="AE119" i="1"/>
  <c r="AD119" i="1"/>
  <c r="AC119" i="1"/>
  <c r="AB119" i="1"/>
  <c r="AA119" i="1"/>
  <c r="Z119" i="1"/>
  <c r="Y119" i="1"/>
  <c r="V119" i="1"/>
  <c r="U119" i="1"/>
  <c r="T119" i="1"/>
  <c r="L119" i="1"/>
  <c r="K119" i="1"/>
  <c r="J119" i="1"/>
  <c r="I119" i="1"/>
  <c r="AC118" i="1"/>
  <c r="AB118" i="1"/>
  <c r="U118" i="1"/>
  <c r="T118" i="1"/>
  <c r="J118" i="1"/>
  <c r="I118" i="1"/>
  <c r="AD117" i="1"/>
  <c r="AC117" i="1"/>
  <c r="AB117" i="1"/>
  <c r="AA117" i="1"/>
  <c r="Z117" i="1"/>
  <c r="Y117" i="1"/>
  <c r="V117" i="1"/>
  <c r="U117" i="1"/>
  <c r="T117" i="1"/>
  <c r="L117" i="1"/>
  <c r="K117" i="1"/>
  <c r="J117" i="1"/>
  <c r="I117" i="1"/>
  <c r="AC116" i="1"/>
  <c r="AB116" i="1"/>
  <c r="AE116" i="1" s="1"/>
  <c r="AA116" i="1"/>
  <c r="Z116" i="1"/>
  <c r="Y116" i="1"/>
  <c r="V116" i="1"/>
  <c r="U116" i="1"/>
  <c r="T116" i="1"/>
  <c r="L116" i="1"/>
  <c r="K116" i="1"/>
  <c r="J116" i="1"/>
  <c r="I116" i="1"/>
  <c r="AC115" i="1"/>
  <c r="AB115" i="1"/>
  <c r="AA115" i="1"/>
  <c r="Z115" i="1"/>
  <c r="Z121" i="1" s="1"/>
  <c r="Y115" i="1"/>
  <c r="Y121" i="1" s="1"/>
  <c r="V115" i="1"/>
  <c r="U115" i="1"/>
  <c r="T115" i="1"/>
  <c r="L115" i="1"/>
  <c r="K115" i="1"/>
  <c r="J115" i="1"/>
  <c r="I115" i="1"/>
  <c r="AE114" i="1"/>
  <c r="AD114" i="1"/>
  <c r="AC114" i="1"/>
  <c r="AB114" i="1"/>
  <c r="AA114" i="1"/>
  <c r="Z114" i="1"/>
  <c r="Y114" i="1"/>
  <c r="V114" i="1"/>
  <c r="T114" i="1"/>
  <c r="L114" i="1"/>
  <c r="K114" i="1"/>
  <c r="I114" i="1"/>
  <c r="I121" i="1" s="1"/>
  <c r="AC113" i="1"/>
  <c r="AB113" i="1"/>
  <c r="AE113" i="1" s="1"/>
  <c r="V112" i="1"/>
  <c r="S112" i="1"/>
  <c r="U112" i="1" s="1"/>
  <c r="R112" i="1"/>
  <c r="Q112" i="1"/>
  <c r="P112" i="1"/>
  <c r="O112" i="1"/>
  <c r="K112" i="1"/>
  <c r="J112" i="1"/>
  <c r="I112" i="1"/>
  <c r="H112" i="1"/>
  <c r="G112" i="1"/>
  <c r="AB112" i="1" s="1"/>
  <c r="F112" i="1"/>
  <c r="E112" i="1"/>
  <c r="D112" i="1"/>
  <c r="L112" i="1" s="1"/>
  <c r="C112" i="1"/>
  <c r="AE111" i="1"/>
  <c r="AD111" i="1"/>
  <c r="AC111" i="1"/>
  <c r="AB111" i="1"/>
  <c r="AA111" i="1"/>
  <c r="Z111" i="1"/>
  <c r="Y111" i="1"/>
  <c r="V111" i="1"/>
  <c r="U111" i="1"/>
  <c r="T111" i="1"/>
  <c r="T112" i="1" s="1"/>
  <c r="L111" i="1"/>
  <c r="K111" i="1"/>
  <c r="J111" i="1"/>
  <c r="I111" i="1"/>
  <c r="AE110" i="1"/>
  <c r="AC110" i="1"/>
  <c r="AD110" i="1" s="1"/>
  <c r="AB110" i="1"/>
  <c r="AA110" i="1"/>
  <c r="Z110" i="1"/>
  <c r="Y110" i="1"/>
  <c r="V110" i="1"/>
  <c r="U110" i="1"/>
  <c r="T110" i="1"/>
  <c r="L110" i="1"/>
  <c r="K110" i="1"/>
  <c r="J110" i="1"/>
  <c r="I110" i="1"/>
  <c r="AC109" i="1"/>
  <c r="AB109" i="1"/>
  <c r="U109" i="1"/>
  <c r="T109" i="1"/>
  <c r="L109" i="1"/>
  <c r="J109" i="1"/>
  <c r="I109" i="1"/>
  <c r="AC108" i="1"/>
  <c r="AE108" i="1" s="1"/>
  <c r="AB108" i="1"/>
  <c r="AA108" i="1"/>
  <c r="Z108" i="1"/>
  <c r="Y108" i="1"/>
  <c r="V108" i="1"/>
  <c r="U108" i="1"/>
  <c r="T108" i="1"/>
  <c r="L108" i="1"/>
  <c r="K108" i="1"/>
  <c r="J108" i="1"/>
  <c r="I108" i="1"/>
  <c r="AE107" i="1"/>
  <c r="AC107" i="1"/>
  <c r="AD107" i="1" s="1"/>
  <c r="AB107" i="1"/>
  <c r="AA107" i="1"/>
  <c r="AA112" i="1" s="1"/>
  <c r="Z107" i="1"/>
  <c r="Z112" i="1" s="1"/>
  <c r="Y107" i="1"/>
  <c r="V107" i="1"/>
  <c r="T107" i="1"/>
  <c r="L107" i="1"/>
  <c r="K107" i="1"/>
  <c r="I107" i="1"/>
  <c r="AE106" i="1"/>
  <c r="AD106" i="1"/>
  <c r="AC106" i="1"/>
  <c r="AB106" i="1"/>
  <c r="AB105" i="1"/>
  <c r="R105" i="1"/>
  <c r="Q105" i="1"/>
  <c r="V105" i="1" s="1"/>
  <c r="P105" i="1"/>
  <c r="O105" i="1"/>
  <c r="H105" i="1"/>
  <c r="G105" i="1"/>
  <c r="F105" i="1"/>
  <c r="L105" i="1" s="1"/>
  <c r="D105" i="1"/>
  <c r="C105" i="1"/>
  <c r="AC104" i="1"/>
  <c r="AB104" i="1"/>
  <c r="AA104" i="1"/>
  <c r="Z104" i="1"/>
  <c r="Y104" i="1"/>
  <c r="V104" i="1"/>
  <c r="U104" i="1"/>
  <c r="T104" i="1"/>
  <c r="L104" i="1"/>
  <c r="K104" i="1"/>
  <c r="J104" i="1"/>
  <c r="I104" i="1"/>
  <c r="Z103" i="1"/>
  <c r="Y103" i="1"/>
  <c r="V103" i="1"/>
  <c r="T103" i="1"/>
  <c r="S103" i="1"/>
  <c r="U103" i="1" s="1"/>
  <c r="R103" i="1"/>
  <c r="AB103" i="1" s="1"/>
  <c r="Q103" i="1"/>
  <c r="AA103" i="1" s="1"/>
  <c r="L103" i="1"/>
  <c r="K103" i="1"/>
  <c r="J103" i="1"/>
  <c r="I103" i="1"/>
  <c r="AE102" i="1"/>
  <c r="AC102" i="1"/>
  <c r="AD102" i="1" s="1"/>
  <c r="AB102" i="1"/>
  <c r="AA102" i="1"/>
  <c r="Z102" i="1"/>
  <c r="Y102" i="1"/>
  <c r="V102" i="1"/>
  <c r="T102" i="1"/>
  <c r="L102" i="1"/>
  <c r="I102" i="1"/>
  <c r="AC101" i="1"/>
  <c r="AB101" i="1"/>
  <c r="AE101" i="1" s="1"/>
  <c r="AA101" i="1"/>
  <c r="Z101" i="1"/>
  <c r="Y101" i="1"/>
  <c r="V101" i="1"/>
  <c r="T101" i="1"/>
  <c r="L101" i="1"/>
  <c r="K101" i="1"/>
  <c r="I101" i="1"/>
  <c r="AD100" i="1"/>
  <c r="AC100" i="1"/>
  <c r="AE100" i="1" s="1"/>
  <c r="AB100" i="1"/>
  <c r="AA100" i="1"/>
  <c r="AA144" i="1" s="1"/>
  <c r="Z100" i="1"/>
  <c r="Z144" i="1" s="1"/>
  <c r="Y100" i="1"/>
  <c r="Y144" i="1" s="1"/>
  <c r="V100" i="1"/>
  <c r="U100" i="1"/>
  <c r="T100" i="1"/>
  <c r="L100" i="1"/>
  <c r="K100" i="1"/>
  <c r="J100" i="1"/>
  <c r="I100" i="1"/>
  <c r="AC99" i="1"/>
  <c r="AE99" i="1" s="1"/>
  <c r="AB99" i="1"/>
  <c r="Z99" i="1"/>
  <c r="Y99" i="1"/>
  <c r="V99" i="1"/>
  <c r="U99" i="1"/>
  <c r="T99" i="1"/>
  <c r="Q99" i="1"/>
  <c r="AA99" i="1" s="1"/>
  <c r="L99" i="1"/>
  <c r="J99" i="1"/>
  <c r="I99" i="1"/>
  <c r="E99" i="1"/>
  <c r="K99" i="1" s="1"/>
  <c r="AC98" i="1"/>
  <c r="AE98" i="1" s="1"/>
  <c r="AB98" i="1"/>
  <c r="AA98" i="1"/>
  <c r="AA142" i="1" s="1"/>
  <c r="Z98" i="1"/>
  <c r="Z142" i="1" s="1"/>
  <c r="Y98" i="1"/>
  <c r="Y142" i="1" s="1"/>
  <c r="V98" i="1"/>
  <c r="U98" i="1"/>
  <c r="T98" i="1"/>
  <c r="L98" i="1"/>
  <c r="K98" i="1"/>
  <c r="J98" i="1"/>
  <c r="I98" i="1"/>
  <c r="AE97" i="1"/>
  <c r="AD97" i="1"/>
  <c r="AC97" i="1"/>
  <c r="AB97" i="1"/>
  <c r="Z97" i="1"/>
  <c r="Y97" i="1"/>
  <c r="U97" i="1"/>
  <c r="T97" i="1"/>
  <c r="Q97" i="1"/>
  <c r="Q141" i="1" s="1"/>
  <c r="V141" i="1" s="1"/>
  <c r="L97" i="1"/>
  <c r="K97" i="1"/>
  <c r="J97" i="1"/>
  <c r="I97" i="1"/>
  <c r="AC96" i="1"/>
  <c r="AE96" i="1" s="1"/>
  <c r="AB96" i="1"/>
  <c r="AA96" i="1"/>
  <c r="Z96" i="1"/>
  <c r="Y96" i="1"/>
  <c r="V96" i="1"/>
  <c r="T96" i="1"/>
  <c r="L96" i="1"/>
  <c r="K96" i="1"/>
  <c r="I96" i="1"/>
  <c r="AC95" i="1"/>
  <c r="AB95" i="1"/>
  <c r="AE95" i="1" s="1"/>
  <c r="AA95" i="1"/>
  <c r="Z95" i="1"/>
  <c r="Z105" i="1" s="1"/>
  <c r="Y95" i="1"/>
  <c r="Y105" i="1" s="1"/>
  <c r="V95" i="1"/>
  <c r="T95" i="1"/>
  <c r="L95" i="1"/>
  <c r="K95" i="1"/>
  <c r="I95" i="1"/>
  <c r="I105" i="1" s="1"/>
  <c r="AC94" i="1"/>
  <c r="AE94" i="1" s="1"/>
  <c r="AB94" i="1"/>
  <c r="S93" i="1"/>
  <c r="R93" i="1"/>
  <c r="AB93" i="1" s="1"/>
  <c r="Q93" i="1"/>
  <c r="P93" i="1"/>
  <c r="V93" i="1" s="1"/>
  <c r="O93" i="1"/>
  <c r="H93" i="1"/>
  <c r="J93" i="1" s="1"/>
  <c r="G93" i="1"/>
  <c r="F93" i="1"/>
  <c r="L93" i="1" s="1"/>
  <c r="E93" i="1"/>
  <c r="D93" i="1"/>
  <c r="C93" i="1"/>
  <c r="AC92" i="1"/>
  <c r="AE92" i="1" s="1"/>
  <c r="AB92" i="1"/>
  <c r="AA92" i="1"/>
  <c r="Z92" i="1"/>
  <c r="Y92" i="1"/>
  <c r="V92" i="1"/>
  <c r="U92" i="1"/>
  <c r="T92" i="1"/>
  <c r="L92" i="1"/>
  <c r="K92" i="1"/>
  <c r="J92" i="1"/>
  <c r="I92" i="1"/>
  <c r="AE91" i="1"/>
  <c r="AC91" i="1"/>
  <c r="AD91" i="1" s="1"/>
  <c r="AB91" i="1"/>
  <c r="AA91" i="1"/>
  <c r="Z91" i="1"/>
  <c r="Y91" i="1"/>
  <c r="V91" i="1"/>
  <c r="T91" i="1"/>
  <c r="L91" i="1"/>
  <c r="K91" i="1"/>
  <c r="I91" i="1"/>
  <c r="AE90" i="1"/>
  <c r="AC90" i="1"/>
  <c r="AD90" i="1" s="1"/>
  <c r="AB90" i="1"/>
  <c r="AA90" i="1"/>
  <c r="Z90" i="1"/>
  <c r="Y90" i="1"/>
  <c r="V90" i="1"/>
  <c r="U90" i="1"/>
  <c r="T90" i="1"/>
  <c r="L90" i="1"/>
  <c r="K90" i="1"/>
  <c r="J90" i="1"/>
  <c r="I90" i="1"/>
  <c r="E90" i="1"/>
  <c r="E143" i="1" s="1"/>
  <c r="AD89" i="1"/>
  <c r="AC89" i="1"/>
  <c r="AB89" i="1"/>
  <c r="AE89" i="1" s="1"/>
  <c r="AA89" i="1"/>
  <c r="Z89" i="1"/>
  <c r="Y89" i="1"/>
  <c r="V89" i="1"/>
  <c r="U89" i="1"/>
  <c r="T89" i="1"/>
  <c r="L89" i="1"/>
  <c r="K89" i="1"/>
  <c r="J89" i="1"/>
  <c r="I89" i="1"/>
  <c r="AC88" i="1"/>
  <c r="AB88" i="1"/>
  <c r="AE88" i="1" s="1"/>
  <c r="AA88" i="1"/>
  <c r="Z88" i="1"/>
  <c r="Z139" i="1" s="1"/>
  <c r="Y88" i="1"/>
  <c r="Y93" i="1" s="1"/>
  <c r="V88" i="1"/>
  <c r="T88" i="1"/>
  <c r="T93" i="1" s="1"/>
  <c r="L88" i="1"/>
  <c r="K88" i="1"/>
  <c r="I88" i="1"/>
  <c r="AC87" i="1"/>
  <c r="AE87" i="1" s="1"/>
  <c r="AB87" i="1"/>
  <c r="AA87" i="1"/>
  <c r="AA93" i="1" s="1"/>
  <c r="Z87" i="1"/>
  <c r="Z93" i="1" s="1"/>
  <c r="Y87" i="1"/>
  <c r="V87" i="1"/>
  <c r="T87" i="1"/>
  <c r="L87" i="1"/>
  <c r="K87" i="1"/>
  <c r="I87" i="1"/>
  <c r="I93" i="1" s="1"/>
  <c r="AC86" i="1"/>
  <c r="AB86" i="1"/>
  <c r="AE86" i="1" s="1"/>
  <c r="V85" i="1"/>
  <c r="S85" i="1"/>
  <c r="U85" i="1" s="1"/>
  <c r="R85" i="1"/>
  <c r="AB85" i="1" s="1"/>
  <c r="Q85" i="1"/>
  <c r="P85" i="1"/>
  <c r="O85" i="1"/>
  <c r="H85" i="1"/>
  <c r="J85" i="1" s="1"/>
  <c r="G85" i="1"/>
  <c r="F85" i="1"/>
  <c r="K85" i="1" s="1"/>
  <c r="E85" i="1"/>
  <c r="D85" i="1"/>
  <c r="L85" i="1" s="1"/>
  <c r="C85" i="1"/>
  <c r="AD84" i="1"/>
  <c r="AC84" i="1"/>
  <c r="AE84" i="1" s="1"/>
  <c r="AB84" i="1"/>
  <c r="AA84" i="1"/>
  <c r="Z84" i="1"/>
  <c r="Y84" i="1"/>
  <c r="V84" i="1"/>
  <c r="T84" i="1"/>
  <c r="L84" i="1"/>
  <c r="K84" i="1"/>
  <c r="I84" i="1"/>
  <c r="AC83" i="1"/>
  <c r="AE83" i="1" s="1"/>
  <c r="AB83" i="1"/>
  <c r="AA83" i="1"/>
  <c r="Z83" i="1"/>
  <c r="Y83" i="1"/>
  <c r="V83" i="1"/>
  <c r="U83" i="1"/>
  <c r="T83" i="1"/>
  <c r="L83" i="1"/>
  <c r="K83" i="1"/>
  <c r="J83" i="1"/>
  <c r="I83" i="1"/>
  <c r="AC82" i="1"/>
  <c r="AE82" i="1" s="1"/>
  <c r="AB82" i="1"/>
  <c r="AA82" i="1"/>
  <c r="Z82" i="1"/>
  <c r="Y82" i="1"/>
  <c r="V82" i="1"/>
  <c r="T82" i="1"/>
  <c r="L82" i="1"/>
  <c r="K82" i="1"/>
  <c r="I82" i="1"/>
  <c r="AE81" i="1"/>
  <c r="AC81" i="1"/>
  <c r="AD81" i="1" s="1"/>
  <c r="AB81" i="1"/>
  <c r="AA81" i="1"/>
  <c r="Z81" i="1"/>
  <c r="Y81" i="1"/>
  <c r="V81" i="1"/>
  <c r="U81" i="1"/>
  <c r="T81" i="1"/>
  <c r="L81" i="1"/>
  <c r="K81" i="1"/>
  <c r="J81" i="1"/>
  <c r="I81" i="1"/>
  <c r="AC80" i="1"/>
  <c r="AE80" i="1" s="1"/>
  <c r="AB80" i="1"/>
  <c r="AA80" i="1"/>
  <c r="Z80" i="1"/>
  <c r="Z85" i="1" s="1"/>
  <c r="Y80" i="1"/>
  <c r="V80" i="1"/>
  <c r="U80" i="1"/>
  <c r="T80" i="1"/>
  <c r="L80" i="1"/>
  <c r="K80" i="1"/>
  <c r="J80" i="1"/>
  <c r="I80" i="1"/>
  <c r="I85" i="1" s="1"/>
  <c r="AC79" i="1"/>
  <c r="AE79" i="1" s="1"/>
  <c r="AB79" i="1"/>
  <c r="AA79" i="1"/>
  <c r="AA85" i="1" s="1"/>
  <c r="Z79" i="1"/>
  <c r="Y79" i="1"/>
  <c r="Y85" i="1" s="1"/>
  <c r="V79" i="1"/>
  <c r="T79" i="1"/>
  <c r="T85" i="1" s="1"/>
  <c r="L79" i="1"/>
  <c r="K79" i="1"/>
  <c r="I79" i="1"/>
  <c r="AE78" i="1"/>
  <c r="AC78" i="1"/>
  <c r="AD78" i="1" s="1"/>
  <c r="AB78" i="1"/>
  <c r="S77" i="1"/>
  <c r="U77" i="1" s="1"/>
  <c r="R77" i="1"/>
  <c r="Q77" i="1"/>
  <c r="V77" i="1" s="1"/>
  <c r="P77" i="1"/>
  <c r="O77" i="1"/>
  <c r="H77" i="1"/>
  <c r="G77" i="1"/>
  <c r="J77" i="1" s="1"/>
  <c r="F77" i="1"/>
  <c r="E77" i="1"/>
  <c r="K77" i="1" s="1"/>
  <c r="D77" i="1"/>
  <c r="L77" i="1" s="1"/>
  <c r="C77" i="1"/>
  <c r="AC76" i="1"/>
  <c r="AB76" i="1"/>
  <c r="AE76" i="1" s="1"/>
  <c r="Z76" i="1"/>
  <c r="Y76" i="1"/>
  <c r="V76" i="1"/>
  <c r="U76" i="1"/>
  <c r="T76" i="1"/>
  <c r="Q76" i="1"/>
  <c r="AA76" i="1" s="1"/>
  <c r="L76" i="1"/>
  <c r="K76" i="1"/>
  <c r="J76" i="1"/>
  <c r="I76" i="1"/>
  <c r="AC75" i="1"/>
  <c r="AE75" i="1" s="1"/>
  <c r="AB75" i="1"/>
  <c r="AA75" i="1"/>
  <c r="Z75" i="1"/>
  <c r="Y75" i="1"/>
  <c r="V75" i="1"/>
  <c r="T75" i="1"/>
  <c r="L75" i="1"/>
  <c r="K75" i="1"/>
  <c r="I75" i="1"/>
  <c r="AE74" i="1"/>
  <c r="AC74" i="1"/>
  <c r="AD74" i="1" s="1"/>
  <c r="AB74" i="1"/>
  <c r="AA74" i="1"/>
  <c r="Z74" i="1"/>
  <c r="Y74" i="1"/>
  <c r="V74" i="1"/>
  <c r="T74" i="1"/>
  <c r="L74" i="1"/>
  <c r="K74" i="1"/>
  <c r="I74" i="1"/>
  <c r="AC73" i="1"/>
  <c r="AE73" i="1" s="1"/>
  <c r="AB73" i="1"/>
  <c r="AA73" i="1"/>
  <c r="Z73" i="1"/>
  <c r="Y73" i="1"/>
  <c r="V73" i="1"/>
  <c r="T73" i="1"/>
  <c r="L73" i="1"/>
  <c r="K73" i="1"/>
  <c r="I73" i="1"/>
  <c r="AE72" i="1"/>
  <c r="AC72" i="1"/>
  <c r="AD72" i="1" s="1"/>
  <c r="AB72" i="1"/>
  <c r="AA72" i="1"/>
  <c r="Z72" i="1"/>
  <c r="Z77" i="1" s="1"/>
  <c r="Y72" i="1"/>
  <c r="Y77" i="1" s="1"/>
  <c r="V72" i="1"/>
  <c r="T72" i="1"/>
  <c r="T77" i="1" s="1"/>
  <c r="L72" i="1"/>
  <c r="K72" i="1"/>
  <c r="I72" i="1"/>
  <c r="I77" i="1" s="1"/>
  <c r="AC71" i="1"/>
  <c r="AE71" i="1" s="1"/>
  <c r="AB71" i="1"/>
  <c r="U70" i="1"/>
  <c r="S70" i="1"/>
  <c r="R70" i="1"/>
  <c r="AB70" i="1" s="1"/>
  <c r="Q70" i="1"/>
  <c r="V70" i="1" s="1"/>
  <c r="P70" i="1"/>
  <c r="O70" i="1"/>
  <c r="K70" i="1"/>
  <c r="H70" i="1"/>
  <c r="J70" i="1" s="1"/>
  <c r="G70" i="1"/>
  <c r="F70" i="1"/>
  <c r="L70" i="1" s="1"/>
  <c r="E70" i="1"/>
  <c r="D70" i="1"/>
  <c r="C70" i="1"/>
  <c r="AC69" i="1"/>
  <c r="AE69" i="1" s="1"/>
  <c r="AB69" i="1"/>
  <c r="AA69" i="1"/>
  <c r="Z69" i="1"/>
  <c r="Y69" i="1"/>
  <c r="V69" i="1"/>
  <c r="U69" i="1"/>
  <c r="T69" i="1"/>
  <c r="L69" i="1"/>
  <c r="K69" i="1"/>
  <c r="J69" i="1"/>
  <c r="I69" i="1"/>
  <c r="AD68" i="1"/>
  <c r="AC68" i="1"/>
  <c r="AB68" i="1"/>
  <c r="AE68" i="1" s="1"/>
  <c r="AA68" i="1"/>
  <c r="Z68" i="1"/>
  <c r="Y68" i="1"/>
  <c r="V68" i="1"/>
  <c r="T68" i="1"/>
  <c r="L68" i="1"/>
  <c r="K68" i="1"/>
  <c r="I68" i="1"/>
  <c r="AE67" i="1"/>
  <c r="AC67" i="1"/>
  <c r="AB67" i="1"/>
  <c r="AD67" i="1" s="1"/>
  <c r="AA67" i="1"/>
  <c r="Z67" i="1"/>
  <c r="Y67" i="1"/>
  <c r="V67" i="1"/>
  <c r="T67" i="1"/>
  <c r="L67" i="1"/>
  <c r="K67" i="1"/>
  <c r="I67" i="1"/>
  <c r="AD66" i="1"/>
  <c r="AC66" i="1"/>
  <c r="AB66" i="1"/>
  <c r="AE66" i="1" s="1"/>
  <c r="AA66" i="1"/>
  <c r="AA70" i="1" s="1"/>
  <c r="Z66" i="1"/>
  <c r="Y66" i="1"/>
  <c r="V66" i="1"/>
  <c r="U66" i="1"/>
  <c r="T66" i="1"/>
  <c r="L66" i="1"/>
  <c r="K66" i="1"/>
  <c r="J66" i="1"/>
  <c r="I66" i="1"/>
  <c r="AC65" i="1"/>
  <c r="AB65" i="1"/>
  <c r="AE65" i="1" s="1"/>
  <c r="AA65" i="1"/>
  <c r="Z65" i="1"/>
  <c r="Z70" i="1" s="1"/>
  <c r="Y65" i="1"/>
  <c r="Y70" i="1" s="1"/>
  <c r="V65" i="1"/>
  <c r="T65" i="1"/>
  <c r="T70" i="1" s="1"/>
  <c r="L65" i="1"/>
  <c r="K65" i="1"/>
  <c r="I65" i="1"/>
  <c r="I70" i="1" s="1"/>
  <c r="AC64" i="1"/>
  <c r="AE64" i="1" s="1"/>
  <c r="AB64" i="1"/>
  <c r="Y63" i="1"/>
  <c r="S63" i="1"/>
  <c r="R63" i="1"/>
  <c r="AB63" i="1" s="1"/>
  <c r="Q63" i="1"/>
  <c r="P63" i="1"/>
  <c r="V63" i="1" s="1"/>
  <c r="O63" i="1"/>
  <c r="H63" i="1"/>
  <c r="J63" i="1" s="1"/>
  <c r="G63" i="1"/>
  <c r="F63" i="1"/>
  <c r="L63" i="1" s="1"/>
  <c r="E63" i="1"/>
  <c r="D63" i="1"/>
  <c r="C63" i="1"/>
  <c r="AC62" i="1"/>
  <c r="AE62" i="1" s="1"/>
  <c r="AB62" i="1"/>
  <c r="AA62" i="1"/>
  <c r="Z62" i="1"/>
  <c r="Y62" i="1"/>
  <c r="V62" i="1"/>
  <c r="U62" i="1"/>
  <c r="T62" i="1"/>
  <c r="L62" i="1"/>
  <c r="K62" i="1"/>
  <c r="J62" i="1"/>
  <c r="I62" i="1"/>
  <c r="AC61" i="1"/>
  <c r="AE61" i="1" s="1"/>
  <c r="AB61" i="1"/>
  <c r="AA61" i="1"/>
  <c r="Z61" i="1"/>
  <c r="Y61" i="1"/>
  <c r="V61" i="1"/>
  <c r="T61" i="1"/>
  <c r="L61" i="1"/>
  <c r="K61" i="1"/>
  <c r="I61" i="1"/>
  <c r="AE60" i="1"/>
  <c r="AC60" i="1"/>
  <c r="AD60" i="1" s="1"/>
  <c r="AB60" i="1"/>
  <c r="AA60" i="1"/>
  <c r="Z60" i="1"/>
  <c r="Z147" i="1" s="1"/>
  <c r="Y60" i="1"/>
  <c r="Y147" i="1" s="1"/>
  <c r="V60" i="1"/>
  <c r="U60" i="1"/>
  <c r="T60" i="1"/>
  <c r="L60" i="1"/>
  <c r="K60" i="1"/>
  <c r="J60" i="1"/>
  <c r="I60" i="1"/>
  <c r="I63" i="1" s="1"/>
  <c r="AC59" i="1"/>
  <c r="AE59" i="1" s="1"/>
  <c r="AB59" i="1"/>
  <c r="AA59" i="1"/>
  <c r="AA63" i="1" s="1"/>
  <c r="Z59" i="1"/>
  <c r="Z63" i="1" s="1"/>
  <c r="Y59" i="1"/>
  <c r="V59" i="1"/>
  <c r="T59" i="1"/>
  <c r="T63" i="1" s="1"/>
  <c r="L59" i="1"/>
  <c r="K59" i="1"/>
  <c r="I59" i="1"/>
  <c r="AE58" i="1"/>
  <c r="AD58" i="1"/>
  <c r="AC58" i="1"/>
  <c r="AB58" i="1"/>
  <c r="S57" i="1"/>
  <c r="AC57" i="1" s="1"/>
  <c r="R57" i="1"/>
  <c r="Q57" i="1"/>
  <c r="V57" i="1" s="1"/>
  <c r="P57" i="1"/>
  <c r="O57" i="1"/>
  <c r="H57" i="1"/>
  <c r="G57" i="1"/>
  <c r="AB57" i="1" s="1"/>
  <c r="F57" i="1"/>
  <c r="L57" i="1" s="1"/>
  <c r="E57" i="1"/>
  <c r="D57" i="1"/>
  <c r="C57" i="1"/>
  <c r="AD56" i="1"/>
  <c r="AC56" i="1"/>
  <c r="AB56" i="1"/>
  <c r="AE56" i="1" s="1"/>
  <c r="AA56" i="1"/>
  <c r="AA57" i="1" s="1"/>
  <c r="Z56" i="1"/>
  <c r="Y56" i="1"/>
  <c r="V56" i="1"/>
  <c r="U56" i="1"/>
  <c r="T56" i="1"/>
  <c r="L56" i="1"/>
  <c r="K56" i="1"/>
  <c r="J56" i="1"/>
  <c r="I56" i="1"/>
  <c r="AC55" i="1"/>
  <c r="AB55" i="1"/>
  <c r="AE55" i="1" s="1"/>
  <c r="AA55" i="1"/>
  <c r="Z55" i="1"/>
  <c r="Y55" i="1"/>
  <c r="V55" i="1"/>
  <c r="U55" i="1"/>
  <c r="T55" i="1"/>
  <c r="L55" i="1"/>
  <c r="K55" i="1"/>
  <c r="J55" i="1"/>
  <c r="I55" i="1"/>
  <c r="AE54" i="1"/>
  <c r="AC54" i="1"/>
  <c r="AB54" i="1"/>
  <c r="AD54" i="1" s="1"/>
  <c r="AA54" i="1"/>
  <c r="Z54" i="1"/>
  <c r="Z57" i="1" s="1"/>
  <c r="Y54" i="1"/>
  <c r="V54" i="1"/>
  <c r="U54" i="1"/>
  <c r="T54" i="1"/>
  <c r="L54" i="1"/>
  <c r="K54" i="1"/>
  <c r="J54" i="1"/>
  <c r="I54" i="1"/>
  <c r="AC53" i="1"/>
  <c r="AE53" i="1" s="1"/>
  <c r="AB53" i="1"/>
  <c r="AA53" i="1"/>
  <c r="Z53" i="1"/>
  <c r="Y53" i="1"/>
  <c r="V53" i="1"/>
  <c r="T53" i="1"/>
  <c r="L53" i="1"/>
  <c r="K53" i="1"/>
  <c r="I53" i="1"/>
  <c r="AC52" i="1"/>
  <c r="AB52" i="1"/>
  <c r="AE52" i="1" s="1"/>
  <c r="AA52" i="1"/>
  <c r="AA145" i="1" s="1"/>
  <c r="Z52" i="1"/>
  <c r="Z145" i="1" s="1"/>
  <c r="Y52" i="1"/>
  <c r="Y145" i="1" s="1"/>
  <c r="V52" i="1"/>
  <c r="T52" i="1"/>
  <c r="T57" i="1" s="1"/>
  <c r="L52" i="1"/>
  <c r="K52" i="1"/>
  <c r="I52" i="1"/>
  <c r="I57" i="1" s="1"/>
  <c r="AC51" i="1"/>
  <c r="AE51" i="1" s="1"/>
  <c r="AB51" i="1"/>
  <c r="Y50" i="1"/>
  <c r="T50" i="1"/>
  <c r="S50" i="1"/>
  <c r="R50" i="1"/>
  <c r="U50" i="1" s="1"/>
  <c r="Q50" i="1"/>
  <c r="P50" i="1"/>
  <c r="V50" i="1" s="1"/>
  <c r="O50" i="1"/>
  <c r="H50" i="1"/>
  <c r="J50" i="1" s="1"/>
  <c r="G50" i="1"/>
  <c r="F50" i="1"/>
  <c r="L50" i="1" s="1"/>
  <c r="E50" i="1"/>
  <c r="D50" i="1"/>
  <c r="C50" i="1"/>
  <c r="AC49" i="1"/>
  <c r="AE49" i="1" s="1"/>
  <c r="AB49" i="1"/>
  <c r="AA49" i="1"/>
  <c r="Z49" i="1"/>
  <c r="Z50" i="1" s="1"/>
  <c r="Y49" i="1"/>
  <c r="V49" i="1"/>
  <c r="U49" i="1"/>
  <c r="T49" i="1"/>
  <c r="L49" i="1"/>
  <c r="K49" i="1"/>
  <c r="J49" i="1"/>
  <c r="I49" i="1"/>
  <c r="AC48" i="1"/>
  <c r="AE48" i="1" s="1"/>
  <c r="AB48" i="1"/>
  <c r="AA48" i="1"/>
  <c r="AA50" i="1" s="1"/>
  <c r="Z48" i="1"/>
  <c r="Y48" i="1"/>
  <c r="V48" i="1"/>
  <c r="T48" i="1"/>
  <c r="L48" i="1"/>
  <c r="K48" i="1"/>
  <c r="I48" i="1"/>
  <c r="I50" i="1" s="1"/>
  <c r="AE47" i="1"/>
  <c r="AC47" i="1"/>
  <c r="AD47" i="1" s="1"/>
  <c r="AB47" i="1"/>
  <c r="V47" i="1"/>
  <c r="T47" i="1"/>
  <c r="L47" i="1"/>
  <c r="K47" i="1"/>
  <c r="I47" i="1"/>
  <c r="V46" i="1"/>
  <c r="S46" i="1"/>
  <c r="U46" i="1" s="1"/>
  <c r="R46" i="1"/>
  <c r="AB46" i="1" s="1"/>
  <c r="Q46" i="1"/>
  <c r="P46" i="1"/>
  <c r="O46" i="1"/>
  <c r="J46" i="1"/>
  <c r="H46" i="1"/>
  <c r="G46" i="1"/>
  <c r="F46" i="1"/>
  <c r="K46" i="1" s="1"/>
  <c r="E46" i="1"/>
  <c r="D46" i="1"/>
  <c r="L46" i="1" s="1"/>
  <c r="C46" i="1"/>
  <c r="AE45" i="1"/>
  <c r="AD45" i="1"/>
  <c r="AC45" i="1"/>
  <c r="AB45" i="1"/>
  <c r="AA45" i="1"/>
  <c r="Z45" i="1"/>
  <c r="Y45" i="1"/>
  <c r="V45" i="1"/>
  <c r="T45" i="1"/>
  <c r="T46" i="1" s="1"/>
  <c r="L45" i="1"/>
  <c r="K45" i="1"/>
  <c r="I45" i="1"/>
  <c r="AC44" i="1"/>
  <c r="AE44" i="1" s="1"/>
  <c r="AB44" i="1"/>
  <c r="AA44" i="1"/>
  <c r="AA46" i="1" s="1"/>
  <c r="Z44" i="1"/>
  <c r="Z46" i="1" s="1"/>
  <c r="Y44" i="1"/>
  <c r="Y46" i="1" s="1"/>
  <c r="V44" i="1"/>
  <c r="U44" i="1"/>
  <c r="T44" i="1"/>
  <c r="L44" i="1"/>
  <c r="K44" i="1"/>
  <c r="J44" i="1"/>
  <c r="I44" i="1"/>
  <c r="I46" i="1" s="1"/>
  <c r="AC43" i="1"/>
  <c r="AE43" i="1" s="1"/>
  <c r="AB43" i="1"/>
  <c r="U42" i="1"/>
  <c r="S42" i="1"/>
  <c r="R42" i="1"/>
  <c r="AB42" i="1" s="1"/>
  <c r="Q42" i="1"/>
  <c r="V42" i="1" s="1"/>
  <c r="P42" i="1"/>
  <c r="O42" i="1"/>
  <c r="K42" i="1"/>
  <c r="H42" i="1"/>
  <c r="J42" i="1" s="1"/>
  <c r="G42" i="1"/>
  <c r="F42" i="1"/>
  <c r="L42" i="1" s="1"/>
  <c r="E42" i="1"/>
  <c r="D42" i="1"/>
  <c r="C42" i="1"/>
  <c r="AC41" i="1"/>
  <c r="AE41" i="1" s="1"/>
  <c r="AB41" i="1"/>
  <c r="AA41" i="1"/>
  <c r="Z41" i="1"/>
  <c r="Y41" i="1"/>
  <c r="V41" i="1"/>
  <c r="U41" i="1"/>
  <c r="T41" i="1"/>
  <c r="L41" i="1"/>
  <c r="K41" i="1"/>
  <c r="J41" i="1"/>
  <c r="I41" i="1"/>
  <c r="F41" i="1"/>
  <c r="F148" i="1" s="1"/>
  <c r="AE40" i="1"/>
  <c r="AC40" i="1"/>
  <c r="AD40" i="1" s="1"/>
  <c r="AB40" i="1"/>
  <c r="AA40" i="1"/>
  <c r="Z40" i="1"/>
  <c r="Y40" i="1"/>
  <c r="V40" i="1"/>
  <c r="T40" i="1"/>
  <c r="L40" i="1"/>
  <c r="K40" i="1"/>
  <c r="I40" i="1"/>
  <c r="I42" i="1" s="1"/>
  <c r="AC39" i="1"/>
  <c r="AE39" i="1" s="1"/>
  <c r="AB39" i="1"/>
  <c r="AA39" i="1"/>
  <c r="Z39" i="1"/>
  <c r="Y39" i="1"/>
  <c r="V39" i="1"/>
  <c r="U39" i="1"/>
  <c r="T39" i="1"/>
  <c r="L39" i="1"/>
  <c r="K39" i="1"/>
  <c r="J39" i="1"/>
  <c r="I39" i="1"/>
  <c r="AE38" i="1"/>
  <c r="AD38" i="1"/>
  <c r="AC38" i="1"/>
  <c r="AB38" i="1"/>
  <c r="AA38" i="1"/>
  <c r="Z38" i="1"/>
  <c r="Y38" i="1"/>
  <c r="V38" i="1"/>
  <c r="T38" i="1"/>
  <c r="L38" i="1"/>
  <c r="K38" i="1"/>
  <c r="I38" i="1"/>
  <c r="AC37" i="1"/>
  <c r="AE37" i="1" s="1"/>
  <c r="AB37" i="1"/>
  <c r="AA37" i="1"/>
  <c r="AA42" i="1" s="1"/>
  <c r="Z37" i="1"/>
  <c r="Z42" i="1" s="1"/>
  <c r="Y37" i="1"/>
  <c r="Y42" i="1" s="1"/>
  <c r="V37" i="1"/>
  <c r="T37" i="1"/>
  <c r="T42" i="1" s="1"/>
  <c r="L37" i="1"/>
  <c r="K37" i="1"/>
  <c r="I37" i="1"/>
  <c r="AE36" i="1"/>
  <c r="AD36" i="1"/>
  <c r="AC36" i="1"/>
  <c r="AB36" i="1"/>
  <c r="S35" i="1"/>
  <c r="AC35" i="1" s="1"/>
  <c r="R35" i="1"/>
  <c r="Q35" i="1"/>
  <c r="V35" i="1" s="1"/>
  <c r="P35" i="1"/>
  <c r="O35" i="1"/>
  <c r="H35" i="1"/>
  <c r="G35" i="1"/>
  <c r="AB35" i="1" s="1"/>
  <c r="F35" i="1"/>
  <c r="L35" i="1" s="1"/>
  <c r="E35" i="1"/>
  <c r="D35" i="1"/>
  <c r="C35" i="1"/>
  <c r="AD34" i="1"/>
  <c r="AC34" i="1"/>
  <c r="AB34" i="1"/>
  <c r="AE34" i="1" s="1"/>
  <c r="AA34" i="1"/>
  <c r="AA35" i="1" s="1"/>
  <c r="Z34" i="1"/>
  <c r="Y34" i="1"/>
  <c r="V34" i="1"/>
  <c r="U34" i="1"/>
  <c r="T34" i="1"/>
  <c r="L34" i="1"/>
  <c r="K34" i="1"/>
  <c r="J34" i="1"/>
  <c r="I34" i="1"/>
  <c r="AC33" i="1"/>
  <c r="AB33" i="1"/>
  <c r="AE33" i="1" s="1"/>
  <c r="AA33" i="1"/>
  <c r="Z33" i="1"/>
  <c r="Y33" i="1"/>
  <c r="Y35" i="1" s="1"/>
  <c r="V33" i="1"/>
  <c r="U33" i="1"/>
  <c r="T33" i="1"/>
  <c r="L33" i="1"/>
  <c r="K33" i="1"/>
  <c r="J33" i="1"/>
  <c r="I33" i="1"/>
  <c r="AE32" i="1"/>
  <c r="AC32" i="1"/>
  <c r="AB32" i="1"/>
  <c r="AD32" i="1" s="1"/>
  <c r="AA32" i="1"/>
  <c r="Z32" i="1"/>
  <c r="Z35" i="1" s="1"/>
  <c r="Y32" i="1"/>
  <c r="V32" i="1"/>
  <c r="U32" i="1"/>
  <c r="T32" i="1"/>
  <c r="L32" i="1"/>
  <c r="K32" i="1"/>
  <c r="J32" i="1"/>
  <c r="I32" i="1"/>
  <c r="I35" i="1" s="1"/>
  <c r="AC31" i="1"/>
  <c r="AE31" i="1" s="1"/>
  <c r="AB31" i="1"/>
  <c r="AA31" i="1"/>
  <c r="Z31" i="1"/>
  <c r="Y31" i="1"/>
  <c r="V31" i="1"/>
  <c r="T31" i="1"/>
  <c r="T35" i="1" s="1"/>
  <c r="L31" i="1"/>
  <c r="K31" i="1"/>
  <c r="I31" i="1"/>
  <c r="AC30" i="1"/>
  <c r="AB30" i="1"/>
  <c r="AE30" i="1" s="1"/>
  <c r="S29" i="1"/>
  <c r="U29" i="1" s="1"/>
  <c r="P29" i="1"/>
  <c r="O29" i="1"/>
  <c r="J29" i="1"/>
  <c r="H29" i="1"/>
  <c r="G29" i="1"/>
  <c r="F29" i="1"/>
  <c r="K29" i="1" s="1"/>
  <c r="E29" i="1"/>
  <c r="D29" i="1"/>
  <c r="L29" i="1" s="1"/>
  <c r="C29" i="1"/>
  <c r="AE28" i="1"/>
  <c r="AD28" i="1"/>
  <c r="AC28" i="1"/>
  <c r="AB28" i="1"/>
  <c r="AA28" i="1"/>
  <c r="Z28" i="1"/>
  <c r="Y28" i="1"/>
  <c r="V28" i="1"/>
  <c r="T28" i="1"/>
  <c r="L28" i="1"/>
  <c r="K28" i="1"/>
  <c r="I28" i="1"/>
  <c r="AC27" i="1"/>
  <c r="AE27" i="1" s="1"/>
  <c r="AB27" i="1"/>
  <c r="AA27" i="1"/>
  <c r="Z27" i="1"/>
  <c r="Y27" i="1"/>
  <c r="V27" i="1"/>
  <c r="U27" i="1"/>
  <c r="T27" i="1"/>
  <c r="L27" i="1"/>
  <c r="K27" i="1"/>
  <c r="J27" i="1"/>
  <c r="I27" i="1"/>
  <c r="AC26" i="1"/>
  <c r="AA26" i="1"/>
  <c r="Z26" i="1"/>
  <c r="Y26" i="1"/>
  <c r="V26" i="1"/>
  <c r="R26" i="1"/>
  <c r="R29" i="1" s="1"/>
  <c r="AB29" i="1" s="1"/>
  <c r="Q26" i="1"/>
  <c r="Q148" i="1" s="1"/>
  <c r="V148" i="1" s="1"/>
  <c r="L26" i="1"/>
  <c r="K26" i="1"/>
  <c r="J26" i="1"/>
  <c r="I26" i="1"/>
  <c r="AC25" i="1"/>
  <c r="AE25" i="1" s="1"/>
  <c r="AB25" i="1"/>
  <c r="AA25" i="1"/>
  <c r="Z25" i="1"/>
  <c r="Y25" i="1"/>
  <c r="V25" i="1"/>
  <c r="T25" i="1"/>
  <c r="L25" i="1"/>
  <c r="K25" i="1"/>
  <c r="I25" i="1"/>
  <c r="AE24" i="1"/>
  <c r="AC24" i="1"/>
  <c r="AD24" i="1" s="1"/>
  <c r="AB24" i="1"/>
  <c r="AA24" i="1"/>
  <c r="Z24" i="1"/>
  <c r="Y24" i="1"/>
  <c r="Y146" i="1" s="1"/>
  <c r="V24" i="1"/>
  <c r="T24" i="1"/>
  <c r="L24" i="1"/>
  <c r="K24" i="1"/>
  <c r="I24" i="1"/>
  <c r="AC23" i="1"/>
  <c r="AE23" i="1" s="1"/>
  <c r="AB23" i="1"/>
  <c r="AA23" i="1"/>
  <c r="AA143" i="1" s="1"/>
  <c r="Z23" i="1"/>
  <c r="Y23" i="1"/>
  <c r="Y143" i="1" s="1"/>
  <c r="V23" i="1"/>
  <c r="U23" i="1"/>
  <c r="T23" i="1"/>
  <c r="Q23" i="1"/>
  <c r="Q143" i="1" s="1"/>
  <c r="V143" i="1" s="1"/>
  <c r="L23" i="1"/>
  <c r="K23" i="1"/>
  <c r="J23" i="1"/>
  <c r="I23" i="1"/>
  <c r="AE22" i="1"/>
  <c r="AC22" i="1"/>
  <c r="AB22" i="1"/>
  <c r="AD22" i="1" s="1"/>
  <c r="AA22" i="1"/>
  <c r="Z22" i="1"/>
  <c r="Y22" i="1"/>
  <c r="V22" i="1"/>
  <c r="U22" i="1"/>
  <c r="T22" i="1"/>
  <c r="L22" i="1"/>
  <c r="K22" i="1"/>
  <c r="J22" i="1"/>
  <c r="I22" i="1"/>
  <c r="I29" i="1" s="1"/>
  <c r="AC21" i="1"/>
  <c r="AE21" i="1" s="1"/>
  <c r="AB21" i="1"/>
  <c r="AA21" i="1"/>
  <c r="AA29" i="1" s="1"/>
  <c r="Z21" i="1"/>
  <c r="Z29" i="1" s="1"/>
  <c r="Y21" i="1"/>
  <c r="Y29" i="1" s="1"/>
  <c r="V21" i="1"/>
  <c r="T21" i="1"/>
  <c r="L21" i="1"/>
  <c r="K21" i="1"/>
  <c r="I21" i="1"/>
  <c r="AC20" i="1"/>
  <c r="AE20" i="1" s="1"/>
  <c r="AB20" i="1"/>
  <c r="AD20" i="1" s="1"/>
  <c r="S19" i="1"/>
  <c r="P19" i="1"/>
  <c r="O19" i="1"/>
  <c r="J19" i="1"/>
  <c r="H19" i="1"/>
  <c r="G19" i="1"/>
  <c r="F19" i="1"/>
  <c r="K19" i="1" s="1"/>
  <c r="E19" i="1"/>
  <c r="D19" i="1"/>
  <c r="L19" i="1" s="1"/>
  <c r="C19" i="1"/>
  <c r="Z18" i="1"/>
  <c r="Z149" i="1" s="1"/>
  <c r="Y18" i="1"/>
  <c r="Y149" i="1" s="1"/>
  <c r="U18" i="1"/>
  <c r="T18" i="1"/>
  <c r="S18" i="1"/>
  <c r="S149" i="1" s="1"/>
  <c r="R18" i="1"/>
  <c r="R149" i="1" s="1"/>
  <c r="Q18" i="1"/>
  <c r="V18" i="1" s="1"/>
  <c r="L18" i="1"/>
  <c r="K18" i="1"/>
  <c r="J18" i="1"/>
  <c r="I18" i="1"/>
  <c r="AA17" i="1"/>
  <c r="Z17" i="1"/>
  <c r="Y17" i="1"/>
  <c r="V17" i="1"/>
  <c r="U17" i="1"/>
  <c r="S17" i="1"/>
  <c r="S148" i="1" s="1"/>
  <c r="R17" i="1"/>
  <c r="R148" i="1" s="1"/>
  <c r="L17" i="1"/>
  <c r="K17" i="1"/>
  <c r="J17" i="1"/>
  <c r="I17" i="1"/>
  <c r="AE16" i="1"/>
  <c r="AC16" i="1"/>
  <c r="AB16" i="1"/>
  <c r="AD16" i="1" s="1"/>
  <c r="AA16" i="1"/>
  <c r="Z16" i="1"/>
  <c r="Z141" i="1" s="1"/>
  <c r="Y16" i="1"/>
  <c r="Y141" i="1" s="1"/>
  <c r="V16" i="1"/>
  <c r="T16" i="1"/>
  <c r="L16" i="1"/>
  <c r="K16" i="1"/>
  <c r="I16" i="1"/>
  <c r="I19" i="1" s="1"/>
  <c r="AD15" i="1"/>
  <c r="AC15" i="1"/>
  <c r="AB15" i="1"/>
  <c r="AE15" i="1" s="1"/>
  <c r="AA15" i="1"/>
  <c r="Z15" i="1"/>
  <c r="Y15" i="1"/>
  <c r="Y19" i="1" s="1"/>
  <c r="V15" i="1"/>
  <c r="T15" i="1"/>
  <c r="L15" i="1"/>
  <c r="K15" i="1"/>
  <c r="I15" i="1"/>
  <c r="AE14" i="1"/>
  <c r="AC14" i="1"/>
  <c r="AB14" i="1"/>
  <c r="AD14" i="1" s="1"/>
  <c r="AA13" i="1"/>
  <c r="T13" i="1"/>
  <c r="S13" i="1"/>
  <c r="R13" i="1"/>
  <c r="U13" i="1" s="1"/>
  <c r="Q13" i="1"/>
  <c r="V13" i="1" s="1"/>
  <c r="P13" i="1"/>
  <c r="O13" i="1"/>
  <c r="J13" i="1"/>
  <c r="H13" i="1"/>
  <c r="AC13" i="1" s="1"/>
  <c r="G13" i="1"/>
  <c r="AB13" i="1" s="1"/>
  <c r="F13" i="1"/>
  <c r="K13" i="1" s="1"/>
  <c r="E13" i="1"/>
  <c r="D13" i="1"/>
  <c r="L13" i="1" s="1"/>
  <c r="C13" i="1"/>
  <c r="AE12" i="1"/>
  <c r="AC12" i="1"/>
  <c r="AD12" i="1" s="1"/>
  <c r="AB12" i="1"/>
  <c r="AA12" i="1"/>
  <c r="Z12" i="1"/>
  <c r="Y12" i="1"/>
  <c r="V12" i="1"/>
  <c r="U12" i="1"/>
  <c r="T12" i="1"/>
  <c r="L12" i="1"/>
  <c r="K12" i="1"/>
  <c r="J12" i="1"/>
  <c r="I12" i="1"/>
  <c r="AC11" i="1"/>
  <c r="AE11" i="1" s="1"/>
  <c r="AB11" i="1"/>
  <c r="AA11" i="1"/>
  <c r="Z11" i="1"/>
  <c r="Z13" i="1" s="1"/>
  <c r="Y11" i="1"/>
  <c r="Y13" i="1" s="1"/>
  <c r="V11" i="1"/>
  <c r="T11" i="1"/>
  <c r="L11" i="1"/>
  <c r="K11" i="1"/>
  <c r="I11" i="1"/>
  <c r="I13" i="1" s="1"/>
  <c r="AE10" i="1"/>
  <c r="AD10" i="1"/>
  <c r="AC10" i="1"/>
  <c r="AB10" i="1"/>
  <c r="Z9" i="1"/>
  <c r="S9" i="1"/>
  <c r="AC9" i="1" s="1"/>
  <c r="R9" i="1"/>
  <c r="Q9" i="1"/>
  <c r="V9" i="1" s="1"/>
  <c r="P9" i="1"/>
  <c r="O9" i="1"/>
  <c r="H9" i="1"/>
  <c r="G9" i="1"/>
  <c r="AB9" i="1" s="1"/>
  <c r="F9" i="1"/>
  <c r="L9" i="1" s="1"/>
  <c r="E9" i="1"/>
  <c r="D9" i="1"/>
  <c r="C9" i="1"/>
  <c r="AD8" i="1"/>
  <c r="AC8" i="1"/>
  <c r="AB8" i="1"/>
  <c r="AE8" i="1" s="1"/>
  <c r="AA8" i="1"/>
  <c r="AA148" i="1" s="1"/>
  <c r="Z8" i="1"/>
  <c r="Z148" i="1" s="1"/>
  <c r="Y8" i="1"/>
  <c r="V8" i="1"/>
  <c r="U8" i="1"/>
  <c r="T8" i="1"/>
  <c r="J8" i="1"/>
  <c r="L8" i="1" s="1"/>
  <c r="I8" i="1"/>
  <c r="K8" i="1" s="1"/>
  <c r="AC7" i="1"/>
  <c r="AB7" i="1"/>
  <c r="AE7" i="1" s="1"/>
  <c r="AA7" i="1"/>
  <c r="AA150" i="1" s="1"/>
  <c r="Z7" i="1"/>
  <c r="Z150" i="1" s="1"/>
  <c r="Y7" i="1"/>
  <c r="Y150" i="1" s="1"/>
  <c r="V7" i="1"/>
  <c r="T7" i="1"/>
  <c r="L7" i="1"/>
  <c r="K7" i="1"/>
  <c r="I7" i="1"/>
  <c r="I9" i="1" s="1"/>
  <c r="AC6" i="1"/>
  <c r="AE6" i="1" s="1"/>
  <c r="AB6" i="1"/>
  <c r="AA6" i="1"/>
  <c r="AA138" i="1" s="1"/>
  <c r="Z6" i="1"/>
  <c r="Z138" i="1" s="1"/>
  <c r="Y6" i="1"/>
  <c r="Y138" i="1" s="1"/>
  <c r="V6" i="1"/>
  <c r="U6" i="1"/>
  <c r="T6" i="1"/>
  <c r="L6" i="1"/>
  <c r="K6" i="1"/>
  <c r="J6" i="1"/>
  <c r="I6" i="1"/>
  <c r="AD5" i="1"/>
  <c r="AC5" i="1"/>
  <c r="AB5" i="1"/>
  <c r="AE5" i="1" s="1"/>
  <c r="AA5" i="1"/>
  <c r="AA9" i="1" s="1"/>
  <c r="Z5" i="1"/>
  <c r="Z137" i="1" s="1"/>
  <c r="Y5" i="1"/>
  <c r="Y137" i="1" s="1"/>
  <c r="V5" i="1"/>
  <c r="T5" i="1"/>
  <c r="T9" i="1" s="1"/>
  <c r="L5" i="1"/>
  <c r="K5" i="1"/>
  <c r="I5" i="1"/>
  <c r="AC3" i="1"/>
  <c r="S3" i="1"/>
  <c r="T2" i="1"/>
  <c r="W1" i="1"/>
  <c r="M1" i="1"/>
  <c r="D96" i="17" l="1"/>
  <c r="E96" i="17" s="1"/>
  <c r="I15" i="17"/>
  <c r="I32" i="17"/>
  <c r="H101" i="17"/>
  <c r="C104" i="17"/>
  <c r="G116" i="17"/>
  <c r="I39" i="17"/>
  <c r="I90" i="17"/>
  <c r="H107" i="17"/>
  <c r="I106" i="17"/>
  <c r="I113" i="17"/>
  <c r="M116" i="17"/>
  <c r="H67" i="17"/>
  <c r="I67" i="17" s="1"/>
  <c r="M8" i="17"/>
  <c r="I20" i="17"/>
  <c r="H26" i="17"/>
  <c r="I26" i="17" s="1"/>
  <c r="I92" i="17"/>
  <c r="M97" i="17"/>
  <c r="I110" i="17"/>
  <c r="I28" i="17"/>
  <c r="G39" i="17"/>
  <c r="M49" i="17"/>
  <c r="I53" i="17"/>
  <c r="H61" i="17"/>
  <c r="I61" i="17" s="1"/>
  <c r="I82" i="17"/>
  <c r="M83" i="17"/>
  <c r="C96" i="17"/>
  <c r="G97" i="17"/>
  <c r="H100" i="17"/>
  <c r="I100" i="17" s="1"/>
  <c r="D101" i="17"/>
  <c r="E101" i="17" s="1"/>
  <c r="L103" i="17"/>
  <c r="M103" i="17" s="1"/>
  <c r="C107" i="17"/>
  <c r="C116" i="17" s="1"/>
  <c r="E122" i="17"/>
  <c r="H109" i="17"/>
  <c r="I109" i="17" s="1"/>
  <c r="E19" i="17"/>
  <c r="M31" i="17"/>
  <c r="I48" i="17"/>
  <c r="I69" i="17"/>
  <c r="H97" i="17"/>
  <c r="E106" i="17"/>
  <c r="D107" i="17"/>
  <c r="M113" i="17"/>
  <c r="G19" i="17"/>
  <c r="E20" i="17"/>
  <c r="H78" i="17"/>
  <c r="I78" i="17" s="1"/>
  <c r="L84" i="17"/>
  <c r="M84" i="17" s="1"/>
  <c r="M107" i="17"/>
  <c r="I13" i="17"/>
  <c r="L51" i="17"/>
  <c r="M51" i="17" s="1"/>
  <c r="E97" i="17"/>
  <c r="AD143" i="1"/>
  <c r="AE143" i="1"/>
  <c r="AE146" i="1"/>
  <c r="AD146" i="1"/>
  <c r="AE144" i="2"/>
  <c r="AA77" i="1"/>
  <c r="AD42" i="2"/>
  <c r="AE42" i="2"/>
  <c r="Z151" i="1"/>
  <c r="AE9" i="1"/>
  <c r="AD9" i="1"/>
  <c r="AE35" i="1"/>
  <c r="AD35" i="1"/>
  <c r="U148" i="2"/>
  <c r="AC148" i="2"/>
  <c r="T148" i="2"/>
  <c r="AE137" i="2"/>
  <c r="AD137" i="2"/>
  <c r="AD13" i="1"/>
  <c r="AE13" i="1"/>
  <c r="L148" i="1"/>
  <c r="K148" i="1"/>
  <c r="AE147" i="2"/>
  <c r="AD147" i="2"/>
  <c r="AE144" i="1"/>
  <c r="AD144" i="1"/>
  <c r="AD13" i="2"/>
  <c r="T19" i="1"/>
  <c r="AE57" i="1"/>
  <c r="AD57" i="1"/>
  <c r="AB148" i="1"/>
  <c r="AB50" i="1"/>
  <c r="AE124" i="1"/>
  <c r="AD124" i="1"/>
  <c r="AC145" i="1"/>
  <c r="J9" i="1"/>
  <c r="AD11" i="1"/>
  <c r="AB26" i="1"/>
  <c r="AE26" i="1" s="1"/>
  <c r="AD27" i="1"/>
  <c r="J35" i="1"/>
  <c r="AD37" i="1"/>
  <c r="AD44" i="1"/>
  <c r="AD49" i="1"/>
  <c r="AC50" i="1"/>
  <c r="J57" i="1"/>
  <c r="AD59" i="1"/>
  <c r="AD62" i="1"/>
  <c r="AC63" i="1"/>
  <c r="AB77" i="1"/>
  <c r="AD80" i="1"/>
  <c r="AD83" i="1"/>
  <c r="AD92" i="1"/>
  <c r="AC93" i="1"/>
  <c r="AD99" i="1"/>
  <c r="E105" i="1"/>
  <c r="K105" i="1" s="1"/>
  <c r="Y112" i="1"/>
  <c r="AC130" i="1"/>
  <c r="R151" i="1"/>
  <c r="K140" i="1"/>
  <c r="I146" i="1"/>
  <c r="J147" i="1"/>
  <c r="AB147" i="1"/>
  <c r="C167" i="1"/>
  <c r="T9" i="2"/>
  <c r="Z148" i="2"/>
  <c r="U9" i="2"/>
  <c r="AE11" i="2"/>
  <c r="AD11" i="2"/>
  <c r="Y19" i="2"/>
  <c r="AD20" i="2"/>
  <c r="AA29" i="2"/>
  <c r="AD33" i="2"/>
  <c r="J57" i="2"/>
  <c r="T63" i="2"/>
  <c r="AE68" i="2"/>
  <c r="AD72" i="2"/>
  <c r="V77" i="2"/>
  <c r="AD78" i="2"/>
  <c r="AE80" i="2"/>
  <c r="AD80" i="2"/>
  <c r="AD89" i="2"/>
  <c r="AA105" i="2"/>
  <c r="AD102" i="2"/>
  <c r="AE113" i="2"/>
  <c r="Z121" i="2"/>
  <c r="AE120" i="2"/>
  <c r="AC121" i="2"/>
  <c r="AE136" i="2"/>
  <c r="I137" i="2"/>
  <c r="L140" i="2"/>
  <c r="K140" i="2"/>
  <c r="J141" i="2"/>
  <c r="AB141" i="2"/>
  <c r="L150" i="2"/>
  <c r="K150" i="2"/>
  <c r="Z150" i="2"/>
  <c r="Q151" i="2"/>
  <c r="V151" i="2" s="1"/>
  <c r="I107" i="3"/>
  <c r="M117" i="3" s="1"/>
  <c r="O117" i="3" s="1"/>
  <c r="O15" i="3"/>
  <c r="L15" i="3"/>
  <c r="Q23" i="3"/>
  <c r="R18" i="3"/>
  <c r="D34" i="3"/>
  <c r="P30" i="3"/>
  <c r="P34" i="3" s="1"/>
  <c r="E132" i="3"/>
  <c r="P28" i="4"/>
  <c r="L141" i="2"/>
  <c r="K141" i="2"/>
  <c r="K9" i="1"/>
  <c r="AB17" i="1"/>
  <c r="AA18" i="1"/>
  <c r="AA149" i="1" s="1"/>
  <c r="Z19" i="1"/>
  <c r="AD30" i="1"/>
  <c r="AD33" i="1"/>
  <c r="K35" i="1"/>
  <c r="U35" i="1"/>
  <c r="AD52" i="1"/>
  <c r="AD55" i="1"/>
  <c r="K57" i="1"/>
  <c r="U57" i="1"/>
  <c r="AD65" i="1"/>
  <c r="AD76" i="1"/>
  <c r="AC77" i="1"/>
  <c r="AD86" i="1"/>
  <c r="AD88" i="1"/>
  <c r="AD95" i="1"/>
  <c r="AA97" i="1"/>
  <c r="AA105" i="1" s="1"/>
  <c r="AD101" i="1"/>
  <c r="AE109" i="1"/>
  <c r="AD109" i="1"/>
  <c r="AC112" i="1"/>
  <c r="S151" i="1"/>
  <c r="J146" i="1"/>
  <c r="AE147" i="1"/>
  <c r="AD147" i="1"/>
  <c r="Z19" i="2"/>
  <c r="AE37" i="2"/>
  <c r="AD37" i="2"/>
  <c r="L50" i="2"/>
  <c r="K50" i="2"/>
  <c r="AE57" i="2"/>
  <c r="AD57" i="2"/>
  <c r="J63" i="2"/>
  <c r="AC63" i="2"/>
  <c r="E130" i="2"/>
  <c r="K130" i="2" s="1"/>
  <c r="K126" i="2"/>
  <c r="AE141" i="2"/>
  <c r="AD141" i="2"/>
  <c r="U149" i="2"/>
  <c r="T149" i="2"/>
  <c r="R88" i="3"/>
  <c r="R105" i="4"/>
  <c r="R41" i="4"/>
  <c r="AE44" i="2"/>
  <c r="AD44" i="2"/>
  <c r="AD7" i="1"/>
  <c r="U9" i="1"/>
  <c r="Y148" i="1"/>
  <c r="U148" i="1"/>
  <c r="T148" i="1"/>
  <c r="AC17" i="1"/>
  <c r="AB18" i="1"/>
  <c r="Q19" i="1"/>
  <c r="V19" i="1" s="1"/>
  <c r="AD23" i="1"/>
  <c r="Z146" i="1"/>
  <c r="AD25" i="1"/>
  <c r="T26" i="1"/>
  <c r="T29" i="1" s="1"/>
  <c r="AD26" i="1"/>
  <c r="Q29" i="1"/>
  <c r="V29" i="1" s="1"/>
  <c r="AD39" i="1"/>
  <c r="AD43" i="1"/>
  <c r="AD48" i="1"/>
  <c r="K50" i="1"/>
  <c r="AD61" i="1"/>
  <c r="K63" i="1"/>
  <c r="U63" i="1"/>
  <c r="AD71" i="1"/>
  <c r="AD73" i="1"/>
  <c r="AD75" i="1"/>
  <c r="AD79" i="1"/>
  <c r="AD82" i="1"/>
  <c r="K93" i="1"/>
  <c r="U93" i="1"/>
  <c r="T105" i="1"/>
  <c r="AD98" i="1"/>
  <c r="AD108" i="1"/>
  <c r="T121" i="1"/>
  <c r="AD116" i="1"/>
  <c r="L121" i="1"/>
  <c r="K121" i="1"/>
  <c r="AD129" i="1"/>
  <c r="L137" i="1"/>
  <c r="K137" i="1"/>
  <c r="F151" i="1"/>
  <c r="Y139" i="1"/>
  <c r="Y151" i="1" s="1"/>
  <c r="L149" i="1"/>
  <c r="K149" i="1"/>
  <c r="Y137" i="2"/>
  <c r="J9" i="2"/>
  <c r="AB19" i="2"/>
  <c r="AE19" i="2" s="1"/>
  <c r="Y35" i="2"/>
  <c r="AD56" i="2"/>
  <c r="L93" i="2"/>
  <c r="K93" i="2"/>
  <c r="AD95" i="2"/>
  <c r="Z130" i="2"/>
  <c r="AD124" i="2"/>
  <c r="K135" i="2"/>
  <c r="C151" i="2"/>
  <c r="L139" i="2"/>
  <c r="K139" i="2"/>
  <c r="AA139" i="2"/>
  <c r="J140" i="2"/>
  <c r="AC140" i="2"/>
  <c r="I140" i="2"/>
  <c r="T147" i="2"/>
  <c r="J150" i="2"/>
  <c r="AC150" i="2"/>
  <c r="I150" i="2"/>
  <c r="I101" i="3"/>
  <c r="I108" i="3" s="1"/>
  <c r="L108" i="3" s="1"/>
  <c r="I16" i="3"/>
  <c r="L16" i="3" s="1"/>
  <c r="O14" i="3"/>
  <c r="O16" i="3" s="1"/>
  <c r="D28" i="3"/>
  <c r="Q103" i="3"/>
  <c r="R103" i="3" s="1"/>
  <c r="R19" i="3"/>
  <c r="R64" i="4"/>
  <c r="Y9" i="1"/>
  <c r="T17" i="1"/>
  <c r="U149" i="1"/>
  <c r="T149" i="1"/>
  <c r="AC18" i="1"/>
  <c r="R19" i="1"/>
  <c r="AB19" i="1" s="1"/>
  <c r="AA146" i="1"/>
  <c r="U26" i="1"/>
  <c r="Y57" i="1"/>
  <c r="J105" i="1"/>
  <c r="J121" i="1"/>
  <c r="AB121" i="1"/>
  <c r="AE121" i="1" s="1"/>
  <c r="Y135" i="1"/>
  <c r="AD135" i="1"/>
  <c r="J137" i="1"/>
  <c r="G151" i="1"/>
  <c r="AB137" i="1"/>
  <c r="J149" i="1"/>
  <c r="AB149" i="1"/>
  <c r="Z137" i="2"/>
  <c r="AE9" i="2"/>
  <c r="AD9" i="2"/>
  <c r="J50" i="2"/>
  <c r="AC50" i="2"/>
  <c r="AB50" i="2"/>
  <c r="AE62" i="2"/>
  <c r="AD62" i="2"/>
  <c r="L77" i="2"/>
  <c r="K77" i="2"/>
  <c r="AE100" i="2"/>
  <c r="AD100" i="2"/>
  <c r="U147" i="2"/>
  <c r="D102" i="3"/>
  <c r="P7" i="3"/>
  <c r="P102" i="3" s="1"/>
  <c r="J16" i="3"/>
  <c r="L23" i="3"/>
  <c r="AE13" i="2"/>
  <c r="L148" i="2"/>
  <c r="K148" i="2"/>
  <c r="U103" i="2"/>
  <c r="T103" i="2"/>
  <c r="T105" i="2" s="1"/>
  <c r="AC19" i="1"/>
  <c r="AC29" i="1"/>
  <c r="AC46" i="1"/>
  <c r="AC85" i="1"/>
  <c r="AC149" i="1"/>
  <c r="AE35" i="2"/>
  <c r="AD35" i="2"/>
  <c r="V63" i="2"/>
  <c r="Z70" i="2"/>
  <c r="AD66" i="2"/>
  <c r="J77" i="2"/>
  <c r="AB77" i="2"/>
  <c r="J93" i="2"/>
  <c r="AC93" i="2"/>
  <c r="AC103" i="2"/>
  <c r="I112" i="2"/>
  <c r="AD109" i="2"/>
  <c r="AD116" i="2"/>
  <c r="AE128" i="2"/>
  <c r="AD130" i="2"/>
  <c r="L138" i="2"/>
  <c r="K138" i="2"/>
  <c r="AE139" i="2"/>
  <c r="AD139" i="2"/>
  <c r="AC149" i="2"/>
  <c r="F151" i="2"/>
  <c r="I158" i="2"/>
  <c r="I162" i="2"/>
  <c r="L14" i="3"/>
  <c r="R22" i="3"/>
  <c r="P28" i="3"/>
  <c r="V137" i="1"/>
  <c r="Q151" i="1"/>
  <c r="L63" i="2"/>
  <c r="K63" i="2"/>
  <c r="AD6" i="1"/>
  <c r="AD21" i="1"/>
  <c r="AD31" i="1"/>
  <c r="AD41" i="1"/>
  <c r="AC42" i="1"/>
  <c r="AD51" i="1"/>
  <c r="AD53" i="1"/>
  <c r="AD64" i="1"/>
  <c r="AD69" i="1"/>
  <c r="AC70" i="1"/>
  <c r="AD87" i="1"/>
  <c r="AD94" i="1"/>
  <c r="AD96" i="1"/>
  <c r="AE104" i="1"/>
  <c r="AD104" i="1"/>
  <c r="AD113" i="1"/>
  <c r="AE118" i="1"/>
  <c r="AE120" i="1"/>
  <c r="AD120" i="1"/>
  <c r="AD128" i="1"/>
  <c r="U130" i="1"/>
  <c r="AA137" i="1"/>
  <c r="L138" i="1"/>
  <c r="U143" i="1"/>
  <c r="U144" i="1"/>
  <c r="I158" i="1"/>
  <c r="AD12" i="2"/>
  <c r="AD15" i="2"/>
  <c r="I29" i="2"/>
  <c r="Z146" i="2"/>
  <c r="AE27" i="2"/>
  <c r="AD27" i="2"/>
  <c r="AB29" i="2"/>
  <c r="AD29" i="2" s="1"/>
  <c r="AD34" i="2"/>
  <c r="Y42" i="2"/>
  <c r="AD40" i="2"/>
  <c r="U42" i="2"/>
  <c r="AD47" i="2"/>
  <c r="AE49" i="2"/>
  <c r="AD49" i="2"/>
  <c r="AD55" i="2"/>
  <c r="AE77" i="2"/>
  <c r="AD77" i="2"/>
  <c r="AD81" i="2"/>
  <c r="AE83" i="2"/>
  <c r="AD83" i="2"/>
  <c r="AD86" i="2"/>
  <c r="Q105" i="2"/>
  <c r="V105" i="2" s="1"/>
  <c r="V103" i="2"/>
  <c r="S105" i="2"/>
  <c r="U105" i="2" s="1"/>
  <c r="AE107" i="2"/>
  <c r="T121" i="2"/>
  <c r="U121" i="2"/>
  <c r="AE123" i="2"/>
  <c r="AD123" i="2"/>
  <c r="AD128" i="2"/>
  <c r="AE132" i="2"/>
  <c r="AD132" i="2"/>
  <c r="L135" i="2"/>
  <c r="S151" i="2"/>
  <c r="U151" i="2" s="1"/>
  <c r="U137" i="2"/>
  <c r="T137" i="2"/>
  <c r="V140" i="2"/>
  <c r="E143" i="2"/>
  <c r="K143" i="2" s="1"/>
  <c r="G151" i="2"/>
  <c r="AB151" i="2" s="1"/>
  <c r="D101" i="3"/>
  <c r="P6" i="3"/>
  <c r="F9" i="3"/>
  <c r="F16" i="3"/>
  <c r="P104" i="3"/>
  <c r="Q106" i="3"/>
  <c r="R106" i="3" s="1"/>
  <c r="R21" i="3"/>
  <c r="J148" i="1"/>
  <c r="AC148" i="1"/>
  <c r="I148" i="1"/>
  <c r="AA57" i="2"/>
  <c r="H168" i="2"/>
  <c r="H170" i="2" s="1"/>
  <c r="H151" i="2"/>
  <c r="J137" i="2"/>
  <c r="Z143" i="1"/>
  <c r="V97" i="1"/>
  <c r="AE115" i="1"/>
  <c r="AD115" i="1"/>
  <c r="AE117" i="1"/>
  <c r="AD118" i="1"/>
  <c r="AD136" i="1"/>
  <c r="P151" i="1"/>
  <c r="T144" i="1"/>
  <c r="AB145" i="1"/>
  <c r="U146" i="1"/>
  <c r="U147" i="1"/>
  <c r="T147" i="1"/>
  <c r="K150" i="1"/>
  <c r="AE5" i="2"/>
  <c r="AE7" i="2"/>
  <c r="AD7" i="2"/>
  <c r="Y29" i="2"/>
  <c r="AA146" i="2"/>
  <c r="Z42" i="2"/>
  <c r="V50" i="2"/>
  <c r="Z57" i="2"/>
  <c r="Z145" i="2"/>
  <c r="U57" i="2"/>
  <c r="AE59" i="2"/>
  <c r="AD59" i="2"/>
  <c r="I93" i="2"/>
  <c r="AE92" i="2"/>
  <c r="AD92" i="2"/>
  <c r="Y105" i="2"/>
  <c r="AD107" i="2"/>
  <c r="L112" i="2"/>
  <c r="AE115" i="2"/>
  <c r="AD115" i="2"/>
  <c r="T135" i="2"/>
  <c r="AA137" i="2"/>
  <c r="AA151" i="2" s="1"/>
  <c r="H171" i="2"/>
  <c r="J138" i="2"/>
  <c r="AC138" i="2"/>
  <c r="I138" i="2"/>
  <c r="K142" i="2"/>
  <c r="O23" i="3"/>
  <c r="Q104" i="3"/>
  <c r="R104" i="3" s="1"/>
  <c r="R20" i="3"/>
  <c r="J28" i="3"/>
  <c r="S105" i="1"/>
  <c r="U105" i="1" s="1"/>
  <c r="K144" i="1"/>
  <c r="K145" i="1"/>
  <c r="K146" i="1"/>
  <c r="K13" i="2"/>
  <c r="AB26" i="2"/>
  <c r="AD26" i="2" s="1"/>
  <c r="K105" i="2"/>
  <c r="J101" i="3"/>
  <c r="J34" i="3"/>
  <c r="P45" i="3"/>
  <c r="R94" i="3"/>
  <c r="O101" i="4"/>
  <c r="O108" i="4" s="1"/>
  <c r="R102" i="4"/>
  <c r="P45" i="4"/>
  <c r="R77" i="4"/>
  <c r="AC103" i="1"/>
  <c r="I137" i="1"/>
  <c r="AC137" i="1"/>
  <c r="AC139" i="1"/>
  <c r="K147" i="1"/>
  <c r="I149" i="1"/>
  <c r="K9" i="2"/>
  <c r="AB17" i="2"/>
  <c r="K35" i="2"/>
  <c r="K57" i="2"/>
  <c r="K121" i="2"/>
  <c r="AB135" i="2"/>
  <c r="AE135" i="2" s="1"/>
  <c r="K137" i="2"/>
  <c r="I141" i="2"/>
  <c r="K149" i="2"/>
  <c r="D103" i="3"/>
  <c r="D104" i="3"/>
  <c r="R77" i="3"/>
  <c r="L107" i="3"/>
  <c r="R34" i="4"/>
  <c r="R94" i="4"/>
  <c r="P99" i="4"/>
  <c r="AC138" i="1"/>
  <c r="AC140" i="1"/>
  <c r="AB141" i="1"/>
  <c r="AC150" i="1"/>
  <c r="H151" i="1"/>
  <c r="AC17" i="2"/>
  <c r="AB18" i="2"/>
  <c r="AE18" i="2" s="1"/>
  <c r="AC112" i="2"/>
  <c r="AC142" i="2"/>
  <c r="AB143" i="2"/>
  <c r="P15" i="3"/>
  <c r="P107" i="3" s="1"/>
  <c r="K126" i="1"/>
  <c r="U137" i="1"/>
  <c r="T138" i="1"/>
  <c r="T151" i="1" s="1"/>
  <c r="T140" i="1"/>
  <c r="I141" i="1"/>
  <c r="AC141" i="1"/>
  <c r="AB142" i="1"/>
  <c r="AE142" i="1" s="1"/>
  <c r="T150" i="1"/>
  <c r="Y9" i="2"/>
  <c r="AD14" i="2"/>
  <c r="AD16" i="2"/>
  <c r="T17" i="2"/>
  <c r="T19" i="2" s="1"/>
  <c r="AD22" i="2"/>
  <c r="U26" i="2"/>
  <c r="AD32" i="2"/>
  <c r="AD54" i="2"/>
  <c r="AD67" i="2"/>
  <c r="AD106" i="2"/>
  <c r="AD114" i="2"/>
  <c r="AD119" i="2"/>
  <c r="AD126" i="2"/>
  <c r="AD127" i="2"/>
  <c r="Y139" i="2"/>
  <c r="T142" i="2"/>
  <c r="I143" i="2"/>
  <c r="AC143" i="2"/>
  <c r="AB144" i="2"/>
  <c r="AD144" i="2" s="1"/>
  <c r="AB146" i="2"/>
  <c r="J9" i="3"/>
  <c r="Q107" i="3"/>
  <c r="J103" i="3"/>
  <c r="J104" i="3"/>
  <c r="R28" i="3"/>
  <c r="R58" i="3"/>
  <c r="P77" i="4"/>
  <c r="R82" i="4"/>
  <c r="U17" i="2"/>
  <c r="Q101" i="3"/>
  <c r="P31" i="3"/>
  <c r="P103" i="3" s="1"/>
  <c r="P64" i="3"/>
  <c r="F131" i="3"/>
  <c r="D108" i="4"/>
  <c r="D113" i="4" s="1"/>
  <c r="D132" i="4"/>
  <c r="D134" i="4" s="1"/>
  <c r="P103" i="4"/>
  <c r="P104" i="4"/>
  <c r="R48" i="4"/>
  <c r="Q34" i="3"/>
  <c r="R34" i="3" s="1"/>
  <c r="Q41" i="3"/>
  <c r="R41" i="3" s="1"/>
  <c r="D64" i="3"/>
  <c r="P66" i="3"/>
  <c r="P70" i="3" s="1"/>
  <c r="F101" i="3"/>
  <c r="I101" i="4"/>
  <c r="I108" i="4" s="1"/>
  <c r="D26" i="5"/>
  <c r="P23" i="5"/>
  <c r="P26" i="5" s="1"/>
  <c r="Q51" i="5"/>
  <c r="R51" i="5" s="1"/>
  <c r="R48" i="5"/>
  <c r="Q108" i="5"/>
  <c r="R108" i="5" s="1"/>
  <c r="R107" i="5"/>
  <c r="R62" i="6"/>
  <c r="Q66" i="6"/>
  <c r="R66" i="6" s="1"/>
  <c r="C119" i="7"/>
  <c r="F118" i="7"/>
  <c r="Q64" i="3"/>
  <c r="R64" i="3" s="1"/>
  <c r="C108" i="3"/>
  <c r="C113" i="3" s="1"/>
  <c r="F120" i="3"/>
  <c r="O9" i="4"/>
  <c r="P11" i="4"/>
  <c r="P12" i="4" s="1"/>
  <c r="J14" i="4"/>
  <c r="J101" i="4" s="1"/>
  <c r="J108" i="4" s="1"/>
  <c r="R66" i="4"/>
  <c r="R35" i="5"/>
  <c r="D73" i="5"/>
  <c r="F90" i="5"/>
  <c r="F99" i="5"/>
  <c r="L102" i="5"/>
  <c r="E113" i="5"/>
  <c r="F113" i="5" s="1"/>
  <c r="F106" i="5"/>
  <c r="P31" i="6"/>
  <c r="P30" i="6"/>
  <c r="R66" i="3"/>
  <c r="D99" i="3"/>
  <c r="C130" i="3"/>
  <c r="C132" i="3" s="1"/>
  <c r="L14" i="4"/>
  <c r="P106" i="4"/>
  <c r="K108" i="4"/>
  <c r="L108" i="4" s="1"/>
  <c r="F133" i="4"/>
  <c r="D97" i="5"/>
  <c r="R95" i="5"/>
  <c r="D98" i="6"/>
  <c r="P17" i="6"/>
  <c r="P98" i="6" s="1"/>
  <c r="D37" i="3"/>
  <c r="P39" i="3"/>
  <c r="P105" i="3" s="1"/>
  <c r="P40" i="3"/>
  <c r="P41" i="3" s="1"/>
  <c r="D45" i="3"/>
  <c r="D53" i="3"/>
  <c r="O58" i="3"/>
  <c r="R84" i="3"/>
  <c r="E108" i="3"/>
  <c r="P6" i="4"/>
  <c r="Q9" i="4"/>
  <c r="O14" i="4"/>
  <c r="O16" i="4" s="1"/>
  <c r="P60" i="4"/>
  <c r="P64" i="4" s="1"/>
  <c r="D70" i="4"/>
  <c r="L101" i="4"/>
  <c r="R21" i="5"/>
  <c r="Q102" i="5"/>
  <c r="R102" i="5" s="1"/>
  <c r="J61" i="5"/>
  <c r="P78" i="5"/>
  <c r="C134" i="5"/>
  <c r="P72" i="3"/>
  <c r="P77" i="3" s="1"/>
  <c r="L101" i="3"/>
  <c r="C108" i="4"/>
  <c r="C113" i="4" s="1"/>
  <c r="M111" i="4"/>
  <c r="C132" i="4"/>
  <c r="C134" i="4" s="1"/>
  <c r="M113" i="4"/>
  <c r="O113" i="4" s="1"/>
  <c r="M115" i="4"/>
  <c r="O115" i="4" s="1"/>
  <c r="J9" i="5"/>
  <c r="P6" i="5"/>
  <c r="P18" i="5"/>
  <c r="D99" i="5"/>
  <c r="R78" i="5"/>
  <c r="E119" i="5"/>
  <c r="F119" i="5" s="1"/>
  <c r="F118" i="5"/>
  <c r="F133" i="5"/>
  <c r="F11" i="6"/>
  <c r="R39" i="3"/>
  <c r="R47" i="3"/>
  <c r="P79" i="3"/>
  <c r="P82" i="3" s="1"/>
  <c r="P90" i="3"/>
  <c r="P94" i="3" s="1"/>
  <c r="O15" i="4"/>
  <c r="O107" i="4" s="1"/>
  <c r="R72" i="4"/>
  <c r="I103" i="5"/>
  <c r="L103" i="5" s="1"/>
  <c r="L97" i="5"/>
  <c r="J99" i="5"/>
  <c r="J103" i="5" s="1"/>
  <c r="R100" i="5"/>
  <c r="P28" i="5"/>
  <c r="P32" i="5" s="1"/>
  <c r="D32" i="5"/>
  <c r="Q55" i="5"/>
  <c r="R55" i="5" s="1"/>
  <c r="R53" i="5"/>
  <c r="F134" i="5"/>
  <c r="O8" i="6"/>
  <c r="F25" i="6"/>
  <c r="Q31" i="6"/>
  <c r="R31" i="6" s="1"/>
  <c r="R27" i="6"/>
  <c r="R72" i="3"/>
  <c r="P15" i="4"/>
  <c r="P107" i="4" s="1"/>
  <c r="R79" i="4"/>
  <c r="E108" i="4"/>
  <c r="E132" i="4"/>
  <c r="M117" i="4"/>
  <c r="O117" i="4" s="1"/>
  <c r="D102" i="5"/>
  <c r="F46" i="5"/>
  <c r="P90" i="5"/>
  <c r="J113" i="5"/>
  <c r="C20" i="6"/>
  <c r="F20" i="6" s="1"/>
  <c r="O16" i="6"/>
  <c r="F16" i="6"/>
  <c r="D16" i="6"/>
  <c r="O72" i="6"/>
  <c r="R68" i="6"/>
  <c r="Q15" i="4"/>
  <c r="Q16" i="4" s="1"/>
  <c r="K16" i="4"/>
  <c r="L16" i="4" s="1"/>
  <c r="F101" i="4"/>
  <c r="M116" i="4"/>
  <c r="O116" i="4" s="1"/>
  <c r="Q97" i="5"/>
  <c r="J32" i="5"/>
  <c r="D67" i="5"/>
  <c r="P66" i="5"/>
  <c r="P81" i="5"/>
  <c r="P84" i="5" s="1"/>
  <c r="D95" i="5"/>
  <c r="F103" i="5"/>
  <c r="E120" i="5"/>
  <c r="F120" i="5" s="1"/>
  <c r="K106" i="5"/>
  <c r="Q105" i="5"/>
  <c r="L105" i="5"/>
  <c r="Q110" i="5"/>
  <c r="R110" i="5" s="1"/>
  <c r="R109" i="5"/>
  <c r="C96" i="6"/>
  <c r="C102" i="6" s="1"/>
  <c r="C119" i="6" s="1"/>
  <c r="O10" i="6"/>
  <c r="O11" i="6" s="1"/>
  <c r="F10" i="6"/>
  <c r="D10" i="6"/>
  <c r="Q25" i="6"/>
  <c r="R25" i="6" s="1"/>
  <c r="R22" i="6"/>
  <c r="L105" i="6"/>
  <c r="K112" i="6"/>
  <c r="E126" i="4"/>
  <c r="F126" i="4" s="1"/>
  <c r="Q9" i="5"/>
  <c r="O14" i="5"/>
  <c r="O15" i="5" s="1"/>
  <c r="I15" i="5"/>
  <c r="L15" i="5" s="1"/>
  <c r="P34" i="5"/>
  <c r="P35" i="5" s="1"/>
  <c r="D46" i="5"/>
  <c r="Q46" i="5"/>
  <c r="R46" i="5" s="1"/>
  <c r="Q73" i="5"/>
  <c r="R73" i="5" s="1"/>
  <c r="D90" i="5"/>
  <c r="D101" i="5"/>
  <c r="F45" i="6"/>
  <c r="R53" i="6"/>
  <c r="R83" i="6"/>
  <c r="E102" i="6"/>
  <c r="F118" i="6"/>
  <c r="E133" i="6"/>
  <c r="F133" i="6" s="1"/>
  <c r="F127" i="6"/>
  <c r="P9" i="7"/>
  <c r="Q15" i="7"/>
  <c r="R15" i="7" s="1"/>
  <c r="O43" i="7"/>
  <c r="D12" i="5"/>
  <c r="P14" i="5"/>
  <c r="P15" i="5" s="1"/>
  <c r="R15" i="5" s="1"/>
  <c r="P19" i="5"/>
  <c r="P100" i="5" s="1"/>
  <c r="P20" i="5"/>
  <c r="P38" i="5"/>
  <c r="P39" i="5" s="1"/>
  <c r="P41" i="5"/>
  <c r="P43" i="5" s="1"/>
  <c r="R75" i="5"/>
  <c r="Q90" i="5"/>
  <c r="R90" i="5" s="1"/>
  <c r="Q101" i="5"/>
  <c r="R101" i="5" s="1"/>
  <c r="O105" i="5"/>
  <c r="O106" i="5" s="1"/>
  <c r="O113" i="5" s="1"/>
  <c r="I106" i="5"/>
  <c r="I113" i="5" s="1"/>
  <c r="O98" i="6"/>
  <c r="R98" i="6" s="1"/>
  <c r="L18" i="6"/>
  <c r="J19" i="6"/>
  <c r="O34" i="6"/>
  <c r="R33" i="6"/>
  <c r="Q54" i="6"/>
  <c r="R54" i="6" s="1"/>
  <c r="R52" i="6"/>
  <c r="D66" i="6"/>
  <c r="P76" i="6"/>
  <c r="L96" i="6"/>
  <c r="F112" i="6"/>
  <c r="J100" i="7"/>
  <c r="R26" i="7"/>
  <c r="P32" i="7"/>
  <c r="R42" i="7"/>
  <c r="R46" i="7"/>
  <c r="R84" i="7"/>
  <c r="L106" i="7"/>
  <c r="K113" i="7"/>
  <c r="Q32" i="5"/>
  <c r="R32" i="5" s="1"/>
  <c r="R34" i="5"/>
  <c r="D55" i="5"/>
  <c r="P57" i="5"/>
  <c r="P61" i="5" s="1"/>
  <c r="O97" i="5"/>
  <c r="O103" i="5" s="1"/>
  <c r="P105" i="5"/>
  <c r="P106" i="5" s="1"/>
  <c r="P113" i="5" s="1"/>
  <c r="D108" i="5"/>
  <c r="D113" i="5" s="1"/>
  <c r="O99" i="6"/>
  <c r="L19" i="6"/>
  <c r="I20" i="6"/>
  <c r="P53" i="6"/>
  <c r="P54" i="6" s="1"/>
  <c r="R60" i="6"/>
  <c r="Q96" i="6"/>
  <c r="F105" i="6"/>
  <c r="R107" i="6"/>
  <c r="R43" i="7"/>
  <c r="O113" i="7"/>
  <c r="R14" i="5"/>
  <c r="R19" i="5"/>
  <c r="R41" i="5"/>
  <c r="R13" i="6"/>
  <c r="P18" i="6"/>
  <c r="O19" i="6"/>
  <c r="O101" i="6" s="1"/>
  <c r="R101" i="6" s="1"/>
  <c r="J20" i="6"/>
  <c r="R34" i="6"/>
  <c r="Q50" i="6"/>
  <c r="R50" i="6" s="1"/>
  <c r="R47" i="6"/>
  <c r="F111" i="6"/>
  <c r="L15" i="7"/>
  <c r="P24" i="7"/>
  <c r="P99" i="7" s="1"/>
  <c r="J61" i="7"/>
  <c r="P60" i="7"/>
  <c r="P73" i="7"/>
  <c r="D21" i="5"/>
  <c r="P63" i="5"/>
  <c r="P67" i="5" s="1"/>
  <c r="Q18" i="6"/>
  <c r="K20" i="6"/>
  <c r="L20" i="6" s="1"/>
  <c r="R72" i="6"/>
  <c r="P83" i="6"/>
  <c r="O89" i="6"/>
  <c r="R89" i="6" s="1"/>
  <c r="R25" i="7"/>
  <c r="D46" i="7"/>
  <c r="J51" i="7"/>
  <c r="P50" i="7"/>
  <c r="Q55" i="7"/>
  <c r="Q95" i="7"/>
  <c r="R95" i="7" s="1"/>
  <c r="Q67" i="5"/>
  <c r="R67" i="5" s="1"/>
  <c r="D8" i="6"/>
  <c r="P8" i="6"/>
  <c r="L101" i="6"/>
  <c r="R92" i="6"/>
  <c r="D112" i="6"/>
  <c r="J97" i="7"/>
  <c r="J103" i="7" s="1"/>
  <c r="P59" i="7"/>
  <c r="R61" i="7"/>
  <c r="D84" i="7"/>
  <c r="E103" i="7"/>
  <c r="J13" i="6"/>
  <c r="J14" i="6" s="1"/>
  <c r="J54" i="6"/>
  <c r="D60" i="6"/>
  <c r="R51" i="7"/>
  <c r="D67" i="7"/>
  <c r="Q73" i="7"/>
  <c r="R73" i="7" s="1"/>
  <c r="R69" i="7"/>
  <c r="Q100" i="7"/>
  <c r="R100" i="7" s="1"/>
  <c r="D45" i="6"/>
  <c r="D83" i="6"/>
  <c r="P85" i="6"/>
  <c r="P89" i="6" s="1"/>
  <c r="K102" i="6"/>
  <c r="L102" i="6" s="1"/>
  <c r="O104" i="6"/>
  <c r="O105" i="6" s="1"/>
  <c r="O112" i="6" s="1"/>
  <c r="I105" i="6"/>
  <c r="I112" i="6" s="1"/>
  <c r="Q111" i="6"/>
  <c r="R111" i="6" s="1"/>
  <c r="J9" i="7"/>
  <c r="P20" i="7"/>
  <c r="P102" i="7" s="1"/>
  <c r="K21" i="7"/>
  <c r="P38" i="7"/>
  <c r="P39" i="7" s="1"/>
  <c r="O39" i="7"/>
  <c r="Q54" i="7"/>
  <c r="C73" i="7"/>
  <c r="F73" i="7" s="1"/>
  <c r="I97" i="7"/>
  <c r="I103" i="7" s="1"/>
  <c r="L96" i="8"/>
  <c r="K102" i="8"/>
  <c r="R98" i="8"/>
  <c r="L105" i="8"/>
  <c r="K112" i="8"/>
  <c r="L112" i="8" s="1"/>
  <c r="P37" i="6"/>
  <c r="P38" i="6" s="1"/>
  <c r="O38" i="6"/>
  <c r="P40" i="6"/>
  <c r="P42" i="6" s="1"/>
  <c r="K54" i="6"/>
  <c r="L54" i="6" s="1"/>
  <c r="C72" i="6"/>
  <c r="F72" i="6" s="1"/>
  <c r="P104" i="6"/>
  <c r="P105" i="6" s="1"/>
  <c r="P112" i="6" s="1"/>
  <c r="Q20" i="7"/>
  <c r="Q102" i="7" s="1"/>
  <c r="D32" i="7"/>
  <c r="Q32" i="7"/>
  <c r="R32" i="7" s="1"/>
  <c r="D73" i="7"/>
  <c r="P75" i="7"/>
  <c r="P78" i="7" s="1"/>
  <c r="R86" i="7"/>
  <c r="P92" i="7"/>
  <c r="P95" i="7" s="1"/>
  <c r="D98" i="7"/>
  <c r="D103" i="7" s="1"/>
  <c r="Q113" i="7"/>
  <c r="P66" i="8"/>
  <c r="R89" i="8"/>
  <c r="P74" i="6"/>
  <c r="R85" i="6"/>
  <c r="P91" i="6"/>
  <c r="P94" i="6" s="1"/>
  <c r="Q104" i="6"/>
  <c r="D15" i="7"/>
  <c r="P17" i="7"/>
  <c r="P97" i="7" s="1"/>
  <c r="P103" i="7" s="1"/>
  <c r="P23" i="7"/>
  <c r="P37" i="7"/>
  <c r="P101" i="7" s="1"/>
  <c r="R41" i="7"/>
  <c r="F69" i="7"/>
  <c r="K103" i="7"/>
  <c r="L103" i="7" s="1"/>
  <c r="C113" i="7"/>
  <c r="F113" i="7" s="1"/>
  <c r="F106" i="7"/>
  <c r="O108" i="7"/>
  <c r="R107" i="7"/>
  <c r="F14" i="8"/>
  <c r="Q101" i="8"/>
  <c r="P36" i="6"/>
  <c r="P100" i="6" s="1"/>
  <c r="Q38" i="6"/>
  <c r="R40" i="6"/>
  <c r="F68" i="6"/>
  <c r="Q94" i="6"/>
  <c r="R94" i="6" s="1"/>
  <c r="F104" i="6"/>
  <c r="O9" i="7"/>
  <c r="P57" i="7"/>
  <c r="P61" i="7" s="1"/>
  <c r="R75" i="7"/>
  <c r="Q101" i="7"/>
  <c r="R101" i="7" s="1"/>
  <c r="R42" i="8"/>
  <c r="P83" i="8"/>
  <c r="E20" i="9"/>
  <c r="Q100" i="6"/>
  <c r="R100" i="6" s="1"/>
  <c r="D9" i="7"/>
  <c r="J20" i="7"/>
  <c r="J102" i="7" s="1"/>
  <c r="C97" i="7"/>
  <c r="I113" i="7"/>
  <c r="F119" i="7"/>
  <c r="Q72" i="8"/>
  <c r="R72" i="8" s="1"/>
  <c r="R68" i="8"/>
  <c r="M20" i="9"/>
  <c r="I31" i="9"/>
  <c r="Q9" i="7"/>
  <c r="O14" i="7"/>
  <c r="O15" i="7" s="1"/>
  <c r="P48" i="7"/>
  <c r="P51" i="7" s="1"/>
  <c r="P63" i="7"/>
  <c r="P67" i="7" s="1"/>
  <c r="P50" i="8"/>
  <c r="Q54" i="8"/>
  <c r="F105" i="8"/>
  <c r="C112" i="8"/>
  <c r="F112" i="8" s="1"/>
  <c r="P19" i="7"/>
  <c r="P100" i="7" s="1"/>
  <c r="I21" i="7"/>
  <c r="O54" i="7"/>
  <c r="O102" i="7" s="1"/>
  <c r="J105" i="7"/>
  <c r="J106" i="7" s="1"/>
  <c r="J113" i="7" s="1"/>
  <c r="L105" i="7"/>
  <c r="O112" i="7"/>
  <c r="R111" i="7"/>
  <c r="P25" i="8"/>
  <c r="E119" i="8"/>
  <c r="I25" i="9"/>
  <c r="Q8" i="8"/>
  <c r="D14" i="8"/>
  <c r="Q18" i="8"/>
  <c r="P19" i="8"/>
  <c r="K20" i="8"/>
  <c r="L20" i="8" s="1"/>
  <c r="J25" i="8"/>
  <c r="P28" i="8"/>
  <c r="P31" i="8" s="1"/>
  <c r="P37" i="8"/>
  <c r="P38" i="8" s="1"/>
  <c r="O38" i="8"/>
  <c r="P40" i="8"/>
  <c r="P42" i="8" s="1"/>
  <c r="Q53" i="8"/>
  <c r="K54" i="8"/>
  <c r="L54" i="8" s="1"/>
  <c r="P85" i="8"/>
  <c r="P89" i="8" s="1"/>
  <c r="O104" i="8"/>
  <c r="O105" i="8" s="1"/>
  <c r="O112" i="8" s="1"/>
  <c r="Q111" i="8"/>
  <c r="R111" i="8" s="1"/>
  <c r="F127" i="8"/>
  <c r="D14" i="9"/>
  <c r="E14" i="9" s="1"/>
  <c r="I17" i="9"/>
  <c r="H60" i="9"/>
  <c r="I60" i="9" s="1"/>
  <c r="I56" i="9"/>
  <c r="M112" i="9"/>
  <c r="E118" i="9"/>
  <c r="G103" i="10"/>
  <c r="K73" i="11"/>
  <c r="M73" i="11" s="1"/>
  <c r="G69" i="11"/>
  <c r="G73" i="11" s="1"/>
  <c r="M69" i="11"/>
  <c r="C11" i="8"/>
  <c r="F11" i="8" s="1"/>
  <c r="Q14" i="8"/>
  <c r="R14" i="8" s="1"/>
  <c r="Q83" i="8"/>
  <c r="R83" i="8" s="1"/>
  <c r="O94" i="8"/>
  <c r="R94" i="8" s="1"/>
  <c r="I96" i="8"/>
  <c r="E13" i="9"/>
  <c r="E19" i="9"/>
  <c r="I22" i="9"/>
  <c r="M83" i="9"/>
  <c r="C99" i="9"/>
  <c r="E99" i="9" s="1"/>
  <c r="E119" i="9"/>
  <c r="G39" i="10"/>
  <c r="I39" i="10" s="1"/>
  <c r="I84" i="10"/>
  <c r="G114" i="10"/>
  <c r="I26" i="11"/>
  <c r="D108" i="7"/>
  <c r="P5" i="8"/>
  <c r="D10" i="8"/>
  <c r="L13" i="8"/>
  <c r="O25" i="8"/>
  <c r="R25" i="8" s="1"/>
  <c r="P36" i="8"/>
  <c r="P100" i="8" s="1"/>
  <c r="Q38" i="8"/>
  <c r="D72" i="8"/>
  <c r="P74" i="8"/>
  <c r="P77" i="8" s="1"/>
  <c r="R85" i="8"/>
  <c r="J96" i="8"/>
  <c r="D97" i="8"/>
  <c r="I99" i="8"/>
  <c r="L99" i="8" s="1"/>
  <c r="I101" i="8"/>
  <c r="L101" i="8" s="1"/>
  <c r="D104" i="8"/>
  <c r="Q104" i="8"/>
  <c r="G13" i="9"/>
  <c r="G14" i="9" s="1"/>
  <c r="G19" i="9"/>
  <c r="H20" i="9"/>
  <c r="K97" i="10"/>
  <c r="K104" i="10" s="1"/>
  <c r="G13" i="10"/>
  <c r="G15" i="10" s="1"/>
  <c r="I15" i="10" s="1"/>
  <c r="K15" i="10"/>
  <c r="M13" i="10"/>
  <c r="I20" i="10"/>
  <c r="I42" i="10"/>
  <c r="I61" i="10"/>
  <c r="D105" i="7"/>
  <c r="F128" i="7"/>
  <c r="F10" i="8"/>
  <c r="O13" i="8"/>
  <c r="O14" i="8" s="1"/>
  <c r="J18" i="8"/>
  <c r="J99" i="8" s="1"/>
  <c r="P44" i="8"/>
  <c r="P45" i="8" s="1"/>
  <c r="J53" i="8"/>
  <c r="P56" i="8"/>
  <c r="P60" i="8" s="1"/>
  <c r="D98" i="8"/>
  <c r="F104" i="8"/>
  <c r="G10" i="9"/>
  <c r="G11" i="9" s="1"/>
  <c r="H13" i="9"/>
  <c r="E18" i="9"/>
  <c r="H101" i="9"/>
  <c r="G66" i="9"/>
  <c r="I66" i="9" s="1"/>
  <c r="G77" i="9"/>
  <c r="G89" i="9"/>
  <c r="G104" i="9"/>
  <c r="G105" i="9" s="1"/>
  <c r="G112" i="9" s="1"/>
  <c r="M104" i="9"/>
  <c r="K96" i="10"/>
  <c r="M15" i="10"/>
  <c r="C21" i="10"/>
  <c r="G19" i="10"/>
  <c r="G101" i="10" s="1"/>
  <c r="E97" i="11"/>
  <c r="I87" i="12"/>
  <c r="H90" i="12"/>
  <c r="R105" i="7"/>
  <c r="R36" i="8"/>
  <c r="K11" i="9"/>
  <c r="M11" i="9" s="1"/>
  <c r="G18" i="9"/>
  <c r="G99" i="9" s="1"/>
  <c r="I99" i="9" s="1"/>
  <c r="I36" i="9"/>
  <c r="G100" i="9"/>
  <c r="I100" i="9" s="1"/>
  <c r="G38" i="9"/>
  <c r="G83" i="9"/>
  <c r="I89" i="9"/>
  <c r="C96" i="9"/>
  <c r="H105" i="9"/>
  <c r="H109" i="9"/>
  <c r="I109" i="9" s="1"/>
  <c r="I19" i="10"/>
  <c r="H101" i="10"/>
  <c r="I101" i="10" s="1"/>
  <c r="E21" i="10"/>
  <c r="H46" i="10"/>
  <c r="I46" i="10" s="1"/>
  <c r="I45" i="10"/>
  <c r="I111" i="10"/>
  <c r="H101" i="11"/>
  <c r="I19" i="11"/>
  <c r="C96" i="8"/>
  <c r="C102" i="8" s="1"/>
  <c r="C119" i="8" s="1"/>
  <c r="O96" i="8"/>
  <c r="R96" i="8" s="1"/>
  <c r="K14" i="9"/>
  <c r="M14" i="9" s="1"/>
  <c r="G21" i="10"/>
  <c r="I21" i="10"/>
  <c r="I107" i="10"/>
  <c r="F13" i="8"/>
  <c r="O18" i="8"/>
  <c r="O99" i="8" s="1"/>
  <c r="L19" i="8"/>
  <c r="O53" i="8"/>
  <c r="O101" i="8" s="1"/>
  <c r="D96" i="8"/>
  <c r="D102" i="8" s="1"/>
  <c r="H8" i="9"/>
  <c r="M10" i="9"/>
  <c r="C54" i="9"/>
  <c r="E54" i="9" s="1"/>
  <c r="G53" i="9"/>
  <c r="G54" i="9" s="1"/>
  <c r="H72" i="9"/>
  <c r="I72" i="9" s="1"/>
  <c r="M105" i="9"/>
  <c r="G97" i="10"/>
  <c r="I97" i="10" s="1"/>
  <c r="I67" i="10"/>
  <c r="I80" i="10"/>
  <c r="C101" i="10"/>
  <c r="C104" i="10" s="1"/>
  <c r="K21" i="11"/>
  <c r="M21" i="11" s="1"/>
  <c r="G17" i="11"/>
  <c r="M17" i="11"/>
  <c r="P18" i="8"/>
  <c r="P99" i="8" s="1"/>
  <c r="P33" i="8"/>
  <c r="P34" i="8" s="1"/>
  <c r="I98" i="9"/>
  <c r="I83" i="9"/>
  <c r="M96" i="9"/>
  <c r="L116" i="9"/>
  <c r="M116" i="9" s="1"/>
  <c r="M102" i="9"/>
  <c r="C96" i="10"/>
  <c r="H32" i="10"/>
  <c r="I32" i="10" s="1"/>
  <c r="I28" i="10"/>
  <c r="E97" i="10"/>
  <c r="M114" i="10"/>
  <c r="C96" i="11"/>
  <c r="E8" i="11"/>
  <c r="G97" i="11"/>
  <c r="G15" i="11"/>
  <c r="G8" i="10"/>
  <c r="G96" i="10" s="1"/>
  <c r="G53" i="10"/>
  <c r="G55" i="10" s="1"/>
  <c r="H54" i="10"/>
  <c r="H95" i="10"/>
  <c r="I95" i="10" s="1"/>
  <c r="D101" i="10"/>
  <c r="E101" i="10" s="1"/>
  <c r="D21" i="11"/>
  <c r="E21" i="11" s="1"/>
  <c r="M32" i="11"/>
  <c r="M35" i="11"/>
  <c r="L103" i="11"/>
  <c r="M103" i="11" s="1"/>
  <c r="G13" i="12"/>
  <c r="K15" i="12"/>
  <c r="M15" i="12" s="1"/>
  <c r="M13" i="12"/>
  <c r="H43" i="12"/>
  <c r="I43" i="12" s="1"/>
  <c r="I65" i="12"/>
  <c r="I48" i="14"/>
  <c r="H51" i="14"/>
  <c r="I51" i="14" s="1"/>
  <c r="H90" i="10"/>
  <c r="I90" i="10" s="1"/>
  <c r="L104" i="10"/>
  <c r="K107" i="10"/>
  <c r="K114" i="10" s="1"/>
  <c r="H97" i="11"/>
  <c r="G100" i="11"/>
  <c r="M100" i="11"/>
  <c r="L104" i="11"/>
  <c r="D101" i="12"/>
  <c r="E101" i="12" s="1"/>
  <c r="D21" i="12"/>
  <c r="H19" i="12"/>
  <c r="E19" i="12"/>
  <c r="G67" i="12"/>
  <c r="C73" i="12"/>
  <c r="E73" i="12" s="1"/>
  <c r="G69" i="12"/>
  <c r="G73" i="12" s="1"/>
  <c r="E69" i="12"/>
  <c r="G90" i="12"/>
  <c r="H45" i="9"/>
  <c r="I45" i="9" s="1"/>
  <c r="H54" i="9"/>
  <c r="I54" i="9" s="1"/>
  <c r="H94" i="9"/>
  <c r="I94" i="9" s="1"/>
  <c r="D101" i="9"/>
  <c r="E101" i="9" s="1"/>
  <c r="I63" i="10"/>
  <c r="H73" i="10"/>
  <c r="I73" i="10" s="1"/>
  <c r="I75" i="10"/>
  <c r="H100" i="10"/>
  <c r="I100" i="10" s="1"/>
  <c r="D103" i="10"/>
  <c r="E103" i="10" s="1"/>
  <c r="I13" i="11"/>
  <c r="I35" i="11"/>
  <c r="G102" i="11"/>
  <c r="I102" i="11" s="1"/>
  <c r="I78" i="11"/>
  <c r="G26" i="12"/>
  <c r="G103" i="12"/>
  <c r="I67" i="12"/>
  <c r="H38" i="9"/>
  <c r="I38" i="9" s="1"/>
  <c r="I40" i="9"/>
  <c r="H107" i="9"/>
  <c r="I107" i="9" s="1"/>
  <c r="H111" i="9"/>
  <c r="I111" i="9" s="1"/>
  <c r="E13" i="10"/>
  <c r="H26" i="10"/>
  <c r="I26" i="10" s="1"/>
  <c r="G102" i="10"/>
  <c r="C107" i="10"/>
  <c r="C114" i="10" s="1"/>
  <c r="H109" i="10"/>
  <c r="I109" i="10" s="1"/>
  <c r="H113" i="10"/>
  <c r="I113" i="10" s="1"/>
  <c r="H21" i="11"/>
  <c r="G61" i="11"/>
  <c r="E107" i="11"/>
  <c r="D114" i="11"/>
  <c r="H21" i="12"/>
  <c r="L96" i="14"/>
  <c r="M8" i="14"/>
  <c r="H77" i="9"/>
  <c r="I77" i="9" s="1"/>
  <c r="D105" i="9"/>
  <c r="D55" i="10"/>
  <c r="E55" i="10" s="1"/>
  <c r="L96" i="10"/>
  <c r="M96" i="10" s="1"/>
  <c r="H102" i="10"/>
  <c r="D107" i="10"/>
  <c r="H61" i="11"/>
  <c r="I61" i="11" s="1"/>
  <c r="H114" i="11"/>
  <c r="I114" i="11" s="1"/>
  <c r="I53" i="12"/>
  <c r="H78" i="12"/>
  <c r="I78" i="12" s="1"/>
  <c r="I75" i="12"/>
  <c r="I62" i="9"/>
  <c r="I81" i="10"/>
  <c r="H103" i="10"/>
  <c r="I103" i="10" s="1"/>
  <c r="H32" i="11"/>
  <c r="I32" i="11" s="1"/>
  <c r="L96" i="12"/>
  <c r="M8" i="12"/>
  <c r="I20" i="12"/>
  <c r="H97" i="12"/>
  <c r="K97" i="11"/>
  <c r="K104" i="11" s="1"/>
  <c r="I15" i="11"/>
  <c r="G19" i="11"/>
  <c r="G101" i="11" s="1"/>
  <c r="H43" i="11"/>
  <c r="I43" i="11" s="1"/>
  <c r="I41" i="11"/>
  <c r="I48" i="11"/>
  <c r="I53" i="11"/>
  <c r="I69" i="11"/>
  <c r="H73" i="11"/>
  <c r="I73" i="11" s="1"/>
  <c r="E78" i="11"/>
  <c r="G114" i="11"/>
  <c r="G100" i="12"/>
  <c r="I100" i="12" s="1"/>
  <c r="I24" i="12"/>
  <c r="I70" i="12"/>
  <c r="I89" i="12"/>
  <c r="M97" i="12"/>
  <c r="H95" i="11"/>
  <c r="I95" i="11" s="1"/>
  <c r="C103" i="11"/>
  <c r="C104" i="11" s="1"/>
  <c r="K107" i="11"/>
  <c r="K114" i="11" s="1"/>
  <c r="M114" i="11" s="1"/>
  <c r="H32" i="12"/>
  <c r="I32" i="12" s="1"/>
  <c r="K55" i="12"/>
  <c r="M55" i="12" s="1"/>
  <c r="H73" i="12"/>
  <c r="D104" i="14"/>
  <c r="E104" i="14" s="1"/>
  <c r="E21" i="14"/>
  <c r="D101" i="14"/>
  <c r="E101" i="14" s="1"/>
  <c r="H19" i="14"/>
  <c r="I20" i="14"/>
  <c r="H103" i="14"/>
  <c r="I103" i="14" s="1"/>
  <c r="I26" i="14"/>
  <c r="I28" i="14"/>
  <c r="H39" i="11"/>
  <c r="I39" i="11" s="1"/>
  <c r="D103" i="11"/>
  <c r="E103" i="11" s="1"/>
  <c r="M106" i="11"/>
  <c r="I110" i="11"/>
  <c r="H15" i="12"/>
  <c r="I17" i="12"/>
  <c r="G19" i="12"/>
  <c r="G101" i="12" s="1"/>
  <c r="I48" i="12"/>
  <c r="M54" i="12"/>
  <c r="I63" i="12"/>
  <c r="L104" i="12"/>
  <c r="L114" i="12"/>
  <c r="M114" i="12" s="1"/>
  <c r="I109" i="12"/>
  <c r="G97" i="14"/>
  <c r="G104" i="14" s="1"/>
  <c r="E19" i="14"/>
  <c r="M35" i="14"/>
  <c r="H43" i="14"/>
  <c r="I43" i="14" s="1"/>
  <c r="H55" i="14"/>
  <c r="I55" i="14" s="1"/>
  <c r="M73" i="14"/>
  <c r="I37" i="11"/>
  <c r="L51" i="11"/>
  <c r="M51" i="11" s="1"/>
  <c r="K55" i="11"/>
  <c r="M55" i="11" s="1"/>
  <c r="I80" i="11"/>
  <c r="H90" i="11"/>
  <c r="I90" i="11" s="1"/>
  <c r="C107" i="11"/>
  <c r="C114" i="11" s="1"/>
  <c r="M107" i="11"/>
  <c r="H109" i="11"/>
  <c r="I109" i="11" s="1"/>
  <c r="H113" i="11"/>
  <c r="I113" i="11" s="1"/>
  <c r="E120" i="11"/>
  <c r="C21" i="12"/>
  <c r="C96" i="12" s="1"/>
  <c r="H26" i="12"/>
  <c r="I26" i="12" s="1"/>
  <c r="H46" i="12"/>
  <c r="I46" i="12" s="1"/>
  <c r="C55" i="12"/>
  <c r="H61" i="12"/>
  <c r="I61" i="12" s="1"/>
  <c r="K73" i="12"/>
  <c r="M73" i="12" s="1"/>
  <c r="M107" i="12"/>
  <c r="I53" i="14"/>
  <c r="I70" i="14"/>
  <c r="I106" i="14"/>
  <c r="H107" i="14"/>
  <c r="H45" i="11"/>
  <c r="E69" i="11"/>
  <c r="I75" i="11"/>
  <c r="H39" i="12"/>
  <c r="I39" i="12" s="1"/>
  <c r="D55" i="12"/>
  <c r="E55" i="12" s="1"/>
  <c r="K103" i="12"/>
  <c r="M103" i="12" s="1"/>
  <c r="H21" i="14"/>
  <c r="I21" i="14" s="1"/>
  <c r="H39" i="14"/>
  <c r="I39" i="14" s="1"/>
  <c r="H49" i="11"/>
  <c r="H51" i="11" s="1"/>
  <c r="I51" i="11" s="1"/>
  <c r="D97" i="12"/>
  <c r="I106" i="12"/>
  <c r="H107" i="12"/>
  <c r="C96" i="14"/>
  <c r="I15" i="14"/>
  <c r="I24" i="14"/>
  <c r="M43" i="14"/>
  <c r="I58" i="14"/>
  <c r="G69" i="14"/>
  <c r="G73" i="14" s="1"/>
  <c r="I73" i="14" s="1"/>
  <c r="G90" i="14"/>
  <c r="I90" i="14" s="1"/>
  <c r="I86" i="14"/>
  <c r="H97" i="14"/>
  <c r="L46" i="11"/>
  <c r="M46" i="11" s="1"/>
  <c r="D55" i="11"/>
  <c r="E55" i="11" s="1"/>
  <c r="H95" i="12"/>
  <c r="I95" i="12" s="1"/>
  <c r="G100" i="14"/>
  <c r="E103" i="14"/>
  <c r="I69" i="14"/>
  <c r="E114" i="14"/>
  <c r="H54" i="12"/>
  <c r="I54" i="12" s="1"/>
  <c r="M106" i="12"/>
  <c r="I110" i="12"/>
  <c r="E121" i="12"/>
  <c r="K96" i="14"/>
  <c r="H100" i="14"/>
  <c r="I100" i="14" s="1"/>
  <c r="I67" i="14"/>
  <c r="M78" i="14"/>
  <c r="G102" i="14"/>
  <c r="H102" i="14"/>
  <c r="I102" i="14" s="1"/>
  <c r="E107" i="14"/>
  <c r="E106" i="14"/>
  <c r="I108" i="14"/>
  <c r="I112" i="14"/>
  <c r="D107" i="12"/>
  <c r="H32" i="14"/>
  <c r="I32" i="14" s="1"/>
  <c r="H61" i="14"/>
  <c r="I61" i="14" s="1"/>
  <c r="H84" i="14"/>
  <c r="I84" i="14" s="1"/>
  <c r="L114" i="14"/>
  <c r="M114" i="14" s="1"/>
  <c r="E13" i="14"/>
  <c r="H46" i="14"/>
  <c r="I46" i="14" s="1"/>
  <c r="D55" i="14"/>
  <c r="E55" i="14" s="1"/>
  <c r="D96" i="14"/>
  <c r="E96" i="14" s="1"/>
  <c r="C97" i="14"/>
  <c r="C104" i="14" s="1"/>
  <c r="H95" i="14"/>
  <c r="I95" i="14" s="1"/>
  <c r="D116" i="17" l="1"/>
  <c r="E116" i="17" s="1"/>
  <c r="E107" i="17"/>
  <c r="L96" i="17"/>
  <c r="M96" i="17" s="1"/>
  <c r="L104" i="17"/>
  <c r="I97" i="17"/>
  <c r="H104" i="17"/>
  <c r="D104" i="17"/>
  <c r="E104" i="17" s="1"/>
  <c r="H96" i="17"/>
  <c r="I107" i="17"/>
  <c r="H116" i="17"/>
  <c r="I116" i="17" s="1"/>
  <c r="G101" i="17"/>
  <c r="G104" i="17" s="1"/>
  <c r="G21" i="17"/>
  <c r="I19" i="17"/>
  <c r="I101" i="17"/>
  <c r="AE29" i="1"/>
  <c r="AD29" i="1"/>
  <c r="AE140" i="2"/>
  <c r="AD140" i="2"/>
  <c r="AE145" i="1"/>
  <c r="AD145" i="1"/>
  <c r="I97" i="14"/>
  <c r="G96" i="14"/>
  <c r="L118" i="12"/>
  <c r="M104" i="12"/>
  <c r="K118" i="11"/>
  <c r="K96" i="12"/>
  <c r="M96" i="12" s="1"/>
  <c r="G97" i="12"/>
  <c r="G104" i="12" s="1"/>
  <c r="G15" i="12"/>
  <c r="H55" i="10"/>
  <c r="I55" i="10" s="1"/>
  <c r="I54" i="10"/>
  <c r="I13" i="9"/>
  <c r="H14" i="9"/>
  <c r="I14" i="9" s="1"/>
  <c r="G101" i="9"/>
  <c r="I19" i="9"/>
  <c r="P8" i="8"/>
  <c r="D102" i="9"/>
  <c r="E102" i="9" s="1"/>
  <c r="R53" i="8"/>
  <c r="R18" i="8"/>
  <c r="Q99" i="8"/>
  <c r="Q105" i="6"/>
  <c r="R104" i="6"/>
  <c r="R13" i="8"/>
  <c r="J20" i="8"/>
  <c r="J96" i="6"/>
  <c r="J102" i="6" s="1"/>
  <c r="J101" i="6"/>
  <c r="P19" i="6"/>
  <c r="P101" i="6" s="1"/>
  <c r="R14" i="7"/>
  <c r="F102" i="6"/>
  <c r="P117" i="6" s="1"/>
  <c r="E119" i="6"/>
  <c r="F119" i="6" s="1"/>
  <c r="P118" i="5"/>
  <c r="O20" i="6"/>
  <c r="F132" i="4"/>
  <c r="E134" i="4"/>
  <c r="F134" i="4" s="1"/>
  <c r="AD19" i="2"/>
  <c r="AD42" i="1"/>
  <c r="AE42" i="1"/>
  <c r="AE149" i="2"/>
  <c r="AD149" i="2"/>
  <c r="AE85" i="1"/>
  <c r="AD85" i="1"/>
  <c r="AD135" i="2"/>
  <c r="M111" i="3"/>
  <c r="F132" i="3"/>
  <c r="AE50" i="1"/>
  <c r="AD50" i="1"/>
  <c r="AD142" i="1"/>
  <c r="G104" i="10"/>
  <c r="AE17" i="1"/>
  <c r="AD17" i="1"/>
  <c r="E97" i="12"/>
  <c r="D104" i="12"/>
  <c r="E104" i="12" s="1"/>
  <c r="H55" i="12"/>
  <c r="I55" i="12" s="1"/>
  <c r="E105" i="9"/>
  <c r="D112" i="9"/>
  <c r="E112" i="9" s="1"/>
  <c r="E114" i="11"/>
  <c r="I69" i="12"/>
  <c r="M97" i="11"/>
  <c r="H104" i="10"/>
  <c r="I104" i="10" s="1"/>
  <c r="I53" i="10"/>
  <c r="H114" i="10"/>
  <c r="I114" i="10" s="1"/>
  <c r="I90" i="12"/>
  <c r="D96" i="10"/>
  <c r="E96" i="10" s="1"/>
  <c r="G96" i="9"/>
  <c r="G102" i="9" s="1"/>
  <c r="Q20" i="8"/>
  <c r="O104" i="7"/>
  <c r="R113" i="7"/>
  <c r="L21" i="7"/>
  <c r="L112" i="6"/>
  <c r="E113" i="4"/>
  <c r="F113" i="4" s="1"/>
  <c r="F108" i="4"/>
  <c r="P111" i="4" s="1"/>
  <c r="D103" i="5"/>
  <c r="D120" i="5" s="1"/>
  <c r="AD143" i="2"/>
  <c r="AE143" i="2"/>
  <c r="AE17" i="2"/>
  <c r="AD17" i="2"/>
  <c r="AE148" i="1"/>
  <c r="AD148" i="1"/>
  <c r="P101" i="3"/>
  <c r="P9" i="3"/>
  <c r="AE46" i="1"/>
  <c r="AD46" i="1"/>
  <c r="Z151" i="2"/>
  <c r="AE18" i="1"/>
  <c r="AD18" i="1"/>
  <c r="K151" i="1"/>
  <c r="L151" i="1"/>
  <c r="F130" i="3"/>
  <c r="I151" i="2"/>
  <c r="P157" i="2" s="1"/>
  <c r="Q103" i="8"/>
  <c r="R102" i="7"/>
  <c r="M118" i="4"/>
  <c r="O118" i="4" s="1"/>
  <c r="O111" i="4"/>
  <c r="J151" i="1"/>
  <c r="AC151" i="1"/>
  <c r="L118" i="14"/>
  <c r="M118" i="14" s="1"/>
  <c r="I45" i="11"/>
  <c r="H46" i="11"/>
  <c r="I46" i="11" s="1"/>
  <c r="E97" i="14"/>
  <c r="G21" i="11"/>
  <c r="I101" i="11"/>
  <c r="H112" i="9"/>
  <c r="I112" i="9" s="1"/>
  <c r="I105" i="9"/>
  <c r="D106" i="7"/>
  <c r="D113" i="7" s="1"/>
  <c r="D120" i="7" s="1"/>
  <c r="P105" i="7"/>
  <c r="P106" i="7" s="1"/>
  <c r="K118" i="10"/>
  <c r="D105" i="8"/>
  <c r="D112" i="8" s="1"/>
  <c r="P104" i="8"/>
  <c r="P105" i="8" s="1"/>
  <c r="P112" i="8" s="1"/>
  <c r="O54" i="8"/>
  <c r="R54" i="8" s="1"/>
  <c r="O20" i="8"/>
  <c r="P77" i="6"/>
  <c r="F103" i="7"/>
  <c r="P118" i="7" s="1"/>
  <c r="E120" i="7"/>
  <c r="R55" i="7"/>
  <c r="P99" i="6"/>
  <c r="O55" i="7"/>
  <c r="P13" i="6"/>
  <c r="P14" i="6" s="1"/>
  <c r="R14" i="6" s="1"/>
  <c r="P102" i="5"/>
  <c r="Q107" i="4"/>
  <c r="R15" i="4"/>
  <c r="O96" i="6"/>
  <c r="O102" i="6" s="1"/>
  <c r="P99" i="5"/>
  <c r="P9" i="4"/>
  <c r="AE150" i="1"/>
  <c r="AD150" i="1"/>
  <c r="AE139" i="1"/>
  <c r="AD139" i="1"/>
  <c r="AD70" i="1"/>
  <c r="AE70" i="1"/>
  <c r="P106" i="3"/>
  <c r="AE103" i="2"/>
  <c r="AD103" i="2"/>
  <c r="AE19" i="1"/>
  <c r="AD19" i="1"/>
  <c r="AC105" i="1"/>
  <c r="AE121" i="2"/>
  <c r="AD121" i="2"/>
  <c r="AE130" i="1"/>
  <c r="AD130" i="1"/>
  <c r="E107" i="12"/>
  <c r="D114" i="12"/>
  <c r="E114" i="12" s="1"/>
  <c r="L118" i="11"/>
  <c r="M118" i="11" s="1"/>
  <c r="M104" i="11"/>
  <c r="I107" i="14"/>
  <c r="H114" i="14"/>
  <c r="I114" i="14" s="1"/>
  <c r="H103" i="12"/>
  <c r="I103" i="12" s="1"/>
  <c r="H103" i="11"/>
  <c r="I103" i="11" s="1"/>
  <c r="M96" i="14"/>
  <c r="K96" i="11"/>
  <c r="I13" i="12"/>
  <c r="D104" i="10"/>
  <c r="E104" i="10" s="1"/>
  <c r="C102" i="9"/>
  <c r="E96" i="9"/>
  <c r="D104" i="11"/>
  <c r="E104" i="11" s="1"/>
  <c r="H96" i="10"/>
  <c r="I96" i="10" s="1"/>
  <c r="G20" i="9"/>
  <c r="P98" i="8"/>
  <c r="Q99" i="6"/>
  <c r="R99" i="6" s="1"/>
  <c r="R18" i="6"/>
  <c r="F108" i="3"/>
  <c r="P111" i="3" s="1"/>
  <c r="E113" i="3"/>
  <c r="F113" i="3" s="1"/>
  <c r="J21" i="7"/>
  <c r="O101" i="3"/>
  <c r="O108" i="3" s="1"/>
  <c r="AE137" i="1"/>
  <c r="AD137" i="1"/>
  <c r="AE93" i="2"/>
  <c r="AD93" i="2"/>
  <c r="Y151" i="2"/>
  <c r="U151" i="1"/>
  <c r="AE63" i="1"/>
  <c r="AD63" i="1"/>
  <c r="H100" i="11"/>
  <c r="I100" i="11" s="1"/>
  <c r="Q105" i="8"/>
  <c r="R104" i="8"/>
  <c r="O103" i="6"/>
  <c r="AE148" i="2"/>
  <c r="AD148" i="2"/>
  <c r="H96" i="14"/>
  <c r="I73" i="12"/>
  <c r="E107" i="10"/>
  <c r="D114" i="10"/>
  <c r="E114" i="10" s="1"/>
  <c r="I21" i="11"/>
  <c r="G21" i="12"/>
  <c r="I21" i="12" s="1"/>
  <c r="I97" i="11"/>
  <c r="D96" i="11"/>
  <c r="E96" i="11" s="1"/>
  <c r="K104" i="12"/>
  <c r="K118" i="12" s="1"/>
  <c r="M107" i="10"/>
  <c r="J54" i="8"/>
  <c r="P53" i="8"/>
  <c r="P54" i="8" s="1"/>
  <c r="I104" i="9"/>
  <c r="H96" i="9"/>
  <c r="F96" i="8"/>
  <c r="F102" i="8"/>
  <c r="C103" i="7"/>
  <c r="C120" i="7" s="1"/>
  <c r="F97" i="7"/>
  <c r="P20" i="8"/>
  <c r="P26" i="7"/>
  <c r="L113" i="7"/>
  <c r="Q20" i="6"/>
  <c r="P10" i="6"/>
  <c r="D11" i="6"/>
  <c r="R105" i="5"/>
  <c r="Q106" i="5"/>
  <c r="P101" i="5"/>
  <c r="P97" i="5"/>
  <c r="P9" i="5"/>
  <c r="J16" i="4"/>
  <c r="P14" i="4"/>
  <c r="P16" i="4" s="1"/>
  <c r="R16" i="4" s="1"/>
  <c r="Q108" i="3"/>
  <c r="AD141" i="1"/>
  <c r="AE141" i="1"/>
  <c r="AE140" i="1"/>
  <c r="AD140" i="1"/>
  <c r="I151" i="1"/>
  <c r="P157" i="1" s="1"/>
  <c r="AE138" i="2"/>
  <c r="AD138" i="2"/>
  <c r="J151" i="2"/>
  <c r="AC151" i="2"/>
  <c r="AE149" i="1"/>
  <c r="AD149" i="1"/>
  <c r="AE50" i="2"/>
  <c r="AD50" i="2"/>
  <c r="AB151" i="1"/>
  <c r="AE112" i="1"/>
  <c r="AD112" i="1"/>
  <c r="AE77" i="1"/>
  <c r="AD77" i="1"/>
  <c r="R23" i="3"/>
  <c r="AE29" i="2"/>
  <c r="D96" i="12"/>
  <c r="E96" i="12" s="1"/>
  <c r="H96" i="12"/>
  <c r="I15" i="12"/>
  <c r="I102" i="10"/>
  <c r="L96" i="11"/>
  <c r="M96" i="11" s="1"/>
  <c r="I19" i="12"/>
  <c r="H101" i="12"/>
  <c r="I101" i="12" s="1"/>
  <c r="G96" i="11"/>
  <c r="I53" i="9"/>
  <c r="I101" i="9"/>
  <c r="I13" i="10"/>
  <c r="I102" i="8"/>
  <c r="L102" i="8" s="1"/>
  <c r="M97" i="10"/>
  <c r="F119" i="8"/>
  <c r="P21" i="7"/>
  <c r="P104" i="7" s="1"/>
  <c r="R54" i="7"/>
  <c r="D96" i="6"/>
  <c r="D102" i="6" s="1"/>
  <c r="D119" i="6" s="1"/>
  <c r="Q21" i="7"/>
  <c r="R21" i="7" s="1"/>
  <c r="L106" i="5"/>
  <c r="K113" i="5"/>
  <c r="L113" i="5" s="1"/>
  <c r="P16" i="6"/>
  <c r="D20" i="6"/>
  <c r="P21" i="5"/>
  <c r="L97" i="7"/>
  <c r="AE142" i="2"/>
  <c r="AD142" i="2"/>
  <c r="AE138" i="1"/>
  <c r="AD138" i="1"/>
  <c r="AE103" i="1"/>
  <c r="AD103" i="1"/>
  <c r="J108" i="3"/>
  <c r="T151" i="2"/>
  <c r="AD121" i="1"/>
  <c r="AE150" i="2"/>
  <c r="AD150" i="2"/>
  <c r="AD18" i="2"/>
  <c r="U19" i="1"/>
  <c r="D119" i="8"/>
  <c r="R101" i="8"/>
  <c r="R101" i="4"/>
  <c r="D130" i="3"/>
  <c r="D132" i="3" s="1"/>
  <c r="D108" i="3"/>
  <c r="D113" i="3" s="1"/>
  <c r="I107" i="12"/>
  <c r="H114" i="12"/>
  <c r="I114" i="12" s="1"/>
  <c r="I19" i="14"/>
  <c r="H101" i="14"/>
  <c r="I101" i="14" s="1"/>
  <c r="E21" i="12"/>
  <c r="L118" i="10"/>
  <c r="M104" i="10"/>
  <c r="G104" i="11"/>
  <c r="I18" i="9"/>
  <c r="I17" i="11"/>
  <c r="O102" i="8"/>
  <c r="I20" i="9"/>
  <c r="P10" i="8"/>
  <c r="P11" i="8" s="1"/>
  <c r="D11" i="8"/>
  <c r="P101" i="8"/>
  <c r="J101" i="8"/>
  <c r="J102" i="8" s="1"/>
  <c r="R96" i="6"/>
  <c r="Q103" i="7"/>
  <c r="F96" i="6"/>
  <c r="R97" i="5"/>
  <c r="Q103" i="5"/>
  <c r="R103" i="5" s="1"/>
  <c r="O97" i="7"/>
  <c r="R14" i="4"/>
  <c r="AE146" i="2"/>
  <c r="AD146" i="2"/>
  <c r="AE112" i="2"/>
  <c r="AD112" i="2"/>
  <c r="R14" i="3"/>
  <c r="AA151" i="1"/>
  <c r="V151" i="1"/>
  <c r="L151" i="2"/>
  <c r="AE63" i="2"/>
  <c r="AD63" i="2"/>
  <c r="AE26" i="2"/>
  <c r="O107" i="3"/>
  <c r="R107" i="3" s="1"/>
  <c r="R15" i="3"/>
  <c r="AC105" i="2"/>
  <c r="AE93" i="1"/>
  <c r="AD93" i="1"/>
  <c r="AA141" i="1"/>
  <c r="P16" i="3"/>
  <c r="R16" i="3" s="1"/>
  <c r="E151" i="2"/>
  <c r="K151" i="2" s="1"/>
  <c r="AA19" i="1"/>
  <c r="I104" i="17" l="1"/>
  <c r="M104" i="17"/>
  <c r="L120" i="17"/>
  <c r="G96" i="17"/>
  <c r="I21" i="17"/>
  <c r="I96" i="17"/>
  <c r="M118" i="3"/>
  <c r="O118" i="3" s="1"/>
  <c r="O111" i="3"/>
  <c r="AE105" i="2"/>
  <c r="AD105" i="2"/>
  <c r="O103" i="7"/>
  <c r="R103" i="7" s="1"/>
  <c r="R97" i="7"/>
  <c r="P20" i="6"/>
  <c r="P103" i="5"/>
  <c r="F120" i="7"/>
  <c r="P113" i="7"/>
  <c r="R106" i="7"/>
  <c r="M118" i="12"/>
  <c r="AE151" i="2"/>
  <c r="AD151" i="2"/>
  <c r="M118" i="10"/>
  <c r="Q113" i="5"/>
  <c r="R113" i="5" s="1"/>
  <c r="R106" i="5"/>
  <c r="Q104" i="7"/>
  <c r="R107" i="4"/>
  <c r="Q108" i="4"/>
  <c r="R108" i="4" s="1"/>
  <c r="P96" i="8"/>
  <c r="P102" i="8" s="1"/>
  <c r="G96" i="12"/>
  <c r="I96" i="12" s="1"/>
  <c r="AD105" i="1"/>
  <c r="AE105" i="1"/>
  <c r="R101" i="3"/>
  <c r="O103" i="8"/>
  <c r="P103" i="8"/>
  <c r="H104" i="14"/>
  <c r="I104" i="14" s="1"/>
  <c r="I97" i="12"/>
  <c r="R108" i="3"/>
  <c r="P117" i="8"/>
  <c r="H104" i="12"/>
  <c r="I104" i="12" s="1"/>
  <c r="P11" i="6"/>
  <c r="P103" i="6" s="1"/>
  <c r="P96" i="6"/>
  <c r="P102" i="6" s="1"/>
  <c r="I96" i="14"/>
  <c r="R20" i="8"/>
  <c r="Q112" i="6"/>
  <c r="R112" i="6" s="1"/>
  <c r="R105" i="6"/>
  <c r="H96" i="11"/>
  <c r="I96" i="11" s="1"/>
  <c r="R105" i="8"/>
  <c r="Q112" i="8"/>
  <c r="R112" i="8" s="1"/>
  <c r="Q102" i="6"/>
  <c r="R102" i="6" s="1"/>
  <c r="R20" i="6"/>
  <c r="Q103" i="6"/>
  <c r="H102" i="9"/>
  <c r="I102" i="9" s="1"/>
  <c r="I96" i="9"/>
  <c r="H104" i="11"/>
  <c r="I104" i="11" s="1"/>
  <c r="P101" i="4"/>
  <c r="P108" i="4" s="1"/>
  <c r="AD151" i="1"/>
  <c r="AE151" i="1"/>
  <c r="P108" i="3"/>
  <c r="R99" i="8"/>
  <c r="Q102" i="8"/>
  <c r="R102" i="8" s="1"/>
  <c r="L122" i="17" l="1"/>
  <c r="M122" i="17" s="1"/>
  <c r="M120" i="17"/>
</calcChain>
</file>

<file path=xl/sharedStrings.xml><?xml version="1.0" encoding="utf-8"?>
<sst xmlns="http://schemas.openxmlformats.org/spreadsheetml/2006/main" count="4521" uniqueCount="212">
  <si>
    <t>Capex review on FG 2020-21 (Preliminary)</t>
  </si>
  <si>
    <t>NCR</t>
  </si>
  <si>
    <r>
      <rPr>
        <sz val="12"/>
        <color rgb="FF002060"/>
        <rFont val="Calibri"/>
        <family val="2"/>
      </rPr>
      <t xml:space="preserve">( </t>
    </r>
    <r>
      <rPr>
        <sz val="12"/>
        <color rgb="FF002060"/>
        <rFont val="Rupee foradian"/>
      </rPr>
      <t>`</t>
    </r>
    <r>
      <rPr>
        <sz val="12"/>
        <color rgb="FF002060"/>
        <rFont val="Calibri"/>
        <family val="2"/>
      </rPr>
      <t xml:space="preserve"> in thousands )</t>
    </r>
  </si>
  <si>
    <t>CAO/ Construction</t>
  </si>
  <si>
    <t>Open Line</t>
  </si>
  <si>
    <r>
      <rPr>
        <sz val="12"/>
        <color rgb="FF002060"/>
        <rFont val="Calibri"/>
        <family val="2"/>
      </rPr>
      <t>(</t>
    </r>
    <r>
      <rPr>
        <sz val="12"/>
        <color rgb="FF002060"/>
        <rFont val="Rupee foradian"/>
      </rPr>
      <t>`</t>
    </r>
    <r>
      <rPr>
        <sz val="12"/>
        <color rgb="FF002060"/>
        <rFont val="Calibri"/>
        <family val="2"/>
      </rPr>
      <t xml:space="preserve"> in thousands)</t>
    </r>
  </si>
  <si>
    <t>Plan Head</t>
  </si>
  <si>
    <t>Allocation</t>
  </si>
  <si>
    <t xml:space="preserve">OBG    2020-21 </t>
  </si>
  <si>
    <t>BG SL         2020-21</t>
  </si>
  <si>
    <t>RE ASKED    2020-21</t>
  </si>
  <si>
    <t>RG     2020-21</t>
  </si>
  <si>
    <t>FG 2020-21</t>
  </si>
  <si>
    <t>Actual upto March-2021</t>
  </si>
  <si>
    <t>Variation Actual-FG</t>
  </si>
  <si>
    <t>% utilisation on fund FG</t>
  </si>
  <si>
    <t>Variation RG-REA</t>
  </si>
  <si>
    <t>Variation RG-BG SL</t>
  </si>
  <si>
    <t>BG SL 2020-21</t>
  </si>
  <si>
    <t>Gross</t>
  </si>
  <si>
    <t>1100-New Lines Construction</t>
  </si>
  <si>
    <t>Capital</t>
  </si>
  <si>
    <t>Capital(CH)</t>
  </si>
  <si>
    <t>EBR-P</t>
  </si>
  <si>
    <t>EBR-S</t>
  </si>
  <si>
    <t>Total</t>
  </si>
  <si>
    <t>1400-Gauge Conversion</t>
  </si>
  <si>
    <t>1500-Doubling</t>
  </si>
  <si>
    <t>DRF</t>
  </si>
  <si>
    <t>EBR-IF</t>
  </si>
  <si>
    <t>1600-Traffic Facilities</t>
  </si>
  <si>
    <t>DF</t>
  </si>
  <si>
    <t>RRSK</t>
  </si>
  <si>
    <t>RRSK (CH)</t>
  </si>
  <si>
    <t>1700-Computerisation</t>
  </si>
  <si>
    <t>2100-Rolling Stock (Bulk Order &amp; Other than Bulk Order)</t>
  </si>
  <si>
    <t>2200-Lease Charges</t>
  </si>
  <si>
    <t>Capital fund</t>
  </si>
  <si>
    <t>2900-Road safety Wotks</t>
  </si>
  <si>
    <t>3000 ROB/RUB</t>
  </si>
  <si>
    <t>SF</t>
  </si>
  <si>
    <t>3100 Track Renewal</t>
  </si>
  <si>
    <t>3200 Bridge Works</t>
  </si>
  <si>
    <t>3300 S&amp;T Works</t>
  </si>
  <si>
    <t>3600 Other Electrical Works</t>
  </si>
  <si>
    <t>4100 M&amp;P</t>
  </si>
  <si>
    <t>Capital(Co.)</t>
  </si>
  <si>
    <t>4200 Workshop &amp; PU</t>
  </si>
  <si>
    <t>DRF(CH)</t>
  </si>
  <si>
    <t>DF(CH)</t>
  </si>
  <si>
    <t>RRSK(CH)</t>
  </si>
  <si>
    <t>EBR(IF)</t>
  </si>
  <si>
    <t>5100 Staff Quarters</t>
  </si>
  <si>
    <t>DRF (CH)</t>
  </si>
  <si>
    <t>5300 Passenger Amenties Works</t>
  </si>
  <si>
    <t>EBR(P)</t>
  </si>
  <si>
    <t>6400 Other Specified Works</t>
  </si>
  <si>
    <t>Capital(Nir.)</t>
  </si>
  <si>
    <t>DF (CH)</t>
  </si>
  <si>
    <t>6500 Training &amp; HRD</t>
  </si>
  <si>
    <t xml:space="preserve">Total </t>
  </si>
  <si>
    <t>Suspense (Inventories)</t>
  </si>
  <si>
    <t>PH</t>
  </si>
  <si>
    <t>OBG 20-21</t>
  </si>
  <si>
    <t>RG 20-21</t>
  </si>
  <si>
    <t>FG 20-21</t>
  </si>
  <si>
    <t>ACT 20-21</t>
  </si>
  <si>
    <t>ACT-FG</t>
  </si>
  <si>
    <t>%age utln</t>
  </si>
  <si>
    <t xml:space="preserve">7100 Store </t>
  </si>
  <si>
    <t>credit</t>
  </si>
  <si>
    <t>PH-2100</t>
  </si>
  <si>
    <t>7200 WMS</t>
  </si>
  <si>
    <t>BREAK UP OF CREDIT 3100 (REV FG)</t>
  </si>
  <si>
    <t>ALD</t>
  </si>
  <si>
    <t>7300 MAC</t>
  </si>
  <si>
    <t>AGC</t>
  </si>
  <si>
    <t>JHS</t>
  </si>
  <si>
    <t>7100 Store</t>
  </si>
  <si>
    <t>Credit</t>
  </si>
  <si>
    <t>TOTAL</t>
  </si>
  <si>
    <t>Net Suspense</t>
  </si>
  <si>
    <t>Gross Cap</t>
  </si>
  <si>
    <t>Net</t>
  </si>
  <si>
    <t>Charged</t>
  </si>
  <si>
    <t>PH-3100</t>
  </si>
  <si>
    <r>
      <rPr>
        <sz val="12"/>
        <color rgb="FF002060"/>
        <rFont val="Calibri"/>
        <family val="2"/>
      </rPr>
      <t xml:space="preserve">( </t>
    </r>
    <r>
      <rPr>
        <sz val="12"/>
        <color rgb="FF002060"/>
        <rFont val="Rupee foradian"/>
      </rPr>
      <t>`</t>
    </r>
    <r>
      <rPr>
        <sz val="12"/>
        <color rgb="FF002060"/>
        <rFont val="Calibri"/>
        <family val="2"/>
      </rPr>
      <t xml:space="preserve"> in thousands )</t>
    </r>
  </si>
  <si>
    <r>
      <rPr>
        <sz val="12"/>
        <color rgb="FF002060"/>
        <rFont val="Calibri"/>
        <family val="2"/>
      </rPr>
      <t>(</t>
    </r>
    <r>
      <rPr>
        <sz val="12"/>
        <color rgb="FF002060"/>
        <rFont val="Rupee foradian"/>
      </rPr>
      <t>`</t>
    </r>
    <r>
      <rPr>
        <sz val="12"/>
        <color rgb="FF002060"/>
        <rFont val="Calibri"/>
        <family val="2"/>
      </rPr>
      <t xml:space="preserve"> in thousands)</t>
    </r>
  </si>
  <si>
    <t xml:space="preserve">Capex review on OBG 2021-22 </t>
  </si>
  <si>
    <t>CONSTRUCTION UNIT</t>
  </si>
  <si>
    <t>OPEN LINE</t>
  </si>
  <si>
    <t>(Figure in Thousands of Rs)</t>
  </si>
  <si>
    <t xml:space="preserve">OBG 2021-22 </t>
  </si>
  <si>
    <t>Spending Limit 2021-22 ( S L)</t>
  </si>
  <si>
    <t>Actual Exp. up to April-2021</t>
  </si>
  <si>
    <t>%age Utilization of fund on OBG</t>
  </si>
  <si>
    <t>%age Utilization of fund onOBG</t>
  </si>
  <si>
    <t>1100- New Lines Construction</t>
  </si>
  <si>
    <t>2100 Rolling Stock                           (Bulk Order &amp; Other than Bulk Order)</t>
  </si>
  <si>
    <t>2200 Lease Charge</t>
  </si>
  <si>
    <t>2200 Lease Charges</t>
  </si>
  <si>
    <t>2900  Road safety Wotks</t>
  </si>
  <si>
    <t xml:space="preserve">DRF </t>
  </si>
  <si>
    <t xml:space="preserve">DF </t>
  </si>
  <si>
    <t>Grand Total (PH 11-65)</t>
  </si>
  <si>
    <t xml:space="preserve">OBG 2020-21 </t>
  </si>
  <si>
    <t>SL-2020-21</t>
  </si>
  <si>
    <t>Actual Exp. up to April-2020</t>
  </si>
  <si>
    <t>Utilisation</t>
  </si>
  <si>
    <t>7100- Stores Susp.</t>
  </si>
  <si>
    <t>7200-WMS</t>
  </si>
  <si>
    <t>7300-MAC</t>
  </si>
  <si>
    <t>PH-3100 Credit</t>
  </si>
  <si>
    <t>Total Gross Capital incl Suspense</t>
  </si>
  <si>
    <t>Total Capital Credit incl suspense</t>
  </si>
  <si>
    <t>Net Capital outlay</t>
  </si>
  <si>
    <t>Actual Exp. up to May-2021</t>
  </si>
  <si>
    <t>PH-1500 Credit</t>
  </si>
  <si>
    <t>PH-2100 Credit</t>
  </si>
  <si>
    <t>Plan Head (Railway Funds)</t>
  </si>
  <si>
    <t>Total EBR-IF</t>
  </si>
  <si>
    <t>Total EBR-P</t>
  </si>
  <si>
    <t>Plan Head( Suspence)</t>
  </si>
  <si>
    <r>
      <rPr>
        <b/>
        <sz val="11"/>
        <color theme="1"/>
        <rFont val="Arial"/>
        <family val="2"/>
      </rPr>
      <t xml:space="preserve">                                                NCR                                         Figures in thousands of </t>
    </r>
    <r>
      <rPr>
        <b/>
        <sz val="14"/>
        <color theme="1"/>
        <rFont val="Calibri"/>
        <family val="2"/>
      </rPr>
      <t>₹</t>
    </r>
  </si>
  <si>
    <r>
      <rPr>
        <b/>
        <sz val="11"/>
        <color theme="1"/>
        <rFont val="Arial"/>
        <family val="2"/>
      </rPr>
      <t xml:space="preserve">                                          Construction                                         Figures in thousands of </t>
    </r>
    <r>
      <rPr>
        <b/>
        <sz val="14"/>
        <color theme="1"/>
        <rFont val="Calibri"/>
        <family val="2"/>
      </rPr>
      <t>₹</t>
    </r>
  </si>
  <si>
    <r>
      <rPr>
        <b/>
        <sz val="11"/>
        <color theme="1"/>
        <rFont val="Arial"/>
        <family val="2"/>
      </rPr>
      <t xml:space="preserve">                                     Open line                                        Figures in thousands of </t>
    </r>
    <r>
      <rPr>
        <b/>
        <sz val="14"/>
        <color theme="1"/>
        <rFont val="Calibri"/>
        <family val="2"/>
      </rPr>
      <t>₹</t>
    </r>
  </si>
  <si>
    <t>Plan Head           (Railway Funds)</t>
  </si>
  <si>
    <t>Actual Exp. up to July-2021</t>
  </si>
  <si>
    <t>%age utilization of fund on OBG</t>
  </si>
  <si>
    <t>Plan Head                  (Railway Funds)</t>
  </si>
  <si>
    <t>Plan Head            (Railway Funds)</t>
  </si>
  <si>
    <t>Actual Exp. up to June-2021</t>
  </si>
  <si>
    <t>%ageutilization of fund onOBG</t>
  </si>
  <si>
    <t>MOU Target</t>
  </si>
  <si>
    <t>this excludes EBR-P only</t>
  </si>
  <si>
    <t>Breakup</t>
  </si>
  <si>
    <t xml:space="preserve">Add total of PH 11 to 71 (+) EBR-IF </t>
  </si>
  <si>
    <t>(-)Credit</t>
  </si>
  <si>
    <r>
      <rPr>
        <b/>
        <sz val="11"/>
        <color theme="1"/>
        <rFont val="Arial"/>
        <family val="2"/>
      </rPr>
      <t xml:space="preserve">                                                NCR                                         Figures in thousands of </t>
    </r>
    <r>
      <rPr>
        <b/>
        <sz val="14"/>
        <color theme="1"/>
        <rFont val="Calibri"/>
        <family val="2"/>
      </rPr>
      <t>₹</t>
    </r>
  </si>
  <si>
    <r>
      <rPr>
        <b/>
        <sz val="11"/>
        <color theme="1"/>
        <rFont val="Arial"/>
        <family val="2"/>
      </rPr>
      <t xml:space="preserve">                                          Construction                                         Figures in thousands of </t>
    </r>
    <r>
      <rPr>
        <b/>
        <sz val="14"/>
        <color theme="1"/>
        <rFont val="Calibri"/>
        <family val="2"/>
      </rPr>
      <t>₹</t>
    </r>
  </si>
  <si>
    <r>
      <rPr>
        <b/>
        <sz val="11"/>
        <color theme="1"/>
        <rFont val="Arial"/>
        <family val="2"/>
      </rPr>
      <t xml:space="preserve">                                     Open line                                        Figures in thousands of </t>
    </r>
    <r>
      <rPr>
        <b/>
        <sz val="14"/>
        <color theme="1"/>
        <rFont val="Calibri"/>
        <family val="2"/>
      </rPr>
      <t>₹</t>
    </r>
  </si>
  <si>
    <t>Actual Exp. up to Aug-2021</t>
  </si>
  <si>
    <t>Actual Exp. up to Aug.-2021</t>
  </si>
  <si>
    <t>capital 1500</t>
  </si>
  <si>
    <t>EBR-IF 1500</t>
  </si>
  <si>
    <r>
      <rPr>
        <b/>
        <sz val="14"/>
        <color theme="1"/>
        <rFont val="Calibri"/>
        <family val="2"/>
      </rPr>
      <t xml:space="preserve">                                           Capex Review of on OBG 2021-22                                                                                                                     </t>
    </r>
    <r>
      <rPr>
        <b/>
        <sz val="10"/>
        <color theme="1"/>
        <rFont val="Calibri"/>
        <family val="2"/>
      </rPr>
      <t xml:space="preserve"> Figures in thousands of ₹</t>
    </r>
  </si>
  <si>
    <t>Construction</t>
  </si>
  <si>
    <t>ok</t>
  </si>
  <si>
    <t>OBG</t>
  </si>
  <si>
    <t>Actual</t>
  </si>
  <si>
    <t>% utilisation</t>
  </si>
  <si>
    <t>OBG 21-22</t>
  </si>
  <si>
    <t>Actual 21-22</t>
  </si>
  <si>
    <t>Grand Total incl EBR-IF &amp; P</t>
  </si>
  <si>
    <t>Plan Head  ( Suspence)</t>
  </si>
  <si>
    <r>
      <rPr>
        <b/>
        <sz val="14"/>
        <color theme="1"/>
        <rFont val="Calibri"/>
        <family val="2"/>
      </rPr>
      <t xml:space="preserve">                                                          Capex Review of on OBG 2021-22 upto Sept-2021                                              (</t>
    </r>
    <r>
      <rPr>
        <b/>
        <sz val="10"/>
        <color theme="1"/>
        <rFont val="Calibri"/>
        <family val="2"/>
      </rPr>
      <t xml:space="preserve"> Figures in thousands of ₹ )</t>
    </r>
  </si>
  <si>
    <t>Construction incl NCRPU</t>
  </si>
  <si>
    <t>Actual Exp. up to Sept-2021</t>
  </si>
  <si>
    <t>Capital (RVNL)</t>
  </si>
  <si>
    <t>2100- Rolling Stock                           (Bulk Order &amp; Other than Bulk Order)</t>
  </si>
  <si>
    <t>2200- Leased Assests- Payment of Capital Component</t>
  </si>
  <si>
    <t>2900- Road Safety Works-Level Crossings</t>
  </si>
  <si>
    <t>3000-Road Safety Works- ROB/RUB</t>
  </si>
  <si>
    <t>3100- Track Renewals</t>
  </si>
  <si>
    <t>3200- Bridge,Tunnel Works &amp; Approches</t>
  </si>
  <si>
    <t>3300- S&amp;T Works</t>
  </si>
  <si>
    <t>3600- Other Electrical Works incl TRD</t>
  </si>
  <si>
    <t>4100- Mechinery &amp; Plant</t>
  </si>
  <si>
    <t>4200- Workshops incl Production Units</t>
  </si>
  <si>
    <t>5100- Staff Welfare</t>
  </si>
  <si>
    <t>5300- Passenger Amenties</t>
  </si>
  <si>
    <t>6500 Training/HRD</t>
  </si>
  <si>
    <t>Total PH-1100 to 6500</t>
  </si>
  <si>
    <t>Total Source wise</t>
  </si>
  <si>
    <t>Plan Head ( Suspence)</t>
  </si>
  <si>
    <t>Actual Exp. up to Sept.-2021</t>
  </si>
  <si>
    <t>RE Asked 2021-22</t>
  </si>
  <si>
    <t>BE Asked 2021-22</t>
  </si>
  <si>
    <t xml:space="preserve">Other Credits </t>
  </si>
  <si>
    <r>
      <rPr>
        <b/>
        <sz val="12"/>
        <color theme="1"/>
        <rFont val="Calibri"/>
        <family val="2"/>
      </rPr>
      <t xml:space="preserve">                                                          Capex Review of on OBG 2021-22 upto Oct-2021                                              (</t>
    </r>
    <r>
      <rPr>
        <b/>
        <sz val="12"/>
        <color theme="1"/>
        <rFont val="Calibri"/>
        <family val="2"/>
      </rPr>
      <t xml:space="preserve"> Figures in thousands of ₹ )</t>
    </r>
  </si>
  <si>
    <t>Actual Exp. up to Oct -2021</t>
  </si>
  <si>
    <t>Capital(RVNL)</t>
  </si>
  <si>
    <t>Total PH wise 1100 to 6500</t>
  </si>
  <si>
    <t>Total Source wise 11 to 65</t>
  </si>
  <si>
    <t xml:space="preserve">CAP </t>
  </si>
  <si>
    <t>Capital 1500</t>
  </si>
  <si>
    <t>Total Credit</t>
  </si>
  <si>
    <t xml:space="preserve">                                                          Capex Review of on OBG 2021-22 upto Nov-2021                                              ( Figures in thousands of ₹ )</t>
  </si>
  <si>
    <t>Actual Exp. up to Nov -2021</t>
  </si>
  <si>
    <t>Actual Exp. up to Dec -2021</t>
  </si>
  <si>
    <t>1500- Doubling</t>
  </si>
  <si>
    <t xml:space="preserve">                                                          Capex Review of on RG 2021-22 upto Dec-2021                                              ( Figures in thousands of ₹ )</t>
  </si>
  <si>
    <t xml:space="preserve">RG 2021-22 </t>
  </si>
  <si>
    <t>%age utilization of fund on RG</t>
  </si>
  <si>
    <t>RG</t>
  </si>
  <si>
    <t>RG 21-22</t>
  </si>
  <si>
    <t>RG 2021-22</t>
  </si>
  <si>
    <t>Actual 2021-22</t>
  </si>
  <si>
    <t>PCMM</t>
  </si>
  <si>
    <t>Workshop</t>
  </si>
  <si>
    <t>Constn.</t>
  </si>
  <si>
    <t>WAO-JHS</t>
  </si>
  <si>
    <t>Divisions</t>
  </si>
  <si>
    <t>Actual Exp. up to Jan -2022</t>
  </si>
  <si>
    <t>EBR-IRFC BOND</t>
  </si>
  <si>
    <t>Less IRFC Bond</t>
  </si>
  <si>
    <t>Actual upto Jan-22</t>
  </si>
  <si>
    <t>HQ+Constn.</t>
  </si>
  <si>
    <t>7100- Store Susp.</t>
  </si>
  <si>
    <t>PH-5300 Credit</t>
  </si>
  <si>
    <t xml:space="preserve">                                                          Capex Review on RG 2021-22 upto Jan-2022                                                          ( Figures in thousands of ₹ )</t>
  </si>
  <si>
    <t xml:space="preserve">               Grand Total incl EBR-IF-PP-IRFC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</si>
</sst>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rial"/>
    </font>
    <font>
      <b/>
      <sz val="14"/>
      <color rgb="FF002060"/>
      <name val="Arimo"/>
    </font>
    <font>
      <sz val="11"/>
      <name val="Arial"/>
      <family val="2"/>
    </font>
    <font>
      <sz val="14"/>
      <color rgb="FF002060"/>
      <name val="Arimo"/>
    </font>
    <font>
      <b/>
      <sz val="14"/>
      <color rgb="FF002060"/>
      <name val="Calibri"/>
      <family val="2"/>
    </font>
    <font>
      <sz val="12"/>
      <color rgb="FF002060"/>
      <name val="Calibri"/>
      <family val="2"/>
    </font>
    <font>
      <sz val="12"/>
      <color rgb="FF002060"/>
      <name val="Rupee foradian"/>
    </font>
    <font>
      <b/>
      <sz val="12"/>
      <color rgb="FF002060"/>
      <name val="Arimo"/>
    </font>
    <font>
      <b/>
      <sz val="12"/>
      <color theme="1"/>
      <name val="Arimo"/>
    </font>
    <font>
      <sz val="12"/>
      <color rgb="FF002060"/>
      <name val="Arimo"/>
    </font>
    <font>
      <sz val="12"/>
      <color theme="1"/>
      <name val="Arimo"/>
    </font>
    <font>
      <b/>
      <sz val="11"/>
      <color rgb="FF002060"/>
      <name val="Arimo"/>
    </font>
    <font>
      <b/>
      <sz val="11"/>
      <color theme="1"/>
      <name val="Arimo"/>
    </font>
    <font>
      <b/>
      <sz val="14"/>
      <color theme="1"/>
      <name val="Arimo"/>
    </font>
    <font>
      <b/>
      <sz val="11"/>
      <color theme="1"/>
      <name val="Arial"/>
      <family val="2"/>
    </font>
    <font>
      <b/>
      <sz val="12"/>
      <color theme="1"/>
      <name val="Architects Daughte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color rgb="FFC00000"/>
      <name val="Calibri"/>
      <family val="2"/>
    </font>
    <font>
      <sz val="11"/>
      <color rgb="FFC00000"/>
      <name val="Calibri"/>
      <family val="2"/>
    </font>
    <font>
      <sz val="12"/>
      <color rgb="FFC00000"/>
      <name val="Arial"/>
      <family val="2"/>
    </font>
    <font>
      <b/>
      <sz val="11"/>
      <color rgb="FFC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2"/>
      <color rgb="FF980000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3" fillId="0" borderId="21"/>
  </cellStyleXfs>
  <cellXfs count="1011">
    <xf numFmtId="0" fontId="0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12" xfId="0" applyFont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6" xfId="0" applyFont="1" applyBorder="1"/>
    <xf numFmtId="0" fontId="9" fillId="0" borderId="12" xfId="0" applyFont="1" applyBorder="1"/>
    <xf numFmtId="0" fontId="9" fillId="2" borderId="12" xfId="0" applyFont="1" applyFill="1" applyBorder="1"/>
    <xf numFmtId="0" fontId="10" fillId="0" borderId="12" xfId="0" applyFont="1" applyBorder="1"/>
    <xf numFmtId="2" fontId="9" fillId="0" borderId="13" xfId="0" applyNumberFormat="1" applyFont="1" applyBorder="1" applyAlignment="1">
      <alignment horizontal="right"/>
    </xf>
    <xf numFmtId="0" fontId="9" fillId="0" borderId="5" xfId="0" applyFont="1" applyBorder="1"/>
    <xf numFmtId="2" fontId="7" fillId="0" borderId="13" xfId="0" applyNumberFormat="1" applyFont="1" applyBorder="1" applyAlignment="1">
      <alignment horizontal="right"/>
    </xf>
    <xf numFmtId="2" fontId="9" fillId="0" borderId="13" xfId="0" applyNumberFormat="1" applyFont="1" applyBorder="1"/>
    <xf numFmtId="0" fontId="7" fillId="0" borderId="6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8" fillId="0" borderId="12" xfId="0" applyFont="1" applyBorder="1"/>
    <xf numFmtId="0" fontId="7" fillId="0" borderId="5" xfId="0" applyFont="1" applyBorder="1"/>
    <xf numFmtId="0" fontId="9" fillId="3" borderId="20" xfId="0" applyFont="1" applyFill="1" applyBorder="1" applyAlignment="1">
      <alignment vertical="top" wrapText="1"/>
    </xf>
    <xf numFmtId="0" fontId="9" fillId="3" borderId="21" xfId="0" applyFont="1" applyFill="1" applyBorder="1" applyAlignment="1">
      <alignment vertical="top" wrapText="1"/>
    </xf>
    <xf numFmtId="0" fontId="9" fillId="3" borderId="12" xfId="0" applyFont="1" applyFill="1" applyBorder="1"/>
    <xf numFmtId="0" fontId="9" fillId="3" borderId="12" xfId="0" applyFont="1" applyFill="1" applyBorder="1" applyAlignment="1">
      <alignment horizontal="center"/>
    </xf>
    <xf numFmtId="0" fontId="10" fillId="3" borderId="12" xfId="0" applyFont="1" applyFill="1" applyBorder="1"/>
    <xf numFmtId="2" fontId="9" fillId="3" borderId="13" xfId="0" applyNumberFormat="1" applyFont="1" applyFill="1" applyBorder="1" applyAlignment="1">
      <alignment horizontal="right"/>
    </xf>
    <xf numFmtId="0" fontId="9" fillId="3" borderId="22" xfId="0" applyFont="1" applyFill="1" applyBorder="1"/>
    <xf numFmtId="0" fontId="9" fillId="3" borderId="23" xfId="0" applyFont="1" applyFill="1" applyBorder="1" applyAlignment="1">
      <alignment vertical="top" wrapText="1"/>
    </xf>
    <xf numFmtId="0" fontId="9" fillId="3" borderId="13" xfId="0" applyFont="1" applyFill="1" applyBorder="1" applyAlignment="1">
      <alignment horizontal="right"/>
    </xf>
    <xf numFmtId="0" fontId="9" fillId="0" borderId="6" xfId="0" applyFont="1" applyBorder="1" applyAlignment="1">
      <alignment vertical="top"/>
    </xf>
    <xf numFmtId="0" fontId="8" fillId="3" borderId="12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2" borderId="26" xfId="0" applyFont="1" applyFill="1" applyBorder="1"/>
    <xf numFmtId="0" fontId="8" fillId="0" borderId="26" xfId="0" applyFont="1" applyBorder="1"/>
    <xf numFmtId="0" fontId="9" fillId="3" borderId="27" xfId="0" applyFont="1" applyFill="1" applyBorder="1"/>
    <xf numFmtId="0" fontId="10" fillId="3" borderId="27" xfId="0" applyFont="1" applyFill="1" applyBorder="1"/>
    <xf numFmtId="2" fontId="9" fillId="3" borderId="27" xfId="0" applyNumberFormat="1" applyFont="1" applyFill="1" applyBorder="1" applyAlignment="1">
      <alignment horizontal="right"/>
    </xf>
    <xf numFmtId="0" fontId="9" fillId="3" borderId="27" xfId="0" applyFont="1" applyFill="1" applyBorder="1" applyAlignment="1">
      <alignment horizontal="right"/>
    </xf>
    <xf numFmtId="2" fontId="9" fillId="3" borderId="12" xfId="0" applyNumberFormat="1" applyFont="1" applyFill="1" applyBorder="1" applyAlignment="1">
      <alignment horizontal="right"/>
    </xf>
    <xf numFmtId="0" fontId="9" fillId="3" borderId="12" xfId="0" applyFont="1" applyFill="1" applyBorder="1" applyAlignment="1">
      <alignment horizontal="right"/>
    </xf>
    <xf numFmtId="0" fontId="9" fillId="3" borderId="28" xfId="0" applyFont="1" applyFill="1" applyBorder="1" applyAlignment="1">
      <alignment vertical="top" wrapText="1"/>
    </xf>
    <xf numFmtId="0" fontId="9" fillId="3" borderId="29" xfId="0" applyFont="1" applyFill="1" applyBorder="1" applyAlignment="1">
      <alignment vertical="top" wrapText="1"/>
    </xf>
    <xf numFmtId="0" fontId="11" fillId="0" borderId="6" xfId="0" applyFont="1" applyBorder="1"/>
    <xf numFmtId="0" fontId="11" fillId="0" borderId="12" xfId="0" applyFont="1" applyBorder="1"/>
    <xf numFmtId="0" fontId="11" fillId="2" borderId="12" xfId="0" applyFont="1" applyFill="1" applyBorder="1"/>
    <xf numFmtId="0" fontId="12" fillId="0" borderId="12" xfId="0" applyFont="1" applyBorder="1"/>
    <xf numFmtId="2" fontId="11" fillId="0" borderId="13" xfId="0" applyNumberFormat="1" applyFont="1" applyBorder="1" applyAlignment="1">
      <alignment horizontal="right"/>
    </xf>
    <xf numFmtId="0" fontId="11" fillId="0" borderId="6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14" xfId="0" applyFont="1" applyBorder="1"/>
    <xf numFmtId="0" fontId="11" fillId="2" borderId="30" xfId="0" applyFont="1" applyFill="1" applyBorder="1"/>
    <xf numFmtId="0" fontId="12" fillId="0" borderId="14" xfId="0" applyFont="1" applyBorder="1"/>
    <xf numFmtId="0" fontId="9" fillId="0" borderId="31" xfId="0" applyFont="1" applyBorder="1" applyAlignment="1">
      <alignment horizontal="left" vertical="center" wrapText="1"/>
    </xf>
    <xf numFmtId="0" fontId="9" fillId="0" borderId="0" xfId="0" applyFont="1"/>
    <xf numFmtId="0" fontId="7" fillId="4" borderId="21" xfId="0" applyFont="1" applyFill="1" applyBorder="1"/>
    <xf numFmtId="0" fontId="9" fillId="0" borderId="32" xfId="0" applyFont="1" applyBorder="1"/>
    <xf numFmtId="0" fontId="9" fillId="0" borderId="33" xfId="0" applyFont="1" applyBorder="1"/>
    <xf numFmtId="0" fontId="9" fillId="0" borderId="32" xfId="0" applyFont="1" applyBorder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12" xfId="0" applyFont="1" applyBorder="1" applyAlignment="1">
      <alignment wrapText="1"/>
    </xf>
    <xf numFmtId="0" fontId="10" fillId="0" borderId="36" xfId="0" applyFont="1" applyBorder="1"/>
    <xf numFmtId="0" fontId="10" fillId="0" borderId="16" xfId="0" applyFont="1" applyBorder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5" xfId="0" applyFont="1" applyBorder="1"/>
    <xf numFmtId="0" fontId="10" fillId="0" borderId="6" xfId="0" applyFont="1" applyBorder="1"/>
    <xf numFmtId="0" fontId="10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4" borderId="21" xfId="0" applyFont="1" applyFill="1" applyBorder="1"/>
    <xf numFmtId="0" fontId="16" fillId="0" borderId="4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16" fillId="0" borderId="44" xfId="0" applyFont="1" applyBorder="1" applyAlignment="1">
      <alignment horizontal="center" vertical="top" wrapText="1"/>
    </xf>
    <xf numFmtId="0" fontId="16" fillId="0" borderId="45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6" fillId="5" borderId="47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8" fillId="0" borderId="49" xfId="0" applyFont="1" applyBorder="1"/>
    <xf numFmtId="0" fontId="18" fillId="0" borderId="39" xfId="0" applyFont="1" applyBorder="1"/>
    <xf numFmtId="0" fontId="18" fillId="5" borderId="50" xfId="0" applyFont="1" applyFill="1" applyBorder="1"/>
    <xf numFmtId="10" fontId="18" fillId="0" borderId="49" xfId="0" applyNumberFormat="1" applyFont="1" applyBorder="1"/>
    <xf numFmtId="0" fontId="18" fillId="0" borderId="38" xfId="0" applyFont="1" applyBorder="1"/>
    <xf numFmtId="0" fontId="18" fillId="0" borderId="40" xfId="0" applyFont="1" applyBorder="1"/>
    <xf numFmtId="10" fontId="18" fillId="0" borderId="51" xfId="0" applyNumberFormat="1" applyFont="1" applyBorder="1"/>
    <xf numFmtId="0" fontId="18" fillId="0" borderId="53" xfId="0" applyFont="1" applyBorder="1"/>
    <xf numFmtId="0" fontId="18" fillId="0" borderId="4" xfId="0" applyFont="1" applyBorder="1"/>
    <xf numFmtId="0" fontId="18" fillId="5" borderId="54" xfId="0" applyFont="1" applyFill="1" applyBorder="1"/>
    <xf numFmtId="10" fontId="18" fillId="0" borderId="53" xfId="0" applyNumberFormat="1" applyFont="1" applyBorder="1"/>
    <xf numFmtId="0" fontId="18" fillId="0" borderId="55" xfId="0" applyFont="1" applyBorder="1"/>
    <xf numFmtId="0" fontId="18" fillId="0" borderId="51" xfId="0" applyFont="1" applyBorder="1"/>
    <xf numFmtId="0" fontId="18" fillId="0" borderId="32" xfId="0" applyFont="1" applyBorder="1"/>
    <xf numFmtId="0" fontId="18" fillId="0" borderId="56" xfId="0" applyFont="1" applyBorder="1"/>
    <xf numFmtId="0" fontId="18" fillId="5" borderId="57" xfId="0" applyFont="1" applyFill="1" applyBorder="1"/>
    <xf numFmtId="0" fontId="18" fillId="0" borderId="52" xfId="0" applyFont="1" applyBorder="1"/>
    <xf numFmtId="0" fontId="18" fillId="0" borderId="58" xfId="0" applyFont="1" applyBorder="1"/>
    <xf numFmtId="0" fontId="16" fillId="0" borderId="60" xfId="0" applyFont="1" applyBorder="1"/>
    <xf numFmtId="0" fontId="16" fillId="0" borderId="42" xfId="0" applyFont="1" applyBorder="1"/>
    <xf numFmtId="0" fontId="16" fillId="0" borderId="41" xfId="0" applyFont="1" applyBorder="1"/>
    <xf numFmtId="10" fontId="16" fillId="0" borderId="61" xfId="0" applyNumberFormat="1" applyFont="1" applyBorder="1"/>
    <xf numFmtId="0" fontId="16" fillId="0" borderId="59" xfId="0" applyFont="1" applyBorder="1"/>
    <xf numFmtId="0" fontId="16" fillId="0" borderId="61" xfId="0" applyFont="1" applyBorder="1"/>
    <xf numFmtId="0" fontId="18" fillId="0" borderId="44" xfId="0" applyFont="1" applyBorder="1"/>
    <xf numFmtId="0" fontId="18" fillId="5" borderId="63" xfId="0" applyFont="1" applyFill="1" applyBorder="1"/>
    <xf numFmtId="0" fontId="16" fillId="5" borderId="64" xfId="0" applyFont="1" applyFill="1" applyBorder="1"/>
    <xf numFmtId="0" fontId="18" fillId="0" borderId="53" xfId="0" applyFont="1" applyBorder="1" applyAlignment="1">
      <alignment vertical="top"/>
    </xf>
    <xf numFmtId="0" fontId="18" fillId="0" borderId="55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18" fillId="0" borderId="38" xfId="0" applyFont="1" applyBorder="1" applyAlignment="1">
      <alignment vertical="top"/>
    </xf>
    <xf numFmtId="0" fontId="18" fillId="0" borderId="65" xfId="0" applyFont="1" applyBorder="1" applyAlignment="1">
      <alignment vertical="top"/>
    </xf>
    <xf numFmtId="0" fontId="18" fillId="0" borderId="65" xfId="0" applyFont="1" applyBorder="1"/>
    <xf numFmtId="10" fontId="18" fillId="0" borderId="13" xfId="0" applyNumberFormat="1" applyFont="1" applyBorder="1"/>
    <xf numFmtId="10" fontId="16" fillId="0" borderId="13" xfId="0" applyNumberFormat="1" applyFont="1" applyBorder="1"/>
    <xf numFmtId="0" fontId="16" fillId="5" borderId="61" xfId="0" applyFont="1" applyFill="1" applyBorder="1"/>
    <xf numFmtId="0" fontId="18" fillId="0" borderId="66" xfId="0" applyFont="1" applyBorder="1"/>
    <xf numFmtId="0" fontId="18" fillId="0" borderId="7" xfId="0" applyFont="1" applyBorder="1"/>
    <xf numFmtId="0" fontId="18" fillId="5" borderId="67" xfId="0" applyFont="1" applyFill="1" applyBorder="1"/>
    <xf numFmtId="0" fontId="16" fillId="0" borderId="49" xfId="0" applyFont="1" applyBorder="1"/>
    <xf numFmtId="0" fontId="16" fillId="0" borderId="68" xfId="0" applyFont="1" applyBorder="1"/>
    <xf numFmtId="0" fontId="16" fillId="0" borderId="38" xfId="0" applyFont="1" applyBorder="1"/>
    <xf numFmtId="10" fontId="16" fillId="0" borderId="49" xfId="0" applyNumberFormat="1" applyFont="1" applyBorder="1"/>
    <xf numFmtId="0" fontId="16" fillId="0" borderId="53" xfId="0" applyFont="1" applyBorder="1"/>
    <xf numFmtId="0" fontId="16" fillId="0" borderId="69" xfId="0" applyFont="1" applyBorder="1"/>
    <xf numFmtId="0" fontId="16" fillId="0" borderId="55" xfId="0" applyFont="1" applyBorder="1"/>
    <xf numFmtId="10" fontId="16" fillId="0" borderId="53" xfId="0" applyNumberFormat="1" applyFont="1" applyBorder="1"/>
    <xf numFmtId="0" fontId="16" fillId="0" borderId="53" xfId="0" applyFont="1" applyBorder="1" applyAlignment="1">
      <alignment vertical="top"/>
    </xf>
    <xf numFmtId="0" fontId="16" fillId="0" borderId="70" xfId="0" applyFont="1" applyBorder="1"/>
    <xf numFmtId="0" fontId="17" fillId="3" borderId="71" xfId="0" applyFont="1" applyFill="1" applyBorder="1" applyAlignment="1">
      <alignment wrapText="1"/>
    </xf>
    <xf numFmtId="0" fontId="19" fillId="3" borderId="72" xfId="0" applyFont="1" applyFill="1" applyBorder="1"/>
    <xf numFmtId="0" fontId="19" fillId="3" borderId="73" xfId="0" applyFont="1" applyFill="1" applyBorder="1"/>
    <xf numFmtId="0" fontId="19" fillId="0" borderId="0" xfId="0" applyFont="1"/>
    <xf numFmtId="0" fontId="18" fillId="0" borderId="68" xfId="0" applyFont="1" applyBorder="1" applyAlignment="1">
      <alignment wrapText="1"/>
    </xf>
    <xf numFmtId="0" fontId="18" fillId="0" borderId="74" xfId="0" applyFont="1" applyBorder="1"/>
    <xf numFmtId="0" fontId="18" fillId="5" borderId="74" xfId="0" applyFont="1" applyFill="1" applyBorder="1"/>
    <xf numFmtId="0" fontId="16" fillId="0" borderId="0" xfId="0" applyFont="1" applyAlignment="1">
      <alignment horizontal="left" vertical="top" wrapText="1"/>
    </xf>
    <xf numFmtId="0" fontId="18" fillId="0" borderId="69" xfId="0" applyFont="1" applyBorder="1" applyAlignment="1">
      <alignment wrapText="1"/>
    </xf>
    <xf numFmtId="0" fontId="18" fillId="0" borderId="12" xfId="0" applyFont="1" applyBorder="1"/>
    <xf numFmtId="0" fontId="18" fillId="5" borderId="12" xfId="0" applyFont="1" applyFill="1" applyBorder="1"/>
    <xf numFmtId="0" fontId="16" fillId="0" borderId="12" xfId="0" applyFont="1" applyBorder="1"/>
    <xf numFmtId="0" fontId="19" fillId="0" borderId="12" xfId="0" applyFont="1" applyBorder="1"/>
    <xf numFmtId="10" fontId="20" fillId="0" borderId="0" xfId="0" applyNumberFormat="1" applyFont="1"/>
    <xf numFmtId="0" fontId="20" fillId="0" borderId="0" xfId="0" applyFont="1"/>
    <xf numFmtId="0" fontId="16" fillId="0" borderId="10" xfId="0" applyFont="1" applyBorder="1" applyAlignment="1">
      <alignment wrapText="1"/>
    </xf>
    <xf numFmtId="0" fontId="16" fillId="0" borderId="14" xfId="0" applyFont="1" applyBorder="1"/>
    <xf numFmtId="0" fontId="16" fillId="0" borderId="75" xfId="0" applyFont="1" applyBorder="1" applyAlignment="1">
      <alignment wrapText="1"/>
    </xf>
    <xf numFmtId="0" fontId="16" fillId="0" borderId="76" xfId="0" applyFont="1" applyBorder="1"/>
    <xf numFmtId="10" fontId="18" fillId="0" borderId="45" xfId="0" applyNumberFormat="1" applyFont="1" applyBorder="1"/>
    <xf numFmtId="0" fontId="17" fillId="3" borderId="72" xfId="0" applyFont="1" applyFill="1" applyBorder="1"/>
    <xf numFmtId="10" fontId="17" fillId="3" borderId="72" xfId="0" applyNumberFormat="1" applyFont="1" applyFill="1" applyBorder="1"/>
    <xf numFmtId="0" fontId="16" fillId="0" borderId="2" xfId="0" applyFont="1" applyBorder="1" applyAlignment="1">
      <alignment horizontal="center" vertical="top" wrapText="1"/>
    </xf>
    <xf numFmtId="0" fontId="17" fillId="0" borderId="3" xfId="0" applyFont="1" applyBorder="1"/>
    <xf numFmtId="0" fontId="17" fillId="0" borderId="45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62" xfId="0" applyFont="1" applyBorder="1"/>
    <xf numFmtId="0" fontId="16" fillId="0" borderId="12" xfId="0" applyFont="1" applyBorder="1" applyAlignment="1">
      <alignment vertical="top"/>
    </xf>
    <xf numFmtId="0" fontId="17" fillId="0" borderId="1" xfId="0" applyFont="1" applyBorder="1" applyAlignment="1">
      <alignment wrapText="1"/>
    </xf>
    <xf numFmtId="0" fontId="17" fillId="0" borderId="77" xfId="0" applyFont="1" applyBorder="1"/>
    <xf numFmtId="0" fontId="17" fillId="0" borderId="49" xfId="0" applyFont="1" applyBorder="1"/>
    <xf numFmtId="0" fontId="17" fillId="0" borderId="39" xfId="0" applyFont="1" applyBorder="1"/>
    <xf numFmtId="0" fontId="17" fillId="0" borderId="69" xfId="0" applyFont="1" applyBorder="1"/>
    <xf numFmtId="0" fontId="17" fillId="0" borderId="6" xfId="0" applyFont="1" applyBorder="1"/>
    <xf numFmtId="0" fontId="17" fillId="0" borderId="53" xfId="0" applyFont="1" applyBorder="1"/>
    <xf numFmtId="0" fontId="17" fillId="0" borderId="4" xfId="0" applyFont="1" applyBorder="1"/>
    <xf numFmtId="0" fontId="21" fillId="0" borderId="12" xfId="0" applyFont="1" applyBorder="1"/>
    <xf numFmtId="0" fontId="17" fillId="0" borderId="10" xfId="0" applyFont="1" applyBorder="1"/>
    <xf numFmtId="0" fontId="17" fillId="0" borderId="11" xfId="0" applyFont="1" applyBorder="1"/>
    <xf numFmtId="0" fontId="17" fillId="0" borderId="56" xfId="0" applyFont="1" applyBorder="1"/>
    <xf numFmtId="0" fontId="17" fillId="0" borderId="32" xfId="0" applyFont="1" applyBorder="1"/>
    <xf numFmtId="0" fontId="17" fillId="0" borderId="75" xfId="0" applyFont="1" applyBorder="1" applyAlignment="1">
      <alignment wrapText="1"/>
    </xf>
    <xf numFmtId="0" fontId="19" fillId="0" borderId="78" xfId="0" applyFont="1" applyBorder="1"/>
    <xf numFmtId="0" fontId="21" fillId="0" borderId="45" xfId="0" applyFont="1" applyBorder="1"/>
    <xf numFmtId="0" fontId="21" fillId="0" borderId="35" xfId="0" applyFont="1" applyBorder="1"/>
    <xf numFmtId="0" fontId="17" fillId="0" borderId="52" xfId="0" applyFont="1" applyBorder="1" applyAlignment="1">
      <alignment wrapText="1"/>
    </xf>
    <xf numFmtId="0" fontId="17" fillId="0" borderId="68" xfId="0" applyFont="1" applyBorder="1" applyAlignment="1">
      <alignment wrapText="1"/>
    </xf>
    <xf numFmtId="0" fontId="19" fillId="0" borderId="79" xfId="0" applyFont="1" applyBorder="1"/>
    <xf numFmtId="0" fontId="21" fillId="0" borderId="44" xfId="0" applyFont="1" applyBorder="1"/>
    <xf numFmtId="0" fontId="17" fillId="0" borderId="59" xfId="0" applyFont="1" applyBorder="1" applyAlignment="1">
      <alignment wrapText="1"/>
    </xf>
    <xf numFmtId="0" fontId="19" fillId="0" borderId="34" xfId="0" applyFont="1" applyBorder="1"/>
    <xf numFmtId="0" fontId="19" fillId="0" borderId="45" xfId="0" applyFont="1" applyBorder="1"/>
    <xf numFmtId="0" fontId="19" fillId="0" borderId="9" xfId="0" applyFont="1" applyBorder="1"/>
    <xf numFmtId="0" fontId="21" fillId="0" borderId="78" xfId="0" applyFont="1" applyBorder="1"/>
    <xf numFmtId="0" fontId="17" fillId="0" borderId="45" xfId="0" applyFont="1" applyBorder="1"/>
    <xf numFmtId="0" fontId="21" fillId="0" borderId="0" xfId="0" applyFont="1"/>
    <xf numFmtId="0" fontId="21" fillId="0" borderId="46" xfId="0" applyFont="1" applyBorder="1"/>
    <xf numFmtId="0" fontId="17" fillId="0" borderId="46" xfId="0" applyFont="1" applyBorder="1"/>
    <xf numFmtId="0" fontId="21" fillId="0" borderId="49" xfId="0" applyFont="1" applyBorder="1"/>
    <xf numFmtId="0" fontId="21" fillId="0" borderId="53" xfId="0" applyFont="1" applyBorder="1"/>
    <xf numFmtId="0" fontId="21" fillId="0" borderId="70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1" fillId="0" borderId="61" xfId="0" applyFont="1" applyBorder="1"/>
    <xf numFmtId="10" fontId="16" fillId="0" borderId="56" xfId="0" applyNumberFormat="1" applyFont="1" applyBorder="1"/>
    <xf numFmtId="0" fontId="16" fillId="0" borderId="56" xfId="0" applyFont="1" applyBorder="1"/>
    <xf numFmtId="0" fontId="16" fillId="0" borderId="10" xfId="0" applyFont="1" applyBorder="1"/>
    <xf numFmtId="0" fontId="16" fillId="0" borderId="44" xfId="0" applyFont="1" applyBorder="1"/>
    <xf numFmtId="0" fontId="16" fillId="0" borderId="1" xfId="0" applyFont="1" applyBorder="1"/>
    <xf numFmtId="10" fontId="16" fillId="0" borderId="44" xfId="0" applyNumberFormat="1" applyFont="1" applyBorder="1"/>
    <xf numFmtId="0" fontId="16" fillId="0" borderId="2" xfId="0" applyFont="1" applyBorder="1"/>
    <xf numFmtId="10" fontId="18" fillId="0" borderId="74" xfId="0" applyNumberFormat="1" applyFont="1" applyBorder="1"/>
    <xf numFmtId="10" fontId="18" fillId="0" borderId="81" xfId="0" applyNumberFormat="1" applyFont="1" applyBorder="1"/>
    <xf numFmtId="0" fontId="16" fillId="5" borderId="12" xfId="0" applyFont="1" applyFill="1" applyBorder="1"/>
    <xf numFmtId="10" fontId="16" fillId="0" borderId="12" xfId="0" applyNumberFormat="1" applyFont="1" applyBorder="1"/>
    <xf numFmtId="0" fontId="18" fillId="0" borderId="12" xfId="0" applyFont="1" applyBorder="1" applyAlignment="1">
      <alignment vertical="top"/>
    </xf>
    <xf numFmtId="10" fontId="18" fillId="0" borderId="12" xfId="0" applyNumberFormat="1" applyFont="1" applyBorder="1"/>
    <xf numFmtId="0" fontId="16" fillId="0" borderId="70" xfId="0" applyFont="1" applyBorder="1" applyAlignment="1">
      <alignment wrapText="1"/>
    </xf>
    <xf numFmtId="0" fontId="16" fillId="0" borderId="26" xfId="0" applyFont="1" applyBorder="1" applyAlignment="1">
      <alignment wrapText="1"/>
    </xf>
    <xf numFmtId="0" fontId="16" fillId="0" borderId="26" xfId="0" applyFont="1" applyBorder="1"/>
    <xf numFmtId="10" fontId="16" fillId="0" borderId="26" xfId="0" applyNumberFormat="1" applyFont="1" applyBorder="1"/>
    <xf numFmtId="0" fontId="19" fillId="0" borderId="37" xfId="0" applyFont="1" applyBorder="1"/>
    <xf numFmtId="0" fontId="19" fillId="0" borderId="48" xfId="0" applyFont="1" applyBorder="1"/>
    <xf numFmtId="0" fontId="18" fillId="0" borderId="36" xfId="0" applyFont="1" applyBorder="1"/>
    <xf numFmtId="0" fontId="18" fillId="0" borderId="17" xfId="0" applyFont="1" applyBorder="1"/>
    <xf numFmtId="0" fontId="18" fillId="5" borderId="27" xfId="0" applyFont="1" applyFill="1" applyBorder="1"/>
    <xf numFmtId="10" fontId="18" fillId="0" borderId="82" xfId="0" applyNumberFormat="1" applyFont="1" applyBorder="1"/>
    <xf numFmtId="0" fontId="16" fillId="0" borderId="5" xfId="0" applyFont="1" applyBorder="1"/>
    <xf numFmtId="10" fontId="18" fillId="0" borderId="83" xfId="0" applyNumberFormat="1" applyFont="1" applyBorder="1"/>
    <xf numFmtId="0" fontId="16" fillId="0" borderId="24" xfId="0" applyFont="1" applyBorder="1" applyAlignment="1">
      <alignment wrapText="1"/>
    </xf>
    <xf numFmtId="0" fontId="16" fillId="0" borderId="84" xfId="0" applyFont="1" applyBorder="1"/>
    <xf numFmtId="10" fontId="18" fillId="0" borderId="60" xfId="0" applyNumberFormat="1" applyFont="1" applyBorder="1"/>
    <xf numFmtId="0" fontId="17" fillId="0" borderId="34" xfId="0" applyFont="1" applyBorder="1" applyAlignment="1">
      <alignment wrapText="1"/>
    </xf>
    <xf numFmtId="0" fontId="17" fillId="0" borderId="35" xfId="0" applyFont="1" applyBorder="1"/>
    <xf numFmtId="10" fontId="17" fillId="0" borderId="62" xfId="0" applyNumberFormat="1" applyFont="1" applyBorder="1"/>
    <xf numFmtId="0" fontId="17" fillId="0" borderId="2" xfId="0" applyFont="1" applyBorder="1"/>
    <xf numFmtId="10" fontId="17" fillId="0" borderId="2" xfId="0" applyNumberFormat="1" applyFont="1" applyBorder="1"/>
    <xf numFmtId="0" fontId="16" fillId="0" borderId="0" xfId="0" applyFont="1"/>
    <xf numFmtId="0" fontId="16" fillId="0" borderId="0" xfId="0" applyFont="1" applyAlignment="1">
      <alignment vertical="top"/>
    </xf>
    <xf numFmtId="0" fontId="17" fillId="3" borderId="20" xfId="0" applyFont="1" applyFill="1" applyBorder="1" applyAlignment="1">
      <alignment wrapText="1"/>
    </xf>
    <xf numFmtId="0" fontId="19" fillId="3" borderId="21" xfId="0" applyFont="1" applyFill="1" applyBorder="1"/>
    <xf numFmtId="0" fontId="19" fillId="3" borderId="85" xfId="0" applyFont="1" applyFill="1" applyBorder="1"/>
    <xf numFmtId="0" fontId="17" fillId="0" borderId="0" xfId="0" applyFont="1" applyAlignment="1">
      <alignment wrapText="1"/>
    </xf>
    <xf numFmtId="0" fontId="17" fillId="0" borderId="0" xfId="0" applyFont="1"/>
    <xf numFmtId="10" fontId="18" fillId="0" borderId="0" xfId="0" applyNumberFormat="1" applyFont="1"/>
    <xf numFmtId="0" fontId="21" fillId="0" borderId="0" xfId="0" applyFont="1" applyAlignment="1">
      <alignment horizontal="left"/>
    </xf>
    <xf numFmtId="0" fontId="16" fillId="0" borderId="56" xfId="0" applyFont="1" applyBorder="1" applyAlignment="1">
      <alignment vertical="top"/>
    </xf>
    <xf numFmtId="0" fontId="16" fillId="0" borderId="65" xfId="0" applyFont="1" applyBorder="1"/>
    <xf numFmtId="0" fontId="16" fillId="0" borderId="45" xfId="0" applyFont="1" applyBorder="1"/>
    <xf numFmtId="0" fontId="16" fillId="0" borderId="75" xfId="0" applyFont="1" applyBorder="1"/>
    <xf numFmtId="10" fontId="16" fillId="0" borderId="45" xfId="0" applyNumberFormat="1" applyFont="1" applyBorder="1"/>
    <xf numFmtId="0" fontId="22" fillId="0" borderId="1" xfId="0" applyFont="1" applyBorder="1"/>
    <xf numFmtId="10" fontId="16" fillId="0" borderId="83" xfId="0" applyNumberFormat="1" applyFont="1" applyBorder="1"/>
    <xf numFmtId="10" fontId="16" fillId="0" borderId="60" xfId="0" applyNumberFormat="1" applyFont="1" applyBorder="1"/>
    <xf numFmtId="0" fontId="23" fillId="0" borderId="44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0" fontId="24" fillId="0" borderId="3" xfId="0" applyFont="1" applyBorder="1"/>
    <xf numFmtId="0" fontId="25" fillId="0" borderId="0" xfId="0" applyFont="1"/>
    <xf numFmtId="0" fontId="24" fillId="0" borderId="45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62" xfId="0" applyFont="1" applyBorder="1"/>
    <xf numFmtId="0" fontId="24" fillId="0" borderId="1" xfId="0" applyFont="1" applyBorder="1" applyAlignment="1">
      <alignment wrapText="1"/>
    </xf>
    <xf numFmtId="0" fontId="24" fillId="0" borderId="77" xfId="0" applyFont="1" applyBorder="1"/>
    <xf numFmtId="0" fontId="24" fillId="0" borderId="49" xfId="0" applyFont="1" applyBorder="1"/>
    <xf numFmtId="0" fontId="24" fillId="0" borderId="39" xfId="0" applyFont="1" applyBorder="1"/>
    <xf numFmtId="10" fontId="26" fillId="0" borderId="49" xfId="0" applyNumberFormat="1" applyFont="1" applyBorder="1"/>
    <xf numFmtId="0" fontId="24" fillId="0" borderId="69" xfId="0" applyFont="1" applyBorder="1"/>
    <xf numFmtId="0" fontId="24" fillId="0" borderId="6" xfId="0" applyFont="1" applyBorder="1"/>
    <xf numFmtId="0" fontId="24" fillId="0" borderId="53" xfId="0" applyFont="1" applyBorder="1"/>
    <xf numFmtId="0" fontId="24" fillId="0" borderId="4" xfId="0" applyFont="1" applyBorder="1"/>
    <xf numFmtId="0" fontId="24" fillId="0" borderId="10" xfId="0" applyFont="1" applyBorder="1"/>
    <xf numFmtId="0" fontId="24" fillId="0" borderId="11" xfId="0" applyFont="1" applyBorder="1"/>
    <xf numFmtId="0" fontId="24" fillId="0" borderId="56" xfId="0" applyFont="1" applyBorder="1"/>
    <xf numFmtId="0" fontId="24" fillId="0" borderId="32" xfId="0" applyFont="1" applyBorder="1"/>
    <xf numFmtId="0" fontId="24" fillId="0" borderId="75" xfId="0" applyFont="1" applyBorder="1" applyAlignment="1">
      <alignment wrapText="1"/>
    </xf>
    <xf numFmtId="0" fontId="25" fillId="0" borderId="78" xfId="0" applyFont="1" applyBorder="1"/>
    <xf numFmtId="0" fontId="27" fillId="0" borderId="45" xfId="0" applyFont="1" applyBorder="1"/>
    <xf numFmtId="0" fontId="27" fillId="0" borderId="35" xfId="0" applyFont="1" applyBorder="1"/>
    <xf numFmtId="0" fontId="24" fillId="0" borderId="52" xfId="0" applyFont="1" applyBorder="1" applyAlignment="1">
      <alignment wrapText="1"/>
    </xf>
    <xf numFmtId="0" fontId="24" fillId="0" borderId="68" xfId="0" applyFont="1" applyBorder="1" applyAlignment="1">
      <alignment wrapText="1"/>
    </xf>
    <xf numFmtId="0" fontId="25" fillId="0" borderId="79" xfId="0" applyFont="1" applyBorder="1"/>
    <xf numFmtId="0" fontId="27" fillId="0" borderId="44" xfId="0" applyFont="1" applyBorder="1"/>
    <xf numFmtId="0" fontId="24" fillId="0" borderId="59" xfId="0" applyFont="1" applyBorder="1" applyAlignment="1">
      <alignment wrapText="1"/>
    </xf>
    <xf numFmtId="0" fontId="25" fillId="0" borderId="34" xfId="0" applyFont="1" applyBorder="1"/>
    <xf numFmtId="0" fontId="25" fillId="0" borderId="45" xfId="0" applyFont="1" applyBorder="1"/>
    <xf numFmtId="0" fontId="24" fillId="3" borderId="20" xfId="0" applyFont="1" applyFill="1" applyBorder="1" applyAlignment="1">
      <alignment wrapText="1"/>
    </xf>
    <xf numFmtId="0" fontId="25" fillId="3" borderId="21" xfId="0" applyFont="1" applyFill="1" applyBorder="1"/>
    <xf numFmtId="0" fontId="25" fillId="3" borderId="85" xfId="0" applyFont="1" applyFill="1" applyBorder="1"/>
    <xf numFmtId="0" fontId="27" fillId="0" borderId="78" xfId="0" applyFont="1" applyBorder="1"/>
    <xf numFmtId="0" fontId="24" fillId="0" borderId="45" xfId="0" applyFont="1" applyBorder="1"/>
    <xf numFmtId="10" fontId="26" fillId="0" borderId="45" xfId="0" applyNumberFormat="1" applyFont="1" applyBorder="1"/>
    <xf numFmtId="0" fontId="16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vertical="top"/>
    </xf>
    <xf numFmtId="0" fontId="17" fillId="0" borderId="12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wrapText="1"/>
    </xf>
    <xf numFmtId="0" fontId="28" fillId="0" borderId="12" xfId="0" applyFont="1" applyBorder="1"/>
    <xf numFmtId="0" fontId="17" fillId="3" borderId="12" xfId="0" applyFont="1" applyFill="1" applyBorder="1" applyAlignment="1">
      <alignment wrapText="1"/>
    </xf>
    <xf numFmtId="0" fontId="19" fillId="3" borderId="12" xfId="0" applyFont="1" applyFill="1" applyBorder="1"/>
    <xf numFmtId="0" fontId="28" fillId="3" borderId="12" xfId="0" applyFont="1" applyFill="1" applyBorder="1"/>
    <xf numFmtId="0" fontId="21" fillId="0" borderId="12" xfId="0" applyFont="1" applyBorder="1" applyAlignment="1">
      <alignment horizontal="right"/>
    </xf>
    <xf numFmtId="0" fontId="28" fillId="4" borderId="47" xfId="0" applyFont="1" applyFill="1" applyBorder="1"/>
    <xf numFmtId="0" fontId="28" fillId="0" borderId="0" xfId="0" applyFont="1"/>
    <xf numFmtId="0" fontId="17" fillId="0" borderId="34" xfId="0" applyFont="1" applyBorder="1" applyAlignment="1">
      <alignment horizontal="center" wrapText="1"/>
    </xf>
    <xf numFmtId="0" fontId="17" fillId="0" borderId="45" xfId="0" applyFont="1" applyBorder="1" applyAlignment="1">
      <alignment horizontal="center" wrapText="1"/>
    </xf>
    <xf numFmtId="0" fontId="17" fillId="0" borderId="44" xfId="0" applyFont="1" applyBorder="1" applyAlignment="1">
      <alignment horizontal="center" wrapText="1"/>
    </xf>
    <xf numFmtId="0" fontId="28" fillId="4" borderId="87" xfId="0" applyFont="1" applyFill="1" applyBorder="1"/>
    <xf numFmtId="0" fontId="17" fillId="0" borderId="4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17" fillId="0" borderId="45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44" xfId="0" applyFont="1" applyBorder="1" applyAlignment="1">
      <alignment horizontal="center" vertical="top" wrapText="1"/>
    </xf>
    <xf numFmtId="0" fontId="17" fillId="6" borderId="47" xfId="0" applyFont="1" applyFill="1" applyBorder="1" applyAlignment="1">
      <alignment horizontal="center" vertical="top" wrapText="1"/>
    </xf>
    <xf numFmtId="0" fontId="17" fillId="0" borderId="46" xfId="0" applyFont="1" applyBorder="1" applyAlignment="1">
      <alignment horizontal="center" vertical="top" wrapText="1"/>
    </xf>
    <xf numFmtId="0" fontId="17" fillId="6" borderId="88" xfId="0" applyFont="1" applyFill="1" applyBorder="1" applyAlignment="1">
      <alignment horizontal="center" vertical="top" wrapText="1"/>
    </xf>
    <xf numFmtId="0" fontId="17" fillId="0" borderId="45" xfId="0" applyFont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6" borderId="88" xfId="0" applyFont="1" applyFill="1" applyBorder="1" applyAlignment="1">
      <alignment horizontal="center" vertical="center" wrapText="1"/>
    </xf>
    <xf numFmtId="0" fontId="17" fillId="6" borderId="47" xfId="0" applyFont="1" applyFill="1" applyBorder="1" applyAlignment="1">
      <alignment horizontal="center" vertical="center" wrapText="1"/>
    </xf>
    <xf numFmtId="0" fontId="28" fillId="0" borderId="49" xfId="0" applyFont="1" applyBorder="1"/>
    <xf numFmtId="0" fontId="28" fillId="6" borderId="68" xfId="0" applyFont="1" applyFill="1" applyBorder="1"/>
    <xf numFmtId="0" fontId="28" fillId="6" borderId="74" xfId="0" applyFont="1" applyFill="1" applyBorder="1"/>
    <xf numFmtId="10" fontId="28" fillId="0" borderId="38" xfId="0" applyNumberFormat="1" applyFont="1" applyBorder="1"/>
    <xf numFmtId="10" fontId="28" fillId="0" borderId="46" xfId="0" applyNumberFormat="1" applyFont="1" applyBorder="1"/>
    <xf numFmtId="0" fontId="28" fillId="0" borderId="40" xfId="0" applyFont="1" applyBorder="1"/>
    <xf numFmtId="10" fontId="28" fillId="0" borderId="4" xfId="0" applyNumberFormat="1" applyFont="1" applyBorder="1"/>
    <xf numFmtId="10" fontId="28" fillId="0" borderId="52" xfId="0" applyNumberFormat="1" applyFont="1" applyBorder="1"/>
    <xf numFmtId="0" fontId="28" fillId="6" borderId="49" xfId="0" applyFont="1" applyFill="1" applyBorder="1"/>
    <xf numFmtId="10" fontId="28" fillId="6" borderId="91" xfId="0" applyNumberFormat="1" applyFont="1" applyFill="1" applyBorder="1"/>
    <xf numFmtId="0" fontId="28" fillId="4" borderId="85" xfId="0" applyFont="1" applyFill="1" applyBorder="1"/>
    <xf numFmtId="0" fontId="28" fillId="0" borderId="53" xfId="0" applyFont="1" applyBorder="1"/>
    <xf numFmtId="0" fontId="28" fillId="6" borderId="69" xfId="0" applyFont="1" applyFill="1" applyBorder="1"/>
    <xf numFmtId="0" fontId="28" fillId="6" borderId="12" xfId="0" applyFont="1" applyFill="1" applyBorder="1"/>
    <xf numFmtId="10" fontId="28" fillId="0" borderId="55" xfId="0" applyNumberFormat="1" applyFont="1" applyBorder="1"/>
    <xf numFmtId="0" fontId="28" fillId="0" borderId="51" xfId="0" applyFont="1" applyBorder="1"/>
    <xf numFmtId="0" fontId="28" fillId="6" borderId="53" xfId="0" applyFont="1" applyFill="1" applyBorder="1"/>
    <xf numFmtId="10" fontId="28" fillId="6" borderId="92" xfId="0" applyNumberFormat="1" applyFont="1" applyFill="1" applyBorder="1"/>
    <xf numFmtId="0" fontId="17" fillId="0" borderId="65" xfId="0" applyFont="1" applyBorder="1"/>
    <xf numFmtId="10" fontId="17" fillId="0" borderId="65" xfId="0" applyNumberFormat="1" applyFont="1" applyBorder="1"/>
    <xf numFmtId="10" fontId="17" fillId="0" borderId="46" xfId="0" applyNumberFormat="1" applyFont="1" applyBorder="1"/>
    <xf numFmtId="0" fontId="17" fillId="0" borderId="58" xfId="0" applyFont="1" applyBorder="1"/>
    <xf numFmtId="10" fontId="28" fillId="0" borderId="32" xfId="0" applyNumberFormat="1" applyFont="1" applyBorder="1"/>
    <xf numFmtId="0" fontId="17" fillId="6" borderId="61" xfId="0" applyFont="1" applyFill="1" applyBorder="1"/>
    <xf numFmtId="10" fontId="17" fillId="6" borderId="93" xfId="0" applyNumberFormat="1" applyFont="1" applyFill="1" applyBorder="1"/>
    <xf numFmtId="0" fontId="17" fillId="6" borderId="72" xfId="0" applyFont="1" applyFill="1" applyBorder="1" applyAlignment="1">
      <alignment horizontal="center" vertical="top" wrapText="1"/>
    </xf>
    <xf numFmtId="0" fontId="17" fillId="6" borderId="94" xfId="0" applyFont="1" applyFill="1" applyBorder="1" applyAlignment="1">
      <alignment horizontal="center" vertical="top" wrapText="1"/>
    </xf>
    <xf numFmtId="0" fontId="28" fillId="0" borderId="46" xfId="0" applyFont="1" applyBorder="1"/>
    <xf numFmtId="0" fontId="28" fillId="5" borderId="20" xfId="0" applyFont="1" applyFill="1" applyBorder="1"/>
    <xf numFmtId="10" fontId="28" fillId="0" borderId="7" xfId="0" applyNumberFormat="1" applyFont="1" applyBorder="1"/>
    <xf numFmtId="0" fontId="28" fillId="0" borderId="95" xfId="0" applyFont="1" applyBorder="1"/>
    <xf numFmtId="0" fontId="28" fillId="6" borderId="85" xfId="0" applyFont="1" applyFill="1" applyBorder="1"/>
    <xf numFmtId="0" fontId="28" fillId="6" borderId="20" xfId="0" applyFont="1" applyFill="1" applyBorder="1"/>
    <xf numFmtId="10" fontId="28" fillId="6" borderId="96" xfId="0" applyNumberFormat="1" applyFont="1" applyFill="1" applyBorder="1"/>
    <xf numFmtId="0" fontId="17" fillId="0" borderId="61" xfId="0" applyFont="1" applyBorder="1"/>
    <xf numFmtId="0" fontId="17" fillId="5" borderId="64" xfId="0" applyFont="1" applyFill="1" applyBorder="1"/>
    <xf numFmtId="10" fontId="17" fillId="0" borderId="41" xfId="0" applyNumberFormat="1" applyFont="1" applyBorder="1"/>
    <xf numFmtId="0" fontId="17" fillId="0" borderId="43" xfId="0" applyFont="1" applyBorder="1"/>
    <xf numFmtId="0" fontId="17" fillId="6" borderId="97" xfId="0" applyFont="1" applyFill="1" applyBorder="1"/>
    <xf numFmtId="0" fontId="17" fillId="6" borderId="64" xfId="0" applyFont="1" applyFill="1" applyBorder="1"/>
    <xf numFmtId="10" fontId="17" fillId="6" borderId="61" xfId="0" applyNumberFormat="1" applyFont="1" applyFill="1" applyBorder="1"/>
    <xf numFmtId="0" fontId="28" fillId="0" borderId="38" xfId="0" applyFont="1" applyBorder="1"/>
    <xf numFmtId="0" fontId="28" fillId="5" borderId="50" xfId="0" applyFont="1" applyFill="1" applyBorder="1"/>
    <xf numFmtId="0" fontId="28" fillId="6" borderId="98" xfId="0" applyFont="1" applyFill="1" applyBorder="1"/>
    <xf numFmtId="0" fontId="28" fillId="6" borderId="50" xfId="0" applyFont="1" applyFill="1" applyBorder="1"/>
    <xf numFmtId="10" fontId="28" fillId="6" borderId="49" xfId="0" applyNumberFormat="1" applyFont="1" applyFill="1" applyBorder="1"/>
    <xf numFmtId="0" fontId="17" fillId="0" borderId="41" xfId="0" applyFont="1" applyBorder="1"/>
    <xf numFmtId="0" fontId="17" fillId="0" borderId="42" xfId="0" applyFont="1" applyBorder="1"/>
    <xf numFmtId="0" fontId="17" fillId="6" borderId="99" xfId="0" applyFont="1" applyFill="1" applyBorder="1"/>
    <xf numFmtId="0" fontId="28" fillId="0" borderId="55" xfId="0" applyFont="1" applyBorder="1"/>
    <xf numFmtId="0" fontId="28" fillId="5" borderId="54" xfId="0" applyFont="1" applyFill="1" applyBorder="1"/>
    <xf numFmtId="0" fontId="28" fillId="6" borderId="100" xfId="0" applyFont="1" applyFill="1" applyBorder="1"/>
    <xf numFmtId="0" fontId="28" fillId="6" borderId="54" xfId="0" applyFont="1" applyFill="1" applyBorder="1"/>
    <xf numFmtId="10" fontId="28" fillId="6" borderId="53" xfId="0" applyNumberFormat="1" applyFont="1" applyFill="1" applyBorder="1"/>
    <xf numFmtId="0" fontId="28" fillId="0" borderId="53" xfId="0" applyFont="1" applyBorder="1" applyAlignment="1">
      <alignment vertical="top"/>
    </xf>
    <xf numFmtId="0" fontId="28" fillId="0" borderId="55" xfId="0" applyFont="1" applyBorder="1" applyAlignment="1">
      <alignment vertical="top"/>
    </xf>
    <xf numFmtId="0" fontId="28" fillId="6" borderId="100" xfId="0" applyFont="1" applyFill="1" applyBorder="1" applyAlignment="1">
      <alignment vertical="top"/>
    </xf>
    <xf numFmtId="10" fontId="17" fillId="0" borderId="55" xfId="0" applyNumberFormat="1" applyFont="1" applyBorder="1"/>
    <xf numFmtId="10" fontId="28" fillId="0" borderId="49" xfId="0" applyNumberFormat="1" applyFont="1" applyBorder="1"/>
    <xf numFmtId="10" fontId="28" fillId="0" borderId="9" xfId="0" applyNumberFormat="1" applyFont="1" applyBorder="1"/>
    <xf numFmtId="10" fontId="28" fillId="0" borderId="53" xfId="0" applyNumberFormat="1" applyFont="1" applyBorder="1"/>
    <xf numFmtId="10" fontId="17" fillId="0" borderId="61" xfId="0" applyNumberFormat="1" applyFont="1" applyBorder="1"/>
    <xf numFmtId="10" fontId="17" fillId="0" borderId="9" xfId="0" applyNumberFormat="1" applyFont="1" applyBorder="1"/>
    <xf numFmtId="0" fontId="28" fillId="0" borderId="44" xfId="0" applyFont="1" applyBorder="1"/>
    <xf numFmtId="0" fontId="28" fillId="5" borderId="63" xfId="0" applyFont="1" applyFill="1" applyBorder="1"/>
    <xf numFmtId="0" fontId="28" fillId="6" borderId="101" xfId="0" applyFont="1" applyFill="1" applyBorder="1"/>
    <xf numFmtId="0" fontId="28" fillId="6" borderId="63" xfId="0" applyFont="1" applyFill="1" applyBorder="1"/>
    <xf numFmtId="0" fontId="28" fillId="6" borderId="92" xfId="0" applyFont="1" applyFill="1" applyBorder="1" applyAlignment="1">
      <alignment vertical="top"/>
    </xf>
    <xf numFmtId="0" fontId="28" fillId="0" borderId="49" xfId="0" applyFont="1" applyBorder="1" applyAlignment="1">
      <alignment vertical="top"/>
    </xf>
    <xf numFmtId="0" fontId="28" fillId="0" borderId="38" xfId="0" applyFont="1" applyBorder="1" applyAlignment="1">
      <alignment vertical="top"/>
    </xf>
    <xf numFmtId="0" fontId="28" fillId="6" borderId="98" xfId="0" applyFont="1" applyFill="1" applyBorder="1" applyAlignment="1">
      <alignment vertical="top"/>
    </xf>
    <xf numFmtId="0" fontId="28" fillId="5" borderId="49" xfId="0" applyFont="1" applyFill="1" applyBorder="1"/>
    <xf numFmtId="10" fontId="28" fillId="0" borderId="39" xfId="0" applyNumberFormat="1" applyFont="1" applyBorder="1"/>
    <xf numFmtId="0" fontId="28" fillId="5" borderId="53" xfId="0" applyFont="1" applyFill="1" applyBorder="1"/>
    <xf numFmtId="10" fontId="17" fillId="0" borderId="42" xfId="0" applyNumberFormat="1" applyFont="1" applyBorder="1"/>
    <xf numFmtId="0" fontId="17" fillId="5" borderId="61" xfId="0" applyFont="1" applyFill="1" applyBorder="1"/>
    <xf numFmtId="0" fontId="28" fillId="0" borderId="66" xfId="0" applyFont="1" applyBorder="1"/>
    <xf numFmtId="0" fontId="28" fillId="0" borderId="7" xfId="0" applyFont="1" applyBorder="1"/>
    <xf numFmtId="0" fontId="28" fillId="5" borderId="67" xfId="0" applyFont="1" applyFill="1" applyBorder="1"/>
    <xf numFmtId="0" fontId="28" fillId="6" borderId="29" xfId="0" applyFont="1" applyFill="1" applyBorder="1"/>
    <xf numFmtId="0" fontId="28" fillId="6" borderId="67" xfId="0" applyFont="1" applyFill="1" applyBorder="1"/>
    <xf numFmtId="0" fontId="17" fillId="5" borderId="102" xfId="0" applyFont="1" applyFill="1" applyBorder="1"/>
    <xf numFmtId="0" fontId="17" fillId="6" borderId="103" xfId="0" applyFont="1" applyFill="1" applyBorder="1"/>
    <xf numFmtId="0" fontId="17" fillId="6" borderId="57" xfId="0" applyFont="1" applyFill="1" applyBorder="1"/>
    <xf numFmtId="10" fontId="17" fillId="6" borderId="102" xfId="0" applyNumberFormat="1" applyFont="1" applyFill="1" applyBorder="1"/>
    <xf numFmtId="0" fontId="28" fillId="4" borderId="45" xfId="0" applyFont="1" applyFill="1" applyBorder="1"/>
    <xf numFmtId="0" fontId="17" fillId="6" borderId="49" xfId="0" applyFont="1" applyFill="1" applyBorder="1"/>
    <xf numFmtId="10" fontId="17" fillId="6" borderId="49" xfId="0" applyNumberFormat="1" applyFont="1" applyFill="1" applyBorder="1"/>
    <xf numFmtId="10" fontId="17" fillId="0" borderId="77" xfId="0" applyNumberFormat="1" applyFont="1" applyBorder="1"/>
    <xf numFmtId="10" fontId="17" fillId="0" borderId="49" xfId="0" applyNumberFormat="1" applyFont="1" applyBorder="1"/>
    <xf numFmtId="10" fontId="17" fillId="0" borderId="39" xfId="0" applyNumberFormat="1" applyFont="1" applyBorder="1"/>
    <xf numFmtId="0" fontId="28" fillId="4" borderId="101" xfId="0" applyFont="1" applyFill="1" applyBorder="1"/>
    <xf numFmtId="0" fontId="17" fillId="6" borderId="53" xfId="0" applyFont="1" applyFill="1" applyBorder="1"/>
    <xf numFmtId="10" fontId="17" fillId="6" borderId="53" xfId="0" applyNumberFormat="1" applyFont="1" applyFill="1" applyBorder="1"/>
    <xf numFmtId="10" fontId="17" fillId="0" borderId="6" xfId="0" applyNumberFormat="1" applyFont="1" applyBorder="1"/>
    <xf numFmtId="10" fontId="17" fillId="0" borderId="53" xfId="0" applyNumberFormat="1" applyFont="1" applyBorder="1"/>
    <xf numFmtId="10" fontId="17" fillId="0" borderId="4" xfId="0" applyNumberFormat="1" applyFont="1" applyBorder="1"/>
    <xf numFmtId="0" fontId="17" fillId="0" borderId="53" xfId="0" applyFont="1" applyBorder="1" applyAlignment="1">
      <alignment vertical="top"/>
    </xf>
    <xf numFmtId="10" fontId="17" fillId="0" borderId="25" xfId="0" applyNumberFormat="1" applyFont="1" applyBorder="1"/>
    <xf numFmtId="0" fontId="28" fillId="4" borderId="73" xfId="0" applyFont="1" applyFill="1" applyBorder="1"/>
    <xf numFmtId="0" fontId="28" fillId="0" borderId="104" xfId="0" applyFont="1" applyBorder="1"/>
    <xf numFmtId="0" fontId="28" fillId="0" borderId="74" xfId="0" applyFont="1" applyBorder="1"/>
    <xf numFmtId="0" fontId="28" fillId="5" borderId="74" xfId="0" applyFont="1" applyFill="1" applyBorder="1"/>
    <xf numFmtId="10" fontId="28" fillId="0" borderId="81" xfId="0" applyNumberFormat="1" applyFont="1" applyBorder="1"/>
    <xf numFmtId="10" fontId="28" fillId="0" borderId="77" xfId="0" applyNumberFormat="1" applyFont="1" applyBorder="1"/>
    <xf numFmtId="0" fontId="17" fillId="0" borderId="5" xfId="0" applyFont="1" applyBorder="1"/>
    <xf numFmtId="0" fontId="17" fillId="5" borderId="12" xfId="0" applyFont="1" applyFill="1" applyBorder="1"/>
    <xf numFmtId="10" fontId="17" fillId="0" borderId="13" xfId="0" applyNumberFormat="1" applyFont="1" applyBorder="1"/>
    <xf numFmtId="0" fontId="17" fillId="5" borderId="53" xfId="0" applyFont="1" applyFill="1" applyBorder="1"/>
    <xf numFmtId="0" fontId="28" fillId="0" borderId="5" xfId="0" applyFont="1" applyBorder="1"/>
    <xf numFmtId="0" fontId="28" fillId="0" borderId="12" xfId="0" applyFont="1" applyBorder="1" applyAlignment="1">
      <alignment vertical="top"/>
    </xf>
    <xf numFmtId="0" fontId="28" fillId="5" borderId="12" xfId="0" applyFont="1" applyFill="1" applyBorder="1"/>
    <xf numFmtId="10" fontId="28" fillId="0" borderId="13" xfId="0" applyNumberFormat="1" applyFont="1" applyBorder="1"/>
    <xf numFmtId="10" fontId="28" fillId="0" borderId="6" xfId="0" applyNumberFormat="1" applyFont="1" applyBorder="1"/>
    <xf numFmtId="0" fontId="17" fillId="0" borderId="33" xfId="0" applyFont="1" applyBorder="1"/>
    <xf numFmtId="0" fontId="17" fillId="0" borderId="14" xfId="0" applyFont="1" applyBorder="1"/>
    <xf numFmtId="0" fontId="17" fillId="5" borderId="30" xfId="0" applyFont="1" applyFill="1" applyBorder="1"/>
    <xf numFmtId="10" fontId="17" fillId="0" borderId="105" xfId="0" applyNumberFormat="1" applyFont="1" applyBorder="1"/>
    <xf numFmtId="10" fontId="17" fillId="0" borderId="11" xfId="0" applyNumberFormat="1" applyFont="1" applyBorder="1"/>
    <xf numFmtId="0" fontId="17" fillId="0" borderId="61" xfId="0" applyFont="1" applyBorder="1" applyAlignment="1">
      <alignment wrapText="1"/>
    </xf>
    <xf numFmtId="0" fontId="17" fillId="0" borderId="106" xfId="0" applyFont="1" applyBorder="1" applyAlignment="1">
      <alignment wrapText="1"/>
    </xf>
    <xf numFmtId="0" fontId="17" fillId="0" borderId="76" xfId="0" applyFont="1" applyBorder="1"/>
    <xf numFmtId="10" fontId="17" fillId="0" borderId="107" xfId="0" applyNumberFormat="1" applyFont="1" applyBorder="1"/>
    <xf numFmtId="10" fontId="17" fillId="0" borderId="78" xfId="0" applyNumberFormat="1" applyFont="1" applyBorder="1"/>
    <xf numFmtId="0" fontId="17" fillId="0" borderId="75" xfId="0" applyFont="1" applyBorder="1"/>
    <xf numFmtId="10" fontId="17" fillId="0" borderId="45" xfId="0" applyNumberFormat="1" applyFont="1" applyBorder="1"/>
    <xf numFmtId="0" fontId="14" fillId="0" borderId="44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/>
    </xf>
    <xf numFmtId="0" fontId="14" fillId="0" borderId="53" xfId="0" applyFont="1" applyBorder="1" applyAlignment="1">
      <alignment horizontal="center" vertical="center" wrapText="1"/>
    </xf>
    <xf numFmtId="0" fontId="30" fillId="0" borderId="8" xfId="0" applyFont="1" applyBorder="1"/>
    <xf numFmtId="10" fontId="28" fillId="0" borderId="95" xfId="0" applyNumberFormat="1" applyFont="1" applyBorder="1"/>
    <xf numFmtId="0" fontId="17" fillId="0" borderId="104" xfId="0" applyFont="1" applyBorder="1"/>
    <xf numFmtId="0" fontId="17" fillId="0" borderId="81" xfId="0" applyFont="1" applyBorder="1"/>
    <xf numFmtId="0" fontId="30" fillId="0" borderId="4" xfId="0" applyFont="1" applyBorder="1"/>
    <xf numFmtId="10" fontId="17" fillId="0" borderId="51" xfId="0" applyNumberFormat="1" applyFont="1" applyBorder="1"/>
    <xf numFmtId="0" fontId="28" fillId="0" borderId="35" xfId="0" applyFont="1" applyBorder="1"/>
    <xf numFmtId="0" fontId="17" fillId="0" borderId="108" xfId="0" applyFont="1" applyBorder="1"/>
    <xf numFmtId="0" fontId="17" fillId="0" borderId="83" xfId="0" applyFont="1" applyBorder="1"/>
    <xf numFmtId="10" fontId="28" fillId="0" borderId="51" xfId="0" applyNumberFormat="1" applyFont="1" applyBorder="1"/>
    <xf numFmtId="0" fontId="16" fillId="0" borderId="61" xfId="0" applyFont="1" applyBorder="1" applyAlignment="1">
      <alignment horizontal="center" vertical="center" wrapText="1"/>
    </xf>
    <xf numFmtId="0" fontId="16" fillId="0" borderId="32" xfId="0" applyFont="1" applyBorder="1"/>
    <xf numFmtId="10" fontId="17" fillId="0" borderId="58" xfId="0" applyNumberFormat="1" applyFont="1" applyBorder="1"/>
    <xf numFmtId="0" fontId="16" fillId="0" borderId="45" xfId="0" applyFont="1" applyBorder="1" applyAlignment="1">
      <alignment wrapText="1"/>
    </xf>
    <xf numFmtId="0" fontId="30" fillId="0" borderId="35" xfId="0" applyFont="1" applyBorder="1" applyAlignment="1">
      <alignment wrapText="1"/>
    </xf>
    <xf numFmtId="10" fontId="28" fillId="0" borderId="45" xfId="0" applyNumberFormat="1" applyFont="1" applyBorder="1"/>
    <xf numFmtId="0" fontId="28" fillId="0" borderId="45" xfId="0" applyFont="1" applyBorder="1"/>
    <xf numFmtId="0" fontId="28" fillId="0" borderId="62" xfId="0" applyFont="1" applyBorder="1"/>
    <xf numFmtId="10" fontId="17" fillId="0" borderId="0" xfId="0" applyNumberFormat="1" applyFont="1"/>
    <xf numFmtId="0" fontId="16" fillId="0" borderId="75" xfId="0" applyFont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top" wrapText="1"/>
    </xf>
    <xf numFmtId="0" fontId="17" fillId="0" borderId="107" xfId="0" applyFont="1" applyBorder="1" applyAlignment="1">
      <alignment horizontal="center" vertical="top" wrapText="1"/>
    </xf>
    <xf numFmtId="0" fontId="16" fillId="0" borderId="4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/>
    </xf>
    <xf numFmtId="0" fontId="17" fillId="0" borderId="53" xfId="0" applyFont="1" applyBorder="1" applyAlignment="1">
      <alignment wrapText="1"/>
    </xf>
    <xf numFmtId="0" fontId="19" fillId="0" borderId="4" xfId="0" applyFont="1" applyBorder="1"/>
    <xf numFmtId="0" fontId="17" fillId="0" borderId="0" xfId="0" applyFont="1" applyAlignment="1">
      <alignment vertical="top"/>
    </xf>
    <xf numFmtId="0" fontId="17" fillId="3" borderId="53" xfId="0" applyFont="1" applyFill="1" applyBorder="1" applyAlignment="1">
      <alignment wrapText="1"/>
    </xf>
    <xf numFmtId="0" fontId="19" fillId="3" borderId="100" xfId="0" applyFont="1" applyFill="1" applyBorder="1"/>
    <xf numFmtId="0" fontId="28" fillId="3" borderId="53" xfId="0" applyFont="1" applyFill="1" applyBorder="1"/>
    <xf numFmtId="0" fontId="21" fillId="0" borderId="4" xfId="0" applyFont="1" applyBorder="1"/>
    <xf numFmtId="0" fontId="21" fillId="0" borderId="4" xfId="0" applyFont="1" applyBorder="1" applyAlignment="1">
      <alignment horizontal="right"/>
    </xf>
    <xf numFmtId="0" fontId="28" fillId="4" borderId="21" xfId="0" applyFont="1" applyFill="1" applyBorder="1"/>
    <xf numFmtId="0" fontId="17" fillId="6" borderId="63" xfId="0" applyFont="1" applyFill="1" applyBorder="1" applyAlignment="1">
      <alignment horizontal="center" vertical="top" wrapText="1"/>
    </xf>
    <xf numFmtId="0" fontId="17" fillId="6" borderId="63" xfId="0" applyFont="1" applyFill="1" applyBorder="1" applyAlignment="1">
      <alignment horizontal="center" vertical="center" wrapText="1"/>
    </xf>
    <xf numFmtId="0" fontId="28" fillId="6" borderId="109" xfId="0" applyFont="1" applyFill="1" applyBorder="1"/>
    <xf numFmtId="0" fontId="28" fillId="6" borderId="22" xfId="0" applyFont="1" applyFill="1" applyBorder="1"/>
    <xf numFmtId="0" fontId="17" fillId="6" borderId="71" xfId="0" applyFont="1" applyFill="1" applyBorder="1" applyAlignment="1">
      <alignment horizontal="center" vertical="top" wrapText="1"/>
    </xf>
    <xf numFmtId="0" fontId="28" fillId="6" borderId="87" xfId="0" applyFont="1" applyFill="1" applyBorder="1"/>
    <xf numFmtId="0" fontId="19" fillId="0" borderId="53" xfId="0" applyFont="1" applyBorder="1"/>
    <xf numFmtId="0" fontId="28" fillId="0" borderId="52" xfId="0" applyFont="1" applyBorder="1"/>
    <xf numFmtId="9" fontId="28" fillId="0" borderId="55" xfId="0" applyNumberFormat="1" applyFont="1" applyBorder="1"/>
    <xf numFmtId="0" fontId="28" fillId="6" borderId="54" xfId="0" applyFont="1" applyFill="1" applyBorder="1" applyAlignment="1">
      <alignment vertical="top"/>
    </xf>
    <xf numFmtId="9" fontId="28" fillId="6" borderId="53" xfId="0" applyNumberFormat="1" applyFont="1" applyFill="1" applyBorder="1"/>
    <xf numFmtId="0" fontId="28" fillId="6" borderId="47" xfId="0" applyFont="1" applyFill="1" applyBorder="1"/>
    <xf numFmtId="0" fontId="28" fillId="6" borderId="53" xfId="0" applyFont="1" applyFill="1" applyBorder="1" applyAlignment="1">
      <alignment vertical="top"/>
    </xf>
    <xf numFmtId="0" fontId="28" fillId="6" borderId="50" xfId="0" applyFont="1" applyFill="1" applyBorder="1" applyAlignment="1">
      <alignment vertical="top"/>
    </xf>
    <xf numFmtId="0" fontId="17" fillId="0" borderId="45" xfId="0" applyFont="1" applyBorder="1" applyAlignment="1">
      <alignment vertical="top" wrapText="1"/>
    </xf>
    <xf numFmtId="10" fontId="17" fillId="0" borderId="45" xfId="0" applyNumberFormat="1" applyFont="1" applyBorder="1" applyAlignment="1">
      <alignment vertical="top" wrapText="1"/>
    </xf>
    <xf numFmtId="10" fontId="17" fillId="6" borderId="45" xfId="0" applyNumberFormat="1" applyFont="1" applyFill="1" applyBorder="1"/>
    <xf numFmtId="0" fontId="17" fillId="0" borderId="44" xfId="0" applyFont="1" applyBorder="1"/>
    <xf numFmtId="0" fontId="17" fillId="6" borderId="47" xfId="0" applyFont="1" applyFill="1" applyBorder="1"/>
    <xf numFmtId="10" fontId="17" fillId="6" borderId="47" xfId="0" applyNumberFormat="1" applyFont="1" applyFill="1" applyBorder="1"/>
    <xf numFmtId="10" fontId="17" fillId="0" borderId="79" xfId="0" applyNumberFormat="1" applyFont="1" applyBorder="1"/>
    <xf numFmtId="10" fontId="17" fillId="0" borderId="44" xfId="0" applyNumberFormat="1" applyFont="1" applyBorder="1"/>
    <xf numFmtId="0" fontId="31" fillId="0" borderId="53" xfId="0" applyFont="1" applyBorder="1"/>
    <xf numFmtId="0" fontId="17" fillId="0" borderId="56" xfId="0" applyFont="1" applyBorder="1" applyAlignment="1">
      <alignment vertical="top"/>
    </xf>
    <xf numFmtId="0" fontId="17" fillId="6" borderId="102" xfId="0" applyFont="1" applyFill="1" applyBorder="1"/>
    <xf numFmtId="10" fontId="17" fillId="0" borderId="56" xfId="0" applyNumberFormat="1" applyFont="1" applyBorder="1"/>
    <xf numFmtId="10" fontId="17" fillId="0" borderId="32" xfId="0" applyNumberFormat="1" applyFont="1" applyBorder="1"/>
    <xf numFmtId="0" fontId="17" fillId="6" borderId="45" xfId="0" applyFont="1" applyFill="1" applyBorder="1"/>
    <xf numFmtId="10" fontId="17" fillId="0" borderId="35" xfId="0" applyNumberFormat="1" applyFont="1" applyBorder="1"/>
    <xf numFmtId="0" fontId="17" fillId="0" borderId="62" xfId="0" applyFont="1" applyBorder="1" applyAlignment="1">
      <alignment horizontal="center" vertical="top" wrapText="1"/>
    </xf>
    <xf numFmtId="0" fontId="28" fillId="5" borderId="96" xfId="0" applyFont="1" applyFill="1" applyBorder="1"/>
    <xf numFmtId="0" fontId="28" fillId="0" borderId="68" xfId="0" applyFont="1" applyBorder="1"/>
    <xf numFmtId="0" fontId="28" fillId="0" borderId="69" xfId="0" applyFont="1" applyBorder="1"/>
    <xf numFmtId="0" fontId="17" fillId="0" borderId="70" xfId="0" applyFont="1" applyBorder="1"/>
    <xf numFmtId="0" fontId="17" fillId="0" borderId="26" xfId="0" applyFont="1" applyBorder="1"/>
    <xf numFmtId="10" fontId="17" fillId="0" borderId="83" xfId="0" applyNumberFormat="1" applyFont="1" applyBorder="1"/>
    <xf numFmtId="0" fontId="17" fillId="0" borderId="45" xfId="0" applyFont="1" applyBorder="1" applyAlignment="1">
      <alignment wrapText="1"/>
    </xf>
    <xf numFmtId="0" fontId="28" fillId="0" borderId="9" xfId="0" applyFont="1" applyBorder="1"/>
    <xf numFmtId="0" fontId="17" fillId="0" borderId="68" xfId="0" applyFont="1" applyBorder="1"/>
    <xf numFmtId="0" fontId="28" fillId="0" borderId="1" xfId="0" applyFont="1" applyBorder="1"/>
    <xf numFmtId="0" fontId="28" fillId="0" borderId="2" xfId="0" applyFont="1" applyBorder="1"/>
    <xf numFmtId="0" fontId="28" fillId="0" borderId="3" xfId="0" applyFont="1" applyBorder="1"/>
    <xf numFmtId="0" fontId="28" fillId="0" borderId="59" xfId="0" applyFont="1" applyBorder="1"/>
    <xf numFmtId="0" fontId="28" fillId="0" borderId="37" xfId="0" applyFont="1" applyBorder="1"/>
    <xf numFmtId="0" fontId="28" fillId="0" borderId="48" xfId="0" applyFont="1" applyBorder="1"/>
    <xf numFmtId="0" fontId="28" fillId="0" borderId="34" xfId="0" applyFont="1" applyBorder="1"/>
    <xf numFmtId="0" fontId="16" fillId="0" borderId="8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7" fillId="0" borderId="110" xfId="0" applyFont="1" applyBorder="1" applyAlignment="1">
      <alignment horizontal="center" vertical="top" wrapText="1"/>
    </xf>
    <xf numFmtId="0" fontId="17" fillId="0" borderId="111" xfId="0" applyFont="1" applyBorder="1" applyAlignment="1">
      <alignment horizontal="center" vertical="top" wrapText="1"/>
    </xf>
    <xf numFmtId="0" fontId="17" fillId="0" borderId="76" xfId="0" applyFont="1" applyBorder="1" applyAlignment="1">
      <alignment horizontal="center"/>
    </xf>
    <xf numFmtId="0" fontId="17" fillId="0" borderId="107" xfId="0" applyFont="1" applyBorder="1" applyAlignment="1">
      <alignment horizontal="center"/>
    </xf>
    <xf numFmtId="0" fontId="17" fillId="0" borderId="74" xfId="0" applyFont="1" applyBorder="1"/>
    <xf numFmtId="0" fontId="28" fillId="0" borderId="81" xfId="0" applyFont="1" applyBorder="1"/>
    <xf numFmtId="0" fontId="28" fillId="0" borderId="13" xfId="0" applyFont="1" applyBorder="1"/>
    <xf numFmtId="0" fontId="28" fillId="0" borderId="14" xfId="0" applyFont="1" applyBorder="1"/>
    <xf numFmtId="0" fontId="28" fillId="0" borderId="105" xfId="0" applyFont="1" applyBorder="1"/>
    <xf numFmtId="0" fontId="17" fillId="0" borderId="41" xfId="0" applyFont="1" applyBorder="1" applyAlignment="1">
      <alignment wrapText="1"/>
    </xf>
    <xf numFmtId="0" fontId="21" fillId="0" borderId="75" xfId="0" applyFont="1" applyBorder="1"/>
    <xf numFmtId="0" fontId="17" fillId="0" borderId="107" xfId="0" applyFont="1" applyBorder="1"/>
    <xf numFmtId="0" fontId="17" fillId="0" borderId="18" xfId="0" applyFont="1" applyBorder="1" applyAlignment="1">
      <alignment wrapText="1"/>
    </xf>
    <xf numFmtId="0" fontId="21" fillId="0" borderId="19" xfId="0" applyFont="1" applyBorder="1"/>
    <xf numFmtId="0" fontId="28" fillId="0" borderId="19" xfId="0" applyFont="1" applyBorder="1"/>
    <xf numFmtId="0" fontId="28" fillId="0" borderId="112" xfId="0" applyFont="1" applyBorder="1"/>
    <xf numFmtId="0" fontId="17" fillId="0" borderId="49" xfId="0" applyFont="1" applyBorder="1" applyAlignment="1">
      <alignment wrapText="1"/>
    </xf>
    <xf numFmtId="0" fontId="17" fillId="3" borderId="113" xfId="0" applyFont="1" applyFill="1" applyBorder="1" applyAlignment="1">
      <alignment wrapText="1"/>
    </xf>
    <xf numFmtId="0" fontId="21" fillId="3" borderId="114" xfId="0" applyFont="1" applyFill="1" applyBorder="1"/>
    <xf numFmtId="0" fontId="28" fillId="3" borderId="114" xfId="0" applyFont="1" applyFill="1" applyBorder="1"/>
    <xf numFmtId="0" fontId="28" fillId="3" borderId="115" xfId="0" applyFont="1" applyFill="1" applyBorder="1"/>
    <xf numFmtId="0" fontId="17" fillId="0" borderId="38" xfId="0" applyFont="1" applyBorder="1" applyAlignment="1">
      <alignment wrapText="1"/>
    </xf>
    <xf numFmtId="0" fontId="21" fillId="0" borderId="68" xfId="0" applyFont="1" applyBorder="1"/>
    <xf numFmtId="0" fontId="17" fillId="0" borderId="55" xfId="0" applyFont="1" applyBorder="1" applyAlignment="1">
      <alignment wrapText="1"/>
    </xf>
    <xf numFmtId="0" fontId="21" fillId="0" borderId="69" xfId="0" applyFont="1" applyBorder="1"/>
    <xf numFmtId="0" fontId="21" fillId="0" borderId="69" xfId="0" applyFont="1" applyBorder="1" applyAlignment="1">
      <alignment horizontal="left"/>
    </xf>
    <xf numFmtId="0" fontId="21" fillId="0" borderId="65" xfId="0" applyFont="1" applyBorder="1"/>
    <xf numFmtId="0" fontId="21" fillId="0" borderId="10" xfId="0" applyFont="1" applyBorder="1" applyAlignment="1">
      <alignment horizontal="left"/>
    </xf>
    <xf numFmtId="0" fontId="17" fillId="0" borderId="34" xfId="0" applyFont="1" applyBorder="1"/>
    <xf numFmtId="0" fontId="28" fillId="0" borderId="75" xfId="0" applyFont="1" applyBorder="1"/>
    <xf numFmtId="0" fontId="28" fillId="0" borderId="76" xfId="0" applyFont="1" applyBorder="1"/>
    <xf numFmtId="0" fontId="28" fillId="0" borderId="107" xfId="0" applyFont="1" applyBorder="1"/>
    <xf numFmtId="0" fontId="17" fillId="6" borderId="47" xfId="0" applyFont="1" applyFill="1" applyBorder="1" applyAlignment="1">
      <alignment horizontal="center" vertical="top" wrapText="1"/>
    </xf>
    <xf numFmtId="0" fontId="28" fillId="6" borderId="49" xfId="0" applyFont="1" applyFill="1" applyBorder="1" applyAlignment="1"/>
    <xf numFmtId="0" fontId="28" fillId="7" borderId="40" xfId="0" applyFont="1" applyFill="1" applyBorder="1"/>
    <xf numFmtId="10" fontId="28" fillId="7" borderId="4" xfId="0" applyNumberFormat="1" applyFont="1" applyFill="1" applyBorder="1"/>
    <xf numFmtId="0" fontId="28" fillId="6" borderId="109" xfId="0" applyFont="1" applyFill="1" applyBorder="1" applyAlignment="1"/>
    <xf numFmtId="0" fontId="28" fillId="7" borderId="51" xfId="0" applyFont="1" applyFill="1" applyBorder="1"/>
    <xf numFmtId="0" fontId="17" fillId="7" borderId="58" xfId="0" applyFont="1" applyFill="1" applyBorder="1"/>
    <xf numFmtId="0" fontId="17" fillId="7" borderId="56" xfId="0" applyFont="1" applyFill="1" applyBorder="1"/>
    <xf numFmtId="10" fontId="28" fillId="7" borderId="32" xfId="0" applyNumberFormat="1" applyFont="1" applyFill="1" applyBorder="1"/>
    <xf numFmtId="0" fontId="28" fillId="5" borderId="20" xfId="0" applyFont="1" applyFill="1" applyBorder="1" applyAlignment="1"/>
    <xf numFmtId="0" fontId="28" fillId="7" borderId="95" xfId="0" applyFont="1" applyFill="1" applyBorder="1"/>
    <xf numFmtId="10" fontId="28" fillId="7" borderId="7" xfId="0" applyNumberFormat="1" applyFont="1" applyFill="1" applyBorder="1"/>
    <xf numFmtId="0" fontId="28" fillId="6" borderId="20" xfId="0" applyFont="1" applyFill="1" applyBorder="1" applyAlignment="1"/>
    <xf numFmtId="0" fontId="17" fillId="7" borderId="43" xfId="0" applyFont="1" applyFill="1" applyBorder="1"/>
    <xf numFmtId="0" fontId="17" fillId="7" borderId="61" xfId="0" applyFont="1" applyFill="1" applyBorder="1"/>
    <xf numFmtId="10" fontId="28" fillId="7" borderId="55" xfId="0" applyNumberFormat="1" applyFont="1" applyFill="1" applyBorder="1"/>
    <xf numFmtId="0" fontId="28" fillId="5" borderId="50" xfId="0" applyFont="1" applyFill="1" applyBorder="1" applyAlignment="1"/>
    <xf numFmtId="0" fontId="28" fillId="6" borderId="50" xfId="0" applyFont="1" applyFill="1" applyBorder="1" applyAlignment="1"/>
    <xf numFmtId="0" fontId="28" fillId="5" borderId="54" xfId="0" applyFont="1" applyFill="1" applyBorder="1" applyAlignment="1"/>
    <xf numFmtId="10" fontId="28" fillId="0" borderId="55" xfId="0" applyNumberFormat="1" applyFont="1" applyBorder="1" applyAlignment="1"/>
    <xf numFmtId="0" fontId="28" fillId="6" borderId="54" xfId="0" applyFont="1" applyFill="1" applyBorder="1" applyAlignment="1"/>
    <xf numFmtId="0" fontId="28" fillId="6" borderId="63" xfId="0" applyFont="1" applyFill="1" applyBorder="1" applyAlignment="1"/>
    <xf numFmtId="0" fontId="28" fillId="5" borderId="49" xfId="0" applyFont="1" applyFill="1" applyBorder="1" applyAlignment="1"/>
    <xf numFmtId="0" fontId="28" fillId="5" borderId="53" xfId="0" applyFont="1" applyFill="1" applyBorder="1" applyAlignment="1"/>
    <xf numFmtId="0" fontId="28" fillId="0" borderId="49" xfId="0" applyFont="1" applyBorder="1" applyAlignment="1"/>
    <xf numFmtId="10" fontId="28" fillId="0" borderId="49" xfId="0" applyNumberFormat="1" applyFont="1" applyBorder="1" applyAlignment="1"/>
    <xf numFmtId="10" fontId="17" fillId="0" borderId="44" xfId="0" applyNumberFormat="1" applyFont="1" applyBorder="1" applyAlignment="1"/>
    <xf numFmtId="10" fontId="17" fillId="6" borderId="56" xfId="0" applyNumberFormat="1" applyFont="1" applyFill="1" applyBorder="1"/>
    <xf numFmtId="0" fontId="17" fillId="0" borderId="62" xfId="0" applyFont="1" applyBorder="1" applyAlignment="1">
      <alignment horizontal="left" vertical="top" wrapText="1"/>
    </xf>
    <xf numFmtId="0" fontId="17" fillId="6" borderId="86" xfId="0" applyFont="1" applyFill="1" applyBorder="1" applyAlignment="1">
      <alignment horizontal="center" vertical="top" wrapText="1"/>
    </xf>
    <xf numFmtId="0" fontId="17" fillId="6" borderId="45" xfId="0" applyFont="1" applyFill="1" applyBorder="1" applyAlignment="1">
      <alignment horizontal="center" vertical="top" wrapText="1"/>
    </xf>
    <xf numFmtId="0" fontId="28" fillId="5" borderId="96" xfId="0" applyFont="1" applyFill="1" applyBorder="1" applyAlignment="1"/>
    <xf numFmtId="10" fontId="28" fillId="0" borderId="40" xfId="0" applyNumberFormat="1" applyFont="1" applyBorder="1"/>
    <xf numFmtId="0" fontId="28" fillId="0" borderId="53" xfId="0" applyFont="1" applyBorder="1" applyAlignment="1">
      <alignment vertical="top"/>
    </xf>
    <xf numFmtId="10" fontId="17" fillId="0" borderId="43" xfId="0" applyNumberFormat="1" applyFont="1" applyBorder="1"/>
    <xf numFmtId="0" fontId="17" fillId="6" borderId="116" xfId="0" applyFont="1" applyFill="1" applyBorder="1" applyAlignment="1">
      <alignment horizontal="center" vertical="top" wrapText="1"/>
    </xf>
    <xf numFmtId="0" fontId="17" fillId="0" borderId="8" xfId="0" applyFont="1" applyBorder="1"/>
    <xf numFmtId="0" fontId="17" fillId="5" borderId="56" xfId="0" applyFont="1" applyFill="1" applyBorder="1"/>
    <xf numFmtId="0" fontId="17" fillId="0" borderId="35" xfId="0" applyFont="1" applyBorder="1" applyAlignment="1">
      <alignment wrapText="1"/>
    </xf>
    <xf numFmtId="0" fontId="17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top" wrapText="1"/>
    </xf>
    <xf numFmtId="0" fontId="28" fillId="0" borderId="12" xfId="0" applyFont="1" applyBorder="1" applyAlignment="1"/>
    <xf numFmtId="0" fontId="28" fillId="0" borderId="0" xfId="0" applyFont="1" applyAlignment="1"/>
    <xf numFmtId="0" fontId="17" fillId="3" borderId="12" xfId="0" applyFont="1" applyFill="1" applyBorder="1"/>
    <xf numFmtId="0" fontId="17" fillId="0" borderId="12" xfId="0" applyFont="1" applyBorder="1" applyAlignment="1">
      <alignment wrapText="1"/>
    </xf>
    <xf numFmtId="0" fontId="17" fillId="0" borderId="12" xfId="0" applyFont="1" applyBorder="1" applyAlignment="1"/>
    <xf numFmtId="0" fontId="17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28" fillId="6" borderId="117" xfId="0" applyFont="1" applyFill="1" applyBorder="1" applyAlignment="1"/>
    <xf numFmtId="0" fontId="17" fillId="6" borderId="41" xfId="0" applyFont="1" applyFill="1" applyBorder="1"/>
    <xf numFmtId="0" fontId="17" fillId="6" borderId="12" xfId="0" applyFont="1" applyFill="1" applyBorder="1" applyAlignment="1"/>
    <xf numFmtId="10" fontId="17" fillId="6" borderId="43" xfId="0" applyNumberFormat="1" applyFont="1" applyFill="1" applyBorder="1"/>
    <xf numFmtId="0" fontId="17" fillId="6" borderId="118" xfId="0" applyFont="1" applyFill="1" applyBorder="1" applyAlignment="1">
      <alignment horizontal="center" vertical="top" wrapText="1"/>
    </xf>
    <xf numFmtId="0" fontId="28" fillId="0" borderId="51" xfId="0" applyFont="1" applyBorder="1" applyAlignment="1">
      <alignment vertical="top"/>
    </xf>
    <xf numFmtId="0" fontId="28" fillId="6" borderId="67" xfId="0" applyFont="1" applyFill="1" applyBorder="1" applyAlignment="1"/>
    <xf numFmtId="0" fontId="28" fillId="0" borderId="34" xfId="0" applyFont="1" applyBorder="1" applyAlignment="1"/>
    <xf numFmtId="0" fontId="17" fillId="8" borderId="12" xfId="0" applyFont="1" applyFill="1" applyBorder="1" applyAlignment="1">
      <alignment wrapText="1"/>
    </xf>
    <xf numFmtId="0" fontId="17" fillId="8" borderId="12" xfId="0" applyFont="1" applyFill="1" applyBorder="1"/>
    <xf numFmtId="0" fontId="28" fillId="8" borderId="12" xfId="0" applyFont="1" applyFill="1" applyBorder="1"/>
    <xf numFmtId="0" fontId="17" fillId="6" borderId="63" xfId="0" applyFont="1" applyFill="1" applyBorder="1" applyAlignment="1">
      <alignment horizontal="center" vertical="top" wrapText="1"/>
    </xf>
    <xf numFmtId="0" fontId="28" fillId="6" borderId="53" xfId="0" applyFont="1" applyFill="1" applyBorder="1" applyAlignment="1"/>
    <xf numFmtId="0" fontId="28" fillId="0" borderId="46" xfId="0" applyFont="1" applyBorder="1" applyAlignment="1"/>
    <xf numFmtId="0" fontId="28" fillId="6" borderId="87" xfId="0" applyFont="1" applyFill="1" applyBorder="1" applyAlignment="1"/>
    <xf numFmtId="0" fontId="28" fillId="0" borderId="38" xfId="0" applyFont="1" applyBorder="1" applyAlignment="1"/>
    <xf numFmtId="0" fontId="28" fillId="0" borderId="52" xfId="0" applyFont="1" applyBorder="1" applyAlignment="1"/>
    <xf numFmtId="0" fontId="28" fillId="0" borderId="55" xfId="0" applyFont="1" applyBorder="1" applyAlignment="1"/>
    <xf numFmtId="0" fontId="28" fillId="0" borderId="55" xfId="0" applyFont="1" applyBorder="1" applyAlignment="1">
      <alignment vertical="top"/>
    </xf>
    <xf numFmtId="0" fontId="28" fillId="6" borderId="54" xfId="0" applyFont="1" applyFill="1" applyBorder="1" applyAlignment="1">
      <alignment vertical="top"/>
    </xf>
    <xf numFmtId="0" fontId="28" fillId="0" borderId="44" xfId="0" applyFont="1" applyBorder="1" applyAlignment="1"/>
    <xf numFmtId="10" fontId="28" fillId="0" borderId="38" xfId="0" applyNumberFormat="1" applyFont="1" applyBorder="1" applyAlignment="1"/>
    <xf numFmtId="0" fontId="28" fillId="6" borderId="47" xfId="0" applyFont="1" applyFill="1" applyBorder="1" applyAlignment="1"/>
    <xf numFmtId="0" fontId="28" fillId="6" borderId="50" xfId="0" applyFont="1" applyFill="1" applyBorder="1" applyAlignment="1">
      <alignment vertical="top"/>
    </xf>
    <xf numFmtId="0" fontId="32" fillId="6" borderId="54" xfId="0" applyFont="1" applyFill="1" applyBorder="1" applyAlignment="1"/>
    <xf numFmtId="0" fontId="32" fillId="6" borderId="50" xfId="0" applyFont="1" applyFill="1" applyBorder="1" applyAlignment="1"/>
    <xf numFmtId="0" fontId="32" fillId="6" borderId="54" xfId="0" applyFont="1" applyFill="1" applyBorder="1" applyAlignment="1">
      <alignment vertical="top"/>
    </xf>
    <xf numFmtId="0" fontId="28" fillId="0" borderId="7" xfId="0" applyFont="1" applyBorder="1" applyAlignment="1"/>
    <xf numFmtId="0" fontId="17" fillId="0" borderId="45" xfId="0" applyFont="1" applyBorder="1" applyAlignment="1">
      <alignment horizontal="center"/>
    </xf>
    <xf numFmtId="0" fontId="17" fillId="0" borderId="68" xfId="0" applyFont="1" applyBorder="1" applyAlignment="1"/>
    <xf numFmtId="0" fontId="28" fillId="0" borderId="53" xfId="0" applyFont="1" applyBorder="1" applyAlignment="1"/>
    <xf numFmtId="0" fontId="17" fillId="2" borderId="1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7" fillId="2" borderId="12" xfId="0" applyFont="1" applyFill="1" applyBorder="1" applyAlignment="1">
      <alignment horizontal="center" vertical="top" wrapText="1"/>
    </xf>
    <xf numFmtId="0" fontId="28" fillId="2" borderId="12" xfId="0" applyFont="1" applyFill="1" applyBorder="1"/>
    <xf numFmtId="0" fontId="17" fillId="2" borderId="12" xfId="0" applyFont="1" applyFill="1" applyBorder="1" applyAlignment="1">
      <alignment horizontal="center" vertical="top" wrapText="1"/>
    </xf>
    <xf numFmtId="0" fontId="17" fillId="5" borderId="0" xfId="0" applyFont="1" applyFill="1" applyAlignment="1">
      <alignment horizontal="center" vertical="top" wrapText="1"/>
    </xf>
    <xf numFmtId="0" fontId="17" fillId="2" borderId="12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17" fillId="2" borderId="12" xfId="0" applyFont="1" applyFill="1" applyBorder="1" applyAlignment="1">
      <alignment wrapText="1"/>
    </xf>
    <xf numFmtId="0" fontId="17" fillId="2" borderId="12" xfId="0" applyFont="1" applyFill="1" applyBorder="1"/>
    <xf numFmtId="0" fontId="28" fillId="2" borderId="12" xfId="0" applyFont="1" applyFill="1" applyBorder="1" applyAlignment="1"/>
    <xf numFmtId="0" fontId="28" fillId="5" borderId="0" xfId="0" applyFont="1" applyFill="1" applyAlignment="1"/>
    <xf numFmtId="0" fontId="17" fillId="5" borderId="0" xfId="0" applyFont="1" applyFill="1"/>
    <xf numFmtId="0" fontId="28" fillId="5" borderId="0" xfId="0" applyFont="1" applyFill="1"/>
    <xf numFmtId="0" fontId="17" fillId="2" borderId="12" xfId="0" applyFont="1" applyFill="1" applyBorder="1" applyAlignment="1">
      <alignment vertical="top"/>
    </xf>
    <xf numFmtId="0" fontId="17" fillId="2" borderId="12" xfId="0" applyFont="1" applyFill="1" applyBorder="1" applyAlignment="1">
      <alignment wrapText="1"/>
    </xf>
    <xf numFmtId="0" fontId="17" fillId="2" borderId="12" xfId="0" applyFont="1" applyFill="1" applyBorder="1" applyAlignment="1"/>
    <xf numFmtId="0" fontId="17" fillId="2" borderId="12" xfId="0" applyFont="1" applyFill="1" applyBorder="1" applyAlignment="1">
      <alignment horizontal="left"/>
    </xf>
    <xf numFmtId="0" fontId="17" fillId="2" borderId="12" xfId="0" applyFont="1" applyFill="1" applyBorder="1" applyAlignment="1">
      <alignment horizontal="left"/>
    </xf>
    <xf numFmtId="0" fontId="36" fillId="0" borderId="21" xfId="1" applyFont="1"/>
    <xf numFmtId="0" fontId="35" fillId="0" borderId="21" xfId="1" applyFont="1"/>
    <xf numFmtId="0" fontId="33" fillId="0" borderId="21" xfId="1"/>
    <xf numFmtId="0" fontId="34" fillId="0" borderId="71" xfId="1" applyFont="1" applyBorder="1" applyAlignment="1">
      <alignment horizontal="center" wrapText="1"/>
    </xf>
    <xf numFmtId="0" fontId="34" fillId="0" borderId="45" xfId="1" applyFont="1" applyBorder="1" applyAlignment="1">
      <alignment horizontal="center" wrapText="1"/>
    </xf>
    <xf numFmtId="0" fontId="34" fillId="0" borderId="47" xfId="1" applyFont="1" applyBorder="1" applyAlignment="1">
      <alignment horizontal="center" wrapText="1"/>
    </xf>
    <xf numFmtId="0" fontId="34" fillId="0" borderId="63" xfId="1" applyFont="1" applyBorder="1" applyAlignment="1">
      <alignment horizontal="center" vertical="top" wrapText="1"/>
    </xf>
    <xf numFmtId="0" fontId="34" fillId="0" borderId="45" xfId="1" applyFont="1" applyBorder="1" applyAlignment="1">
      <alignment horizontal="center" vertical="top" wrapText="1"/>
    </xf>
    <xf numFmtId="0" fontId="34" fillId="0" borderId="47" xfId="1" applyFont="1" applyBorder="1" applyAlignment="1">
      <alignment horizontal="center" vertical="top" wrapText="1"/>
    </xf>
    <xf numFmtId="0" fontId="34" fillId="0" borderId="88" xfId="1" applyFont="1" applyBorder="1" applyAlignment="1">
      <alignment horizontal="center" vertical="top" wrapText="1"/>
    </xf>
    <xf numFmtId="0" fontId="34" fillId="6" borderId="47" xfId="1" applyFont="1" applyFill="1" applyBorder="1" applyAlignment="1">
      <alignment horizontal="center" vertical="top" wrapText="1"/>
    </xf>
    <xf numFmtId="0" fontId="34" fillId="0" borderId="87" xfId="1" applyFont="1" applyBorder="1" applyAlignment="1">
      <alignment horizontal="center" vertical="top" wrapText="1"/>
    </xf>
    <xf numFmtId="0" fontId="34" fillId="6" borderId="63" xfId="1" applyFont="1" applyFill="1" applyBorder="1" applyAlignment="1">
      <alignment horizontal="center" vertical="top" wrapText="1"/>
    </xf>
    <xf numFmtId="0" fontId="34" fillId="0" borderId="45" xfId="1" applyFont="1" applyBorder="1" applyAlignment="1">
      <alignment horizontal="center" vertical="center" wrapText="1"/>
    </xf>
    <xf numFmtId="0" fontId="34" fillId="5" borderId="47" xfId="1" applyFont="1" applyFill="1" applyBorder="1" applyAlignment="1">
      <alignment horizontal="center" vertical="center" wrapText="1"/>
    </xf>
    <xf numFmtId="0" fontId="34" fillId="0" borderId="88" xfId="1" applyFont="1" applyBorder="1" applyAlignment="1">
      <alignment horizontal="center" vertical="center" wrapText="1"/>
    </xf>
    <xf numFmtId="0" fontId="34" fillId="6" borderId="63" xfId="1" applyFont="1" applyFill="1" applyBorder="1" applyAlignment="1">
      <alignment horizontal="center" vertical="center" wrapText="1"/>
    </xf>
    <xf numFmtId="0" fontId="34" fillId="6" borderId="47" xfId="1" applyFont="1" applyFill="1" applyBorder="1" applyAlignment="1">
      <alignment horizontal="center" vertical="center" wrapText="1"/>
    </xf>
    <xf numFmtId="0" fontId="36" fillId="0" borderId="49" xfId="1" applyFont="1" applyBorder="1"/>
    <xf numFmtId="0" fontId="36" fillId="6" borderId="49" xfId="1" applyFont="1" applyFill="1" applyBorder="1"/>
    <xf numFmtId="10" fontId="36" fillId="0" borderId="50" xfId="1" applyNumberFormat="1" applyFont="1" applyBorder="1"/>
    <xf numFmtId="10" fontId="36" fillId="0" borderId="87" xfId="1" applyNumberFormat="1" applyFont="1" applyBorder="1"/>
    <xf numFmtId="0" fontId="36" fillId="7" borderId="91" xfId="1" applyFont="1" applyFill="1" applyBorder="1"/>
    <xf numFmtId="10" fontId="36" fillId="7" borderId="100" xfId="1" applyNumberFormat="1" applyFont="1" applyFill="1" applyBorder="1"/>
    <xf numFmtId="10" fontId="36" fillId="0" borderId="117" xfId="1" applyNumberFormat="1" applyFont="1" applyBorder="1"/>
    <xf numFmtId="0" fontId="36" fillId="6" borderId="109" xfId="1" applyFont="1" applyFill="1" applyBorder="1"/>
    <xf numFmtId="10" fontId="36" fillId="0" borderId="49" xfId="1" applyNumberFormat="1" applyFont="1" applyBorder="1"/>
    <xf numFmtId="0" fontId="36" fillId="0" borderId="53" xfId="1" applyFont="1" applyBorder="1"/>
    <xf numFmtId="0" fontId="36" fillId="6" borderId="53" xfId="1" applyFont="1" applyFill="1" applyBorder="1"/>
    <xf numFmtId="10" fontId="36" fillId="0" borderId="55" xfId="1" applyNumberFormat="1" applyFont="1" applyBorder="1"/>
    <xf numFmtId="0" fontId="36" fillId="7" borderId="92" xfId="1" applyFont="1" applyFill="1" applyBorder="1"/>
    <xf numFmtId="0" fontId="36" fillId="6" borderId="22" xfId="1" applyFont="1" applyFill="1" applyBorder="1"/>
    <xf numFmtId="10" fontId="36" fillId="0" borderId="53" xfId="1" applyNumberFormat="1" applyFont="1" applyBorder="1"/>
    <xf numFmtId="0" fontId="34" fillId="0" borderId="87" xfId="1" applyFont="1" applyBorder="1"/>
    <xf numFmtId="0" fontId="34" fillId="0" borderId="61" xfId="1" applyFont="1" applyBorder="1"/>
    <xf numFmtId="10" fontId="34" fillId="0" borderId="65" xfId="1" applyNumberFormat="1" applyFont="1" applyBorder="1"/>
    <xf numFmtId="10" fontId="34" fillId="0" borderId="87" xfId="1" applyNumberFormat="1" applyFont="1" applyBorder="1"/>
    <xf numFmtId="0" fontId="34" fillId="7" borderId="93" xfId="1" applyFont="1" applyFill="1" applyBorder="1"/>
    <xf numFmtId="0" fontId="34" fillId="7" borderId="102" xfId="1" applyFont="1" applyFill="1" applyBorder="1"/>
    <xf numFmtId="10" fontId="36" fillId="7" borderId="103" xfId="1" applyNumberFormat="1" applyFont="1" applyFill="1" applyBorder="1"/>
    <xf numFmtId="0" fontId="34" fillId="0" borderId="103" xfId="1" applyFont="1" applyBorder="1"/>
    <xf numFmtId="10" fontId="34" fillId="0" borderId="61" xfId="1" applyNumberFormat="1" applyFont="1" applyBorder="1"/>
    <xf numFmtId="0" fontId="34" fillId="6" borderId="71" xfId="1" applyFont="1" applyFill="1" applyBorder="1" applyAlignment="1">
      <alignment horizontal="center" vertical="top" wrapText="1"/>
    </xf>
    <xf numFmtId="0" fontId="34" fillId="6" borderId="86" xfId="1" applyFont="1" applyFill="1" applyBorder="1" applyAlignment="1">
      <alignment horizontal="center" vertical="top" wrapText="1"/>
    </xf>
    <xf numFmtId="0" fontId="34" fillId="6" borderId="94" xfId="1" applyFont="1" applyFill="1" applyBorder="1" applyAlignment="1">
      <alignment horizontal="center" vertical="top" wrapText="1"/>
    </xf>
    <xf numFmtId="0" fontId="36" fillId="0" borderId="87" xfId="1" applyFont="1" applyBorder="1"/>
    <xf numFmtId="0" fontId="36" fillId="5" borderId="117" xfId="1" applyFont="1" applyFill="1" applyBorder="1"/>
    <xf numFmtId="10" fontId="36" fillId="0" borderId="67" xfId="1" applyNumberFormat="1" applyFont="1" applyBorder="1"/>
    <xf numFmtId="0" fontId="36" fillId="7" borderId="95" xfId="1" applyFont="1" applyFill="1" applyBorder="1"/>
    <xf numFmtId="10" fontId="36" fillId="7" borderId="67" xfId="1" applyNumberFormat="1" applyFont="1" applyFill="1" applyBorder="1"/>
    <xf numFmtId="0" fontId="36" fillId="6" borderId="87" xfId="1" applyFont="1" applyFill="1" applyBorder="1"/>
    <xf numFmtId="0" fontId="36" fillId="6" borderId="117" xfId="1" applyFont="1" applyFill="1" applyBorder="1"/>
    <xf numFmtId="10" fontId="36" fillId="6" borderId="96" xfId="1" applyNumberFormat="1" applyFont="1" applyFill="1" applyBorder="1"/>
    <xf numFmtId="0" fontId="34" fillId="5" borderId="64" xfId="1" applyFont="1" applyFill="1" applyBorder="1"/>
    <xf numFmtId="10" fontId="34" fillId="0" borderId="64" xfId="1" applyNumberFormat="1" applyFont="1" applyBorder="1"/>
    <xf numFmtId="0" fontId="34" fillId="7" borderId="97" xfId="1" applyFont="1" applyFill="1" applyBorder="1"/>
    <xf numFmtId="0" fontId="34" fillId="7" borderId="61" xfId="1" applyFont="1" applyFill="1" applyBorder="1"/>
    <xf numFmtId="10" fontId="36" fillId="7" borderId="55" xfId="1" applyNumberFormat="1" applyFont="1" applyFill="1" applyBorder="1"/>
    <xf numFmtId="0" fontId="34" fillId="6" borderId="64" xfId="1" applyFont="1" applyFill="1" applyBorder="1"/>
    <xf numFmtId="0" fontId="34" fillId="6" borderId="12" xfId="1" applyFont="1" applyFill="1" applyBorder="1"/>
    <xf numFmtId="10" fontId="34" fillId="6" borderId="97" xfId="1" applyNumberFormat="1" applyFont="1" applyFill="1" applyBorder="1"/>
    <xf numFmtId="0" fontId="34" fillId="6" borderId="118" xfId="1" applyFont="1" applyFill="1" applyBorder="1" applyAlignment="1">
      <alignment horizontal="center" vertical="top" wrapText="1"/>
    </xf>
    <xf numFmtId="0" fontId="36" fillId="0" borderId="47" xfId="1" applyFont="1" applyBorder="1"/>
    <xf numFmtId="0" fontId="36" fillId="0" borderId="50" xfId="1" applyFont="1" applyBorder="1"/>
    <xf numFmtId="0" fontId="36" fillId="5" borderId="50" xfId="1" applyFont="1" applyFill="1" applyBorder="1"/>
    <xf numFmtId="0" fontId="36" fillId="0" borderId="92" xfId="1" applyFont="1" applyBorder="1"/>
    <xf numFmtId="10" fontId="36" fillId="6" borderId="49" xfId="1" applyNumberFormat="1" applyFont="1" applyFill="1" applyBorder="1"/>
    <xf numFmtId="0" fontId="36" fillId="0" borderId="117" xfId="1" applyFont="1" applyBorder="1"/>
    <xf numFmtId="0" fontId="34" fillId="0" borderId="64" xfId="1" applyFont="1" applyBorder="1"/>
    <xf numFmtId="0" fontId="34" fillId="0" borderId="99" xfId="1" applyFont="1" applyBorder="1"/>
    <xf numFmtId="0" fontId="34" fillId="6" borderId="99" xfId="1" applyFont="1" applyFill="1" applyBorder="1"/>
    <xf numFmtId="10" fontId="34" fillId="6" borderId="61" xfId="1" applyNumberFormat="1" applyFont="1" applyFill="1" applyBorder="1"/>
    <xf numFmtId="0" fontId="36" fillId="6" borderId="50" xfId="1" applyFont="1" applyFill="1" applyBorder="1"/>
    <xf numFmtId="0" fontId="36" fillId="0" borderId="55" xfId="1" applyFont="1" applyBorder="1"/>
    <xf numFmtId="0" fontId="36" fillId="5" borderId="55" xfId="1" applyFont="1" applyFill="1" applyBorder="1"/>
    <xf numFmtId="0" fontId="36" fillId="6" borderId="55" xfId="1" applyFont="1" applyFill="1" applyBorder="1"/>
    <xf numFmtId="10" fontId="36" fillId="6" borderId="53" xfId="1" applyNumberFormat="1" applyFont="1" applyFill="1" applyBorder="1"/>
    <xf numFmtId="0" fontId="36" fillId="0" borderId="53" xfId="1" applyFont="1" applyBorder="1" applyAlignment="1">
      <alignment vertical="top"/>
    </xf>
    <xf numFmtId="0" fontId="36" fillId="0" borderId="55" xfId="1" applyFont="1" applyBorder="1" applyAlignment="1">
      <alignment vertical="top"/>
    </xf>
    <xf numFmtId="9" fontId="36" fillId="0" borderId="55" xfId="1" applyNumberFormat="1" applyFont="1" applyBorder="1"/>
    <xf numFmtId="0" fontId="36" fillId="6" borderId="55" xfId="1" applyFont="1" applyFill="1" applyBorder="1" applyAlignment="1">
      <alignment vertical="top"/>
    </xf>
    <xf numFmtId="10" fontId="34" fillId="0" borderId="55" xfId="1" applyNumberFormat="1" applyFont="1" applyBorder="1"/>
    <xf numFmtId="10" fontId="34" fillId="6" borderId="53" xfId="1" applyNumberFormat="1" applyFont="1" applyFill="1" applyBorder="1"/>
    <xf numFmtId="0" fontId="36" fillId="7" borderId="50" xfId="1" applyFont="1" applyFill="1" applyBorder="1"/>
    <xf numFmtId="10" fontId="36" fillId="7" borderId="50" xfId="1" applyNumberFormat="1" applyFont="1" applyFill="1" applyBorder="1"/>
    <xf numFmtId="0" fontId="36" fillId="7" borderId="55" xfId="1" applyFont="1" applyFill="1" applyBorder="1"/>
    <xf numFmtId="0" fontId="34" fillId="7" borderId="64" xfId="1" applyFont="1" applyFill="1" applyBorder="1"/>
    <xf numFmtId="10" fontId="34" fillId="7" borderId="64" xfId="1" applyNumberFormat="1" applyFont="1" applyFill="1" applyBorder="1"/>
    <xf numFmtId="0" fontId="36" fillId="9" borderId="50" xfId="1" applyFont="1" applyFill="1" applyBorder="1"/>
    <xf numFmtId="10" fontId="36" fillId="9" borderId="49" xfId="1" applyNumberFormat="1" applyFont="1" applyFill="1" applyBorder="1"/>
    <xf numFmtId="10" fontId="36" fillId="0" borderId="90" xfId="1" applyNumberFormat="1" applyFont="1" applyBorder="1"/>
    <xf numFmtId="0" fontId="36" fillId="9" borderId="55" xfId="1" applyFont="1" applyFill="1" applyBorder="1"/>
    <xf numFmtId="10" fontId="36" fillId="9" borderId="53" xfId="1" applyNumberFormat="1" applyFont="1" applyFill="1" applyBorder="1"/>
    <xf numFmtId="0" fontId="36" fillId="9" borderId="55" xfId="1" applyFont="1" applyFill="1" applyBorder="1" applyAlignment="1">
      <alignment vertical="top"/>
    </xf>
    <xf numFmtId="0" fontId="34" fillId="9" borderId="64" xfId="1" applyFont="1" applyFill="1" applyBorder="1"/>
    <xf numFmtId="10" fontId="34" fillId="9" borderId="61" xfId="1" applyNumberFormat="1" applyFont="1" applyFill="1" applyBorder="1"/>
    <xf numFmtId="10" fontId="34" fillId="0" borderId="90" xfId="1" applyNumberFormat="1" applyFont="1" applyBorder="1"/>
    <xf numFmtId="0" fontId="36" fillId="7" borderId="47" xfId="1" applyFont="1" applyFill="1" applyBorder="1"/>
    <xf numFmtId="0" fontId="36" fillId="7" borderId="63" xfId="1" applyFont="1" applyFill="1" applyBorder="1"/>
    <xf numFmtId="0" fontId="36" fillId="6" borderId="47" xfId="1" applyFont="1" applyFill="1" applyBorder="1"/>
    <xf numFmtId="0" fontId="36" fillId="6" borderId="63" xfId="1" applyFont="1" applyFill="1" applyBorder="1"/>
    <xf numFmtId="0" fontId="36" fillId="7" borderId="53" xfId="1" applyFont="1" applyFill="1" applyBorder="1" applyAlignment="1">
      <alignment vertical="top"/>
    </xf>
    <xf numFmtId="0" fontId="36" fillId="6" borderId="53" xfId="1" applyFont="1" applyFill="1" applyBorder="1" applyAlignment="1">
      <alignment vertical="top"/>
    </xf>
    <xf numFmtId="0" fontId="34" fillId="0" borderId="97" xfId="1" applyFont="1" applyBorder="1"/>
    <xf numFmtId="0" fontId="34" fillId="6" borderId="61" xfId="1" applyFont="1" applyFill="1" applyBorder="1"/>
    <xf numFmtId="0" fontId="36" fillId="0" borderId="49" xfId="1" applyFont="1" applyBorder="1" applyAlignment="1">
      <alignment vertical="top"/>
    </xf>
    <xf numFmtId="0" fontId="36" fillId="0" borderId="50" xfId="1" applyFont="1" applyBorder="1" applyAlignment="1">
      <alignment vertical="top"/>
    </xf>
    <xf numFmtId="0" fontId="36" fillId="6" borderId="50" xfId="1" applyFont="1" applyFill="1" applyBorder="1" applyAlignment="1">
      <alignment vertical="top"/>
    </xf>
    <xf numFmtId="10" fontId="36" fillId="9" borderId="50" xfId="1" applyNumberFormat="1" applyFont="1" applyFill="1" applyBorder="1"/>
    <xf numFmtId="10" fontId="36" fillId="9" borderId="55" xfId="1" applyNumberFormat="1" applyFont="1" applyFill="1" applyBorder="1"/>
    <xf numFmtId="10" fontId="34" fillId="9" borderId="64" xfId="1" applyNumberFormat="1" applyFont="1" applyFill="1" applyBorder="1"/>
    <xf numFmtId="0" fontId="36" fillId="5" borderId="49" xfId="1" applyFont="1" applyFill="1" applyBorder="1"/>
    <xf numFmtId="10" fontId="36" fillId="0" borderId="100" xfId="1" applyNumberFormat="1" applyFont="1" applyBorder="1"/>
    <xf numFmtId="0" fontId="36" fillId="5" borderId="53" xfId="1" applyFont="1" applyFill="1" applyBorder="1"/>
    <xf numFmtId="10" fontId="34" fillId="0" borderId="99" xfId="1" applyNumberFormat="1" applyFont="1" applyBorder="1"/>
    <xf numFmtId="0" fontId="36" fillId="0" borderId="91" xfId="1" applyFont="1" applyBorder="1"/>
    <xf numFmtId="0" fontId="36" fillId="0" borderId="92" xfId="1" applyFont="1" applyBorder="1" applyAlignment="1">
      <alignment vertical="top"/>
    </xf>
    <xf numFmtId="0" fontId="34" fillId="5" borderId="61" xfId="1" applyFont="1" applyFill="1" applyBorder="1"/>
    <xf numFmtId="0" fontId="36" fillId="0" borderId="96" xfId="1" applyFont="1" applyBorder="1"/>
    <xf numFmtId="0" fontId="36" fillId="9" borderId="67" xfId="1" applyFont="1" applyFill="1" applyBorder="1"/>
    <xf numFmtId="0" fontId="36" fillId="6" borderId="67" xfId="1" applyFont="1" applyFill="1" applyBorder="1"/>
    <xf numFmtId="0" fontId="34" fillId="0" borderId="102" xfId="1" applyFont="1" applyBorder="1"/>
    <xf numFmtId="0" fontId="34" fillId="0" borderId="65" xfId="1" applyFont="1" applyBorder="1"/>
    <xf numFmtId="0" fontId="34" fillId="5" borderId="102" xfId="1" applyFont="1" applyFill="1" applyBorder="1"/>
    <xf numFmtId="0" fontId="34" fillId="6" borderId="65" xfId="1" applyFont="1" applyFill="1" applyBorder="1"/>
    <xf numFmtId="10" fontId="34" fillId="6" borderId="102" xfId="1" applyNumberFormat="1" applyFont="1" applyFill="1" applyBorder="1"/>
    <xf numFmtId="0" fontId="34" fillId="0" borderId="45" xfId="1" applyFont="1" applyBorder="1" applyAlignment="1">
      <alignment vertical="top" wrapText="1"/>
    </xf>
    <xf numFmtId="10" fontId="34" fillId="0" borderId="45" xfId="1" applyNumberFormat="1" applyFont="1" applyBorder="1" applyAlignment="1">
      <alignment vertical="top" wrapText="1"/>
    </xf>
    <xf numFmtId="10" fontId="34" fillId="6" borderId="47" xfId="1" applyNumberFormat="1" applyFont="1" applyFill="1" applyBorder="1"/>
    <xf numFmtId="10" fontId="34" fillId="6" borderId="45" xfId="1" applyNumberFormat="1" applyFont="1" applyFill="1" applyBorder="1"/>
    <xf numFmtId="0" fontId="34" fillId="0" borderId="47" xfId="1" applyFont="1" applyBorder="1"/>
    <xf numFmtId="0" fontId="34" fillId="6" borderId="47" xfId="1" applyFont="1" applyFill="1" applyBorder="1"/>
    <xf numFmtId="10" fontId="34" fillId="0" borderId="79" xfId="1" applyNumberFormat="1" applyFont="1" applyBorder="1"/>
    <xf numFmtId="0" fontId="34" fillId="6" borderId="63" xfId="1" applyFont="1" applyFill="1" applyBorder="1"/>
    <xf numFmtId="10" fontId="34" fillId="0" borderId="47" xfId="1" applyNumberFormat="1" applyFont="1" applyBorder="1"/>
    <xf numFmtId="10" fontId="34" fillId="0" borderId="88" xfId="1" applyNumberFormat="1" applyFont="1" applyBorder="1"/>
    <xf numFmtId="0" fontId="34" fillId="0" borderId="53" xfId="1" applyFont="1" applyBorder="1"/>
    <xf numFmtId="0" fontId="34" fillId="6" borderId="53" xfId="1" applyFont="1" applyFill="1" applyBorder="1"/>
    <xf numFmtId="10" fontId="34" fillId="0" borderId="6" xfId="1" applyNumberFormat="1" applyFont="1" applyBorder="1"/>
    <xf numFmtId="0" fontId="34" fillId="6" borderId="55" xfId="1" applyFont="1" applyFill="1" applyBorder="1"/>
    <xf numFmtId="10" fontId="34" fillId="0" borderId="53" xfId="1" applyNumberFormat="1" applyFont="1" applyBorder="1"/>
    <xf numFmtId="10" fontId="34" fillId="0" borderId="100" xfId="1" applyNumberFormat="1" applyFont="1" applyBorder="1"/>
    <xf numFmtId="0" fontId="34" fillId="0" borderId="102" xfId="1" applyFont="1" applyBorder="1" applyAlignment="1">
      <alignment vertical="top"/>
    </xf>
    <xf numFmtId="0" fontId="34" fillId="6" borderId="102" xfId="1" applyFont="1" applyFill="1" applyBorder="1"/>
    <xf numFmtId="10" fontId="34" fillId="0" borderId="11" xfId="1" applyNumberFormat="1" applyFont="1" applyBorder="1"/>
    <xf numFmtId="10" fontId="34" fillId="0" borderId="103" xfId="1" applyNumberFormat="1" applyFont="1" applyBorder="1"/>
    <xf numFmtId="0" fontId="34" fillId="0" borderId="94" xfId="1" applyFont="1" applyBorder="1" applyAlignment="1">
      <alignment horizontal="left" vertical="top" wrapText="1"/>
    </xf>
    <xf numFmtId="0" fontId="34" fillId="6" borderId="45" xfId="1" applyFont="1" applyFill="1" applyBorder="1"/>
    <xf numFmtId="10" fontId="34" fillId="0" borderId="78" xfId="1" applyNumberFormat="1" applyFont="1" applyBorder="1"/>
    <xf numFmtId="10" fontId="34" fillId="0" borderId="60" xfId="1" applyNumberFormat="1" applyFont="1" applyBorder="1"/>
    <xf numFmtId="10" fontId="34" fillId="0" borderId="86" xfId="1" applyNumberFormat="1" applyFont="1" applyBorder="1"/>
    <xf numFmtId="0" fontId="34" fillId="0" borderId="94" xfId="1" applyFont="1" applyBorder="1" applyAlignment="1">
      <alignment horizontal="center" vertical="top" wrapText="1"/>
    </xf>
    <xf numFmtId="0" fontId="34" fillId="6" borderId="45" xfId="1" applyFont="1" applyFill="1" applyBorder="1" applyAlignment="1">
      <alignment horizontal="center" vertical="top" wrapText="1"/>
    </xf>
    <xf numFmtId="0" fontId="36" fillId="5" borderId="96" xfId="1" applyFont="1" applyFill="1" applyBorder="1"/>
    <xf numFmtId="10" fontId="36" fillId="0" borderId="95" xfId="1" applyNumberFormat="1" applyFont="1" applyBorder="1"/>
    <xf numFmtId="10" fontId="36" fillId="0" borderId="77" xfId="1" applyNumberFormat="1" applyFont="1" applyBorder="1"/>
    <xf numFmtId="10" fontId="36" fillId="0" borderId="91" xfId="1" applyNumberFormat="1" applyFont="1" applyBorder="1"/>
    <xf numFmtId="0" fontId="34" fillId="5" borderId="53" xfId="1" applyFont="1" applyFill="1" applyBorder="1"/>
    <xf numFmtId="10" fontId="34" fillId="0" borderId="92" xfId="1" applyNumberFormat="1" applyFont="1" applyBorder="1"/>
    <xf numFmtId="0" fontId="36" fillId="9" borderId="53" xfId="1" applyFont="1" applyFill="1" applyBorder="1" applyAlignment="1">
      <alignment vertical="top"/>
    </xf>
    <xf numFmtId="0" fontId="36" fillId="9" borderId="53" xfId="1" applyFont="1" applyFill="1" applyBorder="1"/>
    <xf numFmtId="10" fontId="36" fillId="9" borderId="92" xfId="1" applyNumberFormat="1" applyFont="1" applyFill="1" applyBorder="1"/>
    <xf numFmtId="10" fontId="36" fillId="0" borderId="6" xfId="1" applyNumberFormat="1" applyFont="1" applyBorder="1"/>
    <xf numFmtId="10" fontId="36" fillId="0" borderId="92" xfId="1" applyNumberFormat="1" applyFont="1" applyBorder="1"/>
    <xf numFmtId="0" fontId="34" fillId="9" borderId="53" xfId="1" applyFont="1" applyFill="1" applyBorder="1"/>
    <xf numFmtId="10" fontId="34" fillId="9" borderId="92" xfId="1" applyNumberFormat="1" applyFont="1" applyFill="1" applyBorder="1"/>
    <xf numFmtId="0" fontId="34" fillId="9" borderId="53" xfId="1" applyFont="1" applyFill="1" applyBorder="1" applyAlignment="1">
      <alignment vertical="top"/>
    </xf>
    <xf numFmtId="0" fontId="34" fillId="0" borderId="53" xfId="1" applyFont="1" applyBorder="1" applyAlignment="1">
      <alignment vertical="top"/>
    </xf>
    <xf numFmtId="0" fontId="34" fillId="9" borderId="61" xfId="1" applyFont="1" applyFill="1" applyBorder="1"/>
    <xf numFmtId="10" fontId="34" fillId="9" borderId="93" xfId="1" applyNumberFormat="1" applyFont="1" applyFill="1" applyBorder="1"/>
    <xf numFmtId="10" fontId="34" fillId="0" borderId="97" xfId="1" applyNumberFormat="1" applyFont="1" applyBorder="1"/>
    <xf numFmtId="10" fontId="34" fillId="0" borderId="102" xfId="1" applyNumberFormat="1" applyFont="1" applyBorder="1"/>
    <xf numFmtId="0" fontId="34" fillId="0" borderId="61" xfId="1" applyFont="1" applyBorder="1" applyAlignment="1">
      <alignment wrapText="1"/>
    </xf>
    <xf numFmtId="0" fontId="34" fillId="0" borderId="45" xfId="1" applyFont="1" applyBorder="1" applyAlignment="1">
      <alignment wrapText="1"/>
    </xf>
    <xf numFmtId="0" fontId="34" fillId="0" borderId="45" xfId="1" applyFont="1" applyBorder="1"/>
    <xf numFmtId="10" fontId="34" fillId="0" borderId="94" xfId="1" applyNumberFormat="1" applyFont="1" applyBorder="1"/>
    <xf numFmtId="10" fontId="34" fillId="0" borderId="25" xfId="1" applyNumberFormat="1" applyFont="1" applyBorder="1"/>
    <xf numFmtId="10" fontId="34" fillId="0" borderId="45" xfId="1" applyNumberFormat="1" applyFont="1" applyBorder="1"/>
    <xf numFmtId="0" fontId="34" fillId="6" borderId="116" xfId="1" applyFont="1" applyFill="1" applyBorder="1" applyAlignment="1">
      <alignment horizontal="center" vertical="top" wrapText="1"/>
    </xf>
    <xf numFmtId="0" fontId="34" fillId="0" borderId="47" xfId="1" applyFont="1" applyBorder="1" applyAlignment="1">
      <alignment horizontal="center" vertical="center" wrapText="1"/>
    </xf>
    <xf numFmtId="0" fontId="34" fillId="0" borderId="94" xfId="1" applyFont="1" applyBorder="1" applyAlignment="1">
      <alignment horizontal="center"/>
    </xf>
    <xf numFmtId="0" fontId="34" fillId="0" borderId="45" xfId="1" applyFont="1" applyBorder="1" applyAlignment="1">
      <alignment horizontal="center"/>
    </xf>
    <xf numFmtId="0" fontId="36" fillId="0" borderId="63" xfId="1" applyFont="1" applyBorder="1"/>
    <xf numFmtId="0" fontId="36" fillId="8" borderId="71" xfId="1" applyFont="1" applyFill="1" applyBorder="1"/>
    <xf numFmtId="0" fontId="36" fillId="8" borderId="86" xfId="1" applyFont="1" applyFill="1" applyBorder="1"/>
    <xf numFmtId="0" fontId="36" fillId="8" borderId="94" xfId="1" applyFont="1" applyFill="1" applyBorder="1"/>
    <xf numFmtId="0" fontId="36" fillId="0" borderId="101" xfId="1" applyFont="1" applyBorder="1"/>
    <xf numFmtId="0" fontId="36" fillId="8" borderId="117" xfId="1" applyFont="1" applyFill="1" applyBorder="1"/>
    <xf numFmtId="0" fontId="36" fillId="8" borderId="21" xfId="1" applyFont="1" applyFill="1"/>
    <xf numFmtId="0" fontId="36" fillId="8" borderId="90" xfId="1" applyFont="1" applyFill="1" applyBorder="1"/>
    <xf numFmtId="0" fontId="36" fillId="0" borderId="29" xfId="1" applyFont="1" applyBorder="1"/>
    <xf numFmtId="0" fontId="36" fillId="5" borderId="21" xfId="1" applyFont="1" applyFill="1"/>
    <xf numFmtId="0" fontId="34" fillId="5" borderId="21" xfId="1" applyFont="1" applyFill="1"/>
    <xf numFmtId="0" fontId="34" fillId="0" borderId="100" xfId="1" applyFont="1" applyBorder="1"/>
    <xf numFmtId="0" fontId="34" fillId="0" borderId="45" xfId="1" applyFont="1" applyBorder="1" applyAlignment="1">
      <alignment horizontal="left"/>
    </xf>
    <xf numFmtId="0" fontId="36" fillId="0" borderId="88" xfId="1" applyFont="1" applyBorder="1"/>
    <xf numFmtId="0" fontId="34" fillId="0" borderId="24" xfId="1" applyFont="1" applyBorder="1"/>
    <xf numFmtId="0" fontId="36" fillId="0" borderId="100" xfId="1" applyFont="1" applyBorder="1"/>
    <xf numFmtId="0" fontId="34" fillId="0" borderId="90" xfId="1" applyFont="1" applyBorder="1"/>
    <xf numFmtId="10" fontId="34" fillId="0" borderId="93" xfId="1" applyNumberFormat="1" applyFont="1" applyBorder="1"/>
    <xf numFmtId="0" fontId="36" fillId="0" borderId="45" xfId="1" applyFont="1" applyBorder="1"/>
    <xf numFmtId="0" fontId="34" fillId="0" borderId="86" xfId="1" applyFont="1" applyBorder="1" applyAlignment="1">
      <alignment wrapText="1"/>
    </xf>
    <xf numFmtId="10" fontId="36" fillId="0" borderId="45" xfId="1" applyNumberFormat="1" applyFont="1" applyBorder="1"/>
    <xf numFmtId="0" fontId="36" fillId="10" borderId="71" xfId="1" applyFont="1" applyFill="1" applyBorder="1"/>
    <xf numFmtId="0" fontId="36" fillId="10" borderId="118" xfId="1" applyFont="1" applyFill="1" applyBorder="1"/>
    <xf numFmtId="0" fontId="36" fillId="10" borderId="45" xfId="1" applyFont="1" applyFill="1" applyBorder="1"/>
    <xf numFmtId="0" fontId="36" fillId="10" borderId="86" xfId="1" applyFont="1" applyFill="1" applyBorder="1"/>
    <xf numFmtId="0" fontId="36" fillId="10" borderId="94" xfId="1" applyFont="1" applyFill="1" applyBorder="1"/>
    <xf numFmtId="0" fontId="34" fillId="8" borderId="45" xfId="1" applyFont="1" applyFill="1" applyBorder="1" applyAlignment="1">
      <alignment wrapText="1"/>
    </xf>
    <xf numFmtId="0" fontId="34" fillId="8" borderId="45" xfId="1" applyFont="1" applyFill="1" applyBorder="1"/>
    <xf numFmtId="0" fontId="36" fillId="8" borderId="45" xfId="1" applyFont="1" applyFill="1" applyBorder="1"/>
    <xf numFmtId="0" fontId="34" fillId="0" borderId="21" xfId="1" applyFont="1"/>
    <xf numFmtId="10" fontId="34" fillId="0" borderId="21" xfId="1" applyNumberFormat="1" applyFont="1"/>
    <xf numFmtId="0" fontId="34" fillId="6" borderId="45" xfId="1" applyFont="1" applyFill="1" applyBorder="1" applyAlignment="1">
      <alignment horizontal="center" vertical="center" wrapText="1"/>
    </xf>
    <xf numFmtId="0" fontId="36" fillId="6" borderId="45" xfId="1" applyFont="1" applyFill="1" applyBorder="1" applyAlignment="1">
      <alignment horizontal="center"/>
    </xf>
    <xf numFmtId="0" fontId="34" fillId="5" borderId="21" xfId="1" applyFont="1" applyFill="1" applyAlignment="1">
      <alignment horizontal="center" vertical="top" wrapText="1"/>
    </xf>
    <xf numFmtId="0" fontId="34" fillId="6" borderId="45" xfId="1" applyFont="1" applyFill="1" applyBorder="1" applyAlignment="1">
      <alignment horizontal="center"/>
    </xf>
    <xf numFmtId="0" fontId="36" fillId="6" borderId="45" xfId="1" applyFont="1" applyFill="1" applyBorder="1"/>
    <xf numFmtId="0" fontId="34" fillId="5" borderId="21" xfId="1" applyFont="1" applyFill="1" applyAlignment="1">
      <alignment horizontal="center"/>
    </xf>
    <xf numFmtId="0" fontId="34" fillId="6" borderId="45" xfId="1" applyFont="1" applyFill="1" applyBorder="1" applyAlignment="1">
      <alignment horizontal="center" wrapText="1"/>
    </xf>
    <xf numFmtId="0" fontId="34" fillId="6" borderId="45" xfId="1" applyFont="1" applyFill="1" applyBorder="1" applyAlignment="1">
      <alignment vertical="top"/>
    </xf>
    <xf numFmtId="0" fontId="36" fillId="6" borderId="45" xfId="1" applyFont="1" applyFill="1" applyBorder="1" applyAlignment="1">
      <alignment horizontal="left"/>
    </xf>
    <xf numFmtId="0" fontId="34" fillId="0" borderId="47" xfId="1" applyFont="1" applyBorder="1" applyAlignment="1">
      <alignment horizontal="center" vertical="center" wrapText="1"/>
    </xf>
    <xf numFmtId="0" fontId="37" fillId="0" borderId="60" xfId="1" applyFont="1" applyBorder="1"/>
    <xf numFmtId="0" fontId="34" fillId="0" borderId="71" xfId="1" applyFont="1" applyBorder="1" applyAlignment="1">
      <alignment horizontal="right"/>
    </xf>
    <xf numFmtId="0" fontId="37" fillId="0" borderId="94" xfId="1" applyFont="1" applyBorder="1"/>
    <xf numFmtId="0" fontId="34" fillId="0" borderId="102" xfId="1" applyFont="1" applyBorder="1" applyAlignment="1">
      <alignment horizontal="center" vertical="center" wrapText="1"/>
    </xf>
    <xf numFmtId="0" fontId="37" fillId="0" borderId="96" xfId="1" applyFont="1" applyBorder="1"/>
    <xf numFmtId="0" fontId="34" fillId="0" borderId="71" xfId="1" applyFont="1" applyBorder="1" applyAlignment="1">
      <alignment horizontal="center" vertical="top" wrapText="1"/>
    </xf>
    <xf numFmtId="0" fontId="37" fillId="0" borderId="86" xfId="1" applyFont="1" applyBorder="1"/>
    <xf numFmtId="0" fontId="34" fillId="0" borderId="88" xfId="1" applyFont="1" applyBorder="1" applyAlignment="1">
      <alignment horizontal="center" vertical="top" wrapText="1"/>
    </xf>
    <xf numFmtId="0" fontId="37" fillId="0" borderId="88" xfId="1" applyFont="1" applyBorder="1"/>
    <xf numFmtId="0" fontId="34" fillId="0" borderId="47" xfId="1" applyFont="1" applyBorder="1" applyAlignment="1">
      <alignment horizontal="left" vertical="top" wrapText="1"/>
    </xf>
    <xf numFmtId="0" fontId="37" fillId="0" borderId="87" xfId="1" applyFont="1" applyBorder="1"/>
    <xf numFmtId="0" fontId="34" fillId="0" borderId="71" xfId="1" applyFont="1" applyBorder="1" applyAlignment="1">
      <alignment horizontal="left" vertical="top" wrapText="1"/>
    </xf>
    <xf numFmtId="0" fontId="34" fillId="0" borderId="86" xfId="1" applyFont="1" applyBorder="1" applyAlignment="1">
      <alignment horizontal="center" vertical="top" wrapText="1"/>
    </xf>
    <xf numFmtId="0" fontId="34" fillId="0" borderId="87" xfId="1" applyFont="1" applyBorder="1" applyAlignment="1">
      <alignment horizontal="center" vertical="center" wrapText="1"/>
    </xf>
    <xf numFmtId="0" fontId="34" fillId="0" borderId="63" xfId="1" applyFont="1" applyBorder="1" applyAlignment="1">
      <alignment horizontal="center" vertical="top" wrapText="1"/>
    </xf>
    <xf numFmtId="0" fontId="34" fillId="0" borderId="63" xfId="1" applyFont="1" applyBorder="1" applyAlignment="1">
      <alignment horizontal="left" vertical="top" wrapText="1"/>
    </xf>
    <xf numFmtId="0" fontId="37" fillId="0" borderId="117" xfId="1" applyFont="1" applyBorder="1"/>
    <xf numFmtId="0" fontId="37" fillId="0" borderId="67" xfId="1" applyFont="1" applyBorder="1"/>
    <xf numFmtId="0" fontId="34" fillId="0" borderId="117" xfId="1" applyFont="1" applyBorder="1" applyAlignment="1">
      <alignment horizontal="left" vertical="top" wrapText="1"/>
    </xf>
    <xf numFmtId="0" fontId="37" fillId="0" borderId="59" xfId="1" applyFont="1" applyBorder="1"/>
    <xf numFmtId="0" fontId="34" fillId="0" borderId="71" xfId="1" applyFont="1" applyBorder="1" applyAlignment="1">
      <alignment horizontal="center"/>
    </xf>
    <xf numFmtId="0" fontId="34" fillId="0" borderId="71" xfId="1" applyFont="1" applyBorder="1" applyAlignment="1">
      <alignment horizontal="center" wrapText="1"/>
    </xf>
    <xf numFmtId="0" fontId="34" fillId="0" borderId="86" xfId="1" applyFont="1" applyBorder="1" applyAlignment="1">
      <alignment horizontal="center" wrapText="1"/>
    </xf>
    <xf numFmtId="0" fontId="34" fillId="6" borderId="71" xfId="1" applyFont="1" applyFill="1" applyBorder="1" applyAlignment="1">
      <alignment horizontal="center" wrapText="1"/>
    </xf>
    <xf numFmtId="0" fontId="37" fillId="0" borderId="118" xfId="1" applyFont="1" applyBorder="1"/>
    <xf numFmtId="0" fontId="34" fillId="6" borderId="101" xfId="1" applyFont="1" applyFill="1" applyBorder="1" applyAlignment="1">
      <alignment horizontal="center" vertical="top" wrapText="1"/>
    </xf>
    <xf numFmtId="0" fontId="37" fillId="0" borderId="90" xfId="1" applyFont="1" applyBorder="1"/>
    <xf numFmtId="0" fontId="9" fillId="0" borderId="10" xfId="0" applyFont="1" applyBorder="1" applyAlignment="1">
      <alignment horizontal="left" vertical="top" wrapText="1"/>
    </xf>
    <xf numFmtId="0" fontId="2" fillId="0" borderId="18" xfId="0" applyFont="1" applyBorder="1"/>
    <xf numFmtId="0" fontId="2" fillId="0" borderId="15" xfId="0" applyFont="1" applyBorder="1"/>
    <xf numFmtId="0" fontId="9" fillId="0" borderId="10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left" vertical="top" wrapText="1"/>
    </xf>
    <xf numFmtId="0" fontId="2" fillId="0" borderId="19" xfId="0" applyFont="1" applyBorder="1"/>
    <xf numFmtId="0" fontId="2" fillId="0" borderId="17" xfId="0" applyFont="1" applyBorder="1"/>
    <xf numFmtId="0" fontId="2" fillId="0" borderId="24" xfId="0" applyFont="1" applyBorder="1"/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center"/>
    </xf>
    <xf numFmtId="0" fontId="2" fillId="0" borderId="35" xfId="0" applyFont="1" applyBorder="1"/>
    <xf numFmtId="0" fontId="7" fillId="0" borderId="1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5" fillId="0" borderId="0" xfId="0" applyFont="1" applyAlignment="1">
      <alignment horizontal="center" vertical="center"/>
    </xf>
    <xf numFmtId="0" fontId="2" fillId="0" borderId="9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/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2" fillId="0" borderId="16" xfId="0" applyFont="1" applyBorder="1"/>
    <xf numFmtId="0" fontId="7" fillId="0" borderId="14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16" fillId="0" borderId="44" xfId="0" applyFont="1" applyBorder="1" applyAlignment="1">
      <alignment horizontal="left" vertical="top" wrapText="1"/>
    </xf>
    <xf numFmtId="0" fontId="2" fillId="0" borderId="46" xfId="0" applyFont="1" applyBorder="1"/>
    <xf numFmtId="0" fontId="2" fillId="0" borderId="60" xfId="0" applyFont="1" applyBorder="1"/>
    <xf numFmtId="0" fontId="16" fillId="0" borderId="1" xfId="0" applyFont="1" applyBorder="1" applyAlignment="1">
      <alignment horizontal="left" vertical="top" wrapText="1"/>
    </xf>
    <xf numFmtId="0" fontId="2" fillId="0" borderId="52" xfId="0" applyFont="1" applyBorder="1"/>
    <xf numFmtId="0" fontId="2" fillId="0" borderId="59" xfId="0" applyFont="1" applyBorder="1"/>
    <xf numFmtId="0" fontId="16" fillId="0" borderId="34" xfId="0" applyFont="1" applyBorder="1" applyAlignment="1">
      <alignment horizontal="center" vertical="top" wrapText="1"/>
    </xf>
    <xf numFmtId="0" fontId="2" fillId="0" borderId="62" xfId="0" applyFont="1" applyBorder="1"/>
    <xf numFmtId="0" fontId="16" fillId="0" borderId="59" xfId="0" applyFont="1" applyBorder="1" applyAlignment="1">
      <alignment horizontal="center" vertical="top" wrapText="1"/>
    </xf>
    <xf numFmtId="0" fontId="2" fillId="0" borderId="37" xfId="0" applyFont="1" applyBorder="1"/>
    <xf numFmtId="0" fontId="2" fillId="0" borderId="48" xfId="0" applyFont="1" applyBorder="1"/>
    <xf numFmtId="0" fontId="15" fillId="0" borderId="41" xfId="0" applyFont="1" applyBorder="1" applyAlignment="1">
      <alignment horizontal="right"/>
    </xf>
    <xf numFmtId="0" fontId="2" fillId="0" borderId="42" xfId="0" applyFont="1" applyBorder="1"/>
    <xf numFmtId="0" fontId="2" fillId="0" borderId="43" xfId="0" applyFont="1" applyBorder="1"/>
    <xf numFmtId="0" fontId="1" fillId="0" borderId="34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3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 wrapText="1"/>
    </xf>
    <xf numFmtId="0" fontId="2" fillId="0" borderId="39" xfId="0" applyFont="1" applyBorder="1"/>
    <xf numFmtId="0" fontId="2" fillId="0" borderId="40" xfId="0" applyFont="1" applyBorder="1"/>
    <xf numFmtId="0" fontId="16" fillId="0" borderId="4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top" wrapText="1"/>
    </xf>
    <xf numFmtId="0" fontId="21" fillId="0" borderId="38" xfId="0" applyFont="1" applyBorder="1" applyAlignment="1">
      <alignment horizontal="left"/>
    </xf>
    <xf numFmtId="0" fontId="21" fillId="0" borderId="55" xfId="0" applyFont="1" applyBorder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0" fillId="0" borderId="0" xfId="0" applyFont="1" applyAlignment="1"/>
    <xf numFmtId="0" fontId="16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34" xfId="0" applyFont="1" applyBorder="1" applyAlignment="1">
      <alignment horizont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7" fillId="0" borderId="44" xfId="0" applyFont="1" applyBorder="1" applyAlignment="1">
      <alignment horizontal="left" vertical="top" wrapText="1"/>
    </xf>
    <xf numFmtId="0" fontId="17" fillId="6" borderId="86" xfId="0" applyFont="1" applyFill="1" applyBorder="1" applyAlignment="1">
      <alignment horizontal="center" wrapText="1"/>
    </xf>
    <xf numFmtId="0" fontId="17" fillId="6" borderId="89" xfId="0" applyFont="1" applyFill="1" applyBorder="1" applyAlignment="1">
      <alignment horizontal="center" vertical="top" wrapText="1"/>
    </xf>
    <xf numFmtId="0" fontId="2" fillId="0" borderId="90" xfId="0" applyFont="1" applyBorder="1"/>
    <xf numFmtId="0" fontId="29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center" wrapText="1"/>
    </xf>
    <xf numFmtId="0" fontId="17" fillId="0" borderId="35" xfId="0" applyFont="1" applyBorder="1" applyAlignment="1">
      <alignment horizont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0" fontId="2" fillId="0" borderId="7" xfId="0" applyFont="1" applyBorder="1"/>
    <xf numFmtId="0" fontId="17" fillId="0" borderId="52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center" vertical="center" wrapText="1"/>
    </xf>
    <xf numFmtId="0" fontId="2" fillId="0" borderId="66" xfId="0" applyFont="1" applyBorder="1"/>
    <xf numFmtId="0" fontId="17" fillId="0" borderId="44" xfId="0" applyFont="1" applyBorder="1" applyAlignment="1">
      <alignment horizontal="center" vertical="top" wrapText="1"/>
    </xf>
    <xf numFmtId="0" fontId="17" fillId="0" borderId="56" xfId="0" applyFont="1" applyBorder="1" applyAlignment="1">
      <alignment horizontal="center" vertical="top" wrapText="1"/>
    </xf>
    <xf numFmtId="0" fontId="17" fillId="0" borderId="34" xfId="0" applyFont="1" applyBorder="1" applyAlignment="1">
      <alignment horizontal="right" vertical="top" wrapText="1"/>
    </xf>
    <xf numFmtId="0" fontId="17" fillId="6" borderId="34" xfId="0" applyFont="1" applyFill="1" applyBorder="1" applyAlignment="1">
      <alignment horizontal="center" wrapText="1"/>
    </xf>
    <xf numFmtId="0" fontId="21" fillId="0" borderId="44" xfId="0" applyFont="1" applyBorder="1" applyAlignment="1">
      <alignment horizontal="left" vertical="top" wrapText="1"/>
    </xf>
    <xf numFmtId="0" fontId="17" fillId="0" borderId="46" xfId="0" applyFont="1" applyBorder="1" applyAlignment="1">
      <alignment horizontal="center" vertical="top" wrapText="1"/>
    </xf>
    <xf numFmtId="0" fontId="14" fillId="0" borderId="5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7B710C73-D5BE-42BA-B4EA-3007639B1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00"/>
  <sheetViews>
    <sheetView workbookViewId="0">
      <selection sqref="A1:J1"/>
    </sheetView>
  </sheetViews>
  <sheetFormatPr defaultColWidth="12.625" defaultRowHeight="15" customHeight="1"/>
  <cols>
    <col min="1" max="1" width="16.125" customWidth="1"/>
    <col min="2" max="2" width="12.75" customWidth="1"/>
    <col min="3" max="3" width="12" customWidth="1"/>
    <col min="4" max="4" width="12" hidden="1" customWidth="1"/>
    <col min="5" max="5" width="0.125" hidden="1" customWidth="1"/>
    <col min="6" max="8" width="12" customWidth="1"/>
    <col min="9" max="9" width="11.125" customWidth="1"/>
    <col min="10" max="10" width="12" customWidth="1"/>
    <col min="11" max="11" width="10.75" hidden="1" customWidth="1"/>
    <col min="12" max="12" width="10.625" hidden="1" customWidth="1"/>
    <col min="13" max="13" width="15.5" customWidth="1"/>
    <col min="14" max="14" width="13.375" customWidth="1"/>
    <col min="15" max="15" width="12" customWidth="1"/>
    <col min="16" max="16" width="12" hidden="1" customWidth="1"/>
    <col min="17" max="20" width="12" customWidth="1"/>
    <col min="21" max="21" width="12.5" customWidth="1"/>
    <col min="22" max="22" width="11.375" hidden="1" customWidth="1"/>
    <col min="23" max="23" width="15.625" customWidth="1"/>
    <col min="24" max="24" width="15.5" customWidth="1"/>
    <col min="25" max="25" width="12" customWidth="1"/>
    <col min="26" max="26" width="12" hidden="1" customWidth="1"/>
    <col min="27" max="30" width="12" customWidth="1"/>
    <col min="31" max="31" width="15.125" customWidth="1"/>
  </cols>
  <sheetData>
    <row r="1" spans="1:31" ht="20.25" customHeight="1">
      <c r="A1" s="935" t="s">
        <v>0</v>
      </c>
      <c r="B1" s="936"/>
      <c r="C1" s="936"/>
      <c r="D1" s="936"/>
      <c r="E1" s="936"/>
      <c r="F1" s="936"/>
      <c r="G1" s="936"/>
      <c r="H1" s="936"/>
      <c r="I1" s="936"/>
      <c r="J1" s="937"/>
      <c r="K1" s="1"/>
      <c r="L1" s="2"/>
      <c r="M1" s="935" t="str">
        <f>A1</f>
        <v>Capex review on FG 2020-21 (Preliminary)</v>
      </c>
      <c r="N1" s="936"/>
      <c r="O1" s="936"/>
      <c r="P1" s="936"/>
      <c r="Q1" s="936"/>
      <c r="R1" s="936"/>
      <c r="S1" s="936"/>
      <c r="T1" s="936"/>
      <c r="U1" s="936"/>
      <c r="V1" s="937"/>
      <c r="W1" s="938" t="str">
        <f>M1</f>
        <v>Capex review on FG 2020-21 (Preliminary)</v>
      </c>
      <c r="X1" s="931"/>
      <c r="Y1" s="931"/>
      <c r="Z1" s="931"/>
      <c r="AA1" s="931"/>
      <c r="AB1" s="931"/>
      <c r="AC1" s="931"/>
      <c r="AD1" s="931"/>
      <c r="AE1" s="932"/>
    </row>
    <row r="2" spans="1:31" ht="17.25" customHeight="1">
      <c r="A2" s="939" t="s">
        <v>1</v>
      </c>
      <c r="B2" s="940"/>
      <c r="C2" s="940"/>
      <c r="D2" s="940"/>
      <c r="E2" s="940"/>
      <c r="F2" s="940"/>
      <c r="G2" s="940"/>
      <c r="H2" s="940"/>
      <c r="I2" s="933" t="s">
        <v>2</v>
      </c>
      <c r="J2" s="934"/>
      <c r="K2" s="3"/>
      <c r="L2" s="4"/>
      <c r="M2" s="941" t="s">
        <v>3</v>
      </c>
      <c r="N2" s="931"/>
      <c r="O2" s="931"/>
      <c r="P2" s="931"/>
      <c r="Q2" s="931"/>
      <c r="R2" s="931"/>
      <c r="S2" s="931"/>
      <c r="T2" s="942" t="str">
        <f>I2</f>
        <v>( ` in thousands )</v>
      </c>
      <c r="U2" s="934"/>
      <c r="V2" s="5"/>
      <c r="W2" s="930" t="s">
        <v>4</v>
      </c>
      <c r="X2" s="931"/>
      <c r="Y2" s="931"/>
      <c r="Z2" s="931"/>
      <c r="AA2" s="931"/>
      <c r="AB2" s="931"/>
      <c r="AC2" s="932"/>
      <c r="AD2" s="933" t="s">
        <v>5</v>
      </c>
      <c r="AE2" s="934"/>
    </row>
    <row r="3" spans="1:31" ht="52.5" customHeight="1">
      <c r="A3" s="943" t="s">
        <v>6</v>
      </c>
      <c r="B3" s="944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  <c r="H3" s="8" t="s">
        <v>13</v>
      </c>
      <c r="I3" s="8" t="s">
        <v>14</v>
      </c>
      <c r="J3" s="9" t="s">
        <v>15</v>
      </c>
      <c r="K3" s="10" t="s">
        <v>16</v>
      </c>
      <c r="L3" s="6" t="s">
        <v>17</v>
      </c>
      <c r="M3" s="946" t="s">
        <v>6</v>
      </c>
      <c r="N3" s="944" t="s">
        <v>7</v>
      </c>
      <c r="O3" s="6" t="s">
        <v>8</v>
      </c>
      <c r="P3" s="6" t="s">
        <v>18</v>
      </c>
      <c r="Q3" s="6" t="s">
        <v>11</v>
      </c>
      <c r="R3" s="7" t="s">
        <v>12</v>
      </c>
      <c r="S3" s="6" t="str">
        <f>H3</f>
        <v>Actual upto March-2021</v>
      </c>
      <c r="T3" s="6" t="s">
        <v>14</v>
      </c>
      <c r="U3" s="11" t="s">
        <v>15</v>
      </c>
      <c r="V3" s="6" t="s">
        <v>17</v>
      </c>
      <c r="W3" s="946" t="s">
        <v>6</v>
      </c>
      <c r="X3" s="944" t="s">
        <v>7</v>
      </c>
      <c r="Y3" s="6" t="s">
        <v>8</v>
      </c>
      <c r="Z3" s="6" t="s">
        <v>18</v>
      </c>
      <c r="AA3" s="6" t="s">
        <v>11</v>
      </c>
      <c r="AB3" s="7" t="s">
        <v>12</v>
      </c>
      <c r="AC3" s="6" t="str">
        <f>S3</f>
        <v>Actual upto March-2021</v>
      </c>
      <c r="AD3" s="6" t="s">
        <v>14</v>
      </c>
      <c r="AE3" s="11" t="s">
        <v>15</v>
      </c>
    </row>
    <row r="4" spans="1:31" ht="17.25" customHeight="1">
      <c r="A4" s="918"/>
      <c r="B4" s="945"/>
      <c r="C4" s="12" t="s">
        <v>19</v>
      </c>
      <c r="D4" s="12" t="s">
        <v>19</v>
      </c>
      <c r="E4" s="12" t="s">
        <v>19</v>
      </c>
      <c r="F4" s="12" t="s">
        <v>19</v>
      </c>
      <c r="G4" s="13" t="s">
        <v>19</v>
      </c>
      <c r="H4" s="14" t="s">
        <v>19</v>
      </c>
      <c r="I4" s="14" t="s">
        <v>19</v>
      </c>
      <c r="J4" s="15"/>
      <c r="K4" s="16" t="s">
        <v>19</v>
      </c>
      <c r="L4" s="12" t="s">
        <v>19</v>
      </c>
      <c r="M4" s="922"/>
      <c r="N4" s="945"/>
      <c r="O4" s="12" t="s">
        <v>19</v>
      </c>
      <c r="P4" s="12" t="s">
        <v>19</v>
      </c>
      <c r="Q4" s="12" t="s">
        <v>19</v>
      </c>
      <c r="R4" s="13" t="s">
        <v>19</v>
      </c>
      <c r="S4" s="12" t="s">
        <v>19</v>
      </c>
      <c r="T4" s="12" t="s">
        <v>19</v>
      </c>
      <c r="U4" s="12"/>
      <c r="V4" s="12" t="s">
        <v>19</v>
      </c>
      <c r="W4" s="922"/>
      <c r="X4" s="945"/>
      <c r="Y4" s="12" t="s">
        <v>19</v>
      </c>
      <c r="Z4" s="12" t="s">
        <v>19</v>
      </c>
      <c r="AA4" s="12" t="s">
        <v>19</v>
      </c>
      <c r="AB4" s="13" t="s">
        <v>19</v>
      </c>
      <c r="AC4" s="12" t="s">
        <v>19</v>
      </c>
      <c r="AD4" s="12" t="s">
        <v>19</v>
      </c>
      <c r="AE4" s="12"/>
    </row>
    <row r="5" spans="1:31" ht="17.25" customHeight="1">
      <c r="A5" s="916" t="s">
        <v>20</v>
      </c>
      <c r="B5" s="17" t="s">
        <v>21</v>
      </c>
      <c r="C5" s="18">
        <v>3</v>
      </c>
      <c r="D5" s="18">
        <v>3</v>
      </c>
      <c r="E5" s="18">
        <v>50057</v>
      </c>
      <c r="F5" s="18">
        <v>0</v>
      </c>
      <c r="G5" s="19">
        <v>0</v>
      </c>
      <c r="H5" s="20">
        <v>0</v>
      </c>
      <c r="I5" s="20">
        <f>H5-F5</f>
        <v>0</v>
      </c>
      <c r="J5" s="21">
        <v>0</v>
      </c>
      <c r="K5" s="22">
        <f t="shared" ref="K5:K7" si="0">F5-E5</f>
        <v>-50057</v>
      </c>
      <c r="L5" s="18">
        <f t="shared" ref="L5:L7" si="1">F5-D5</f>
        <v>-3</v>
      </c>
      <c r="M5" s="920" t="s">
        <v>20</v>
      </c>
      <c r="N5" s="17" t="s">
        <v>21</v>
      </c>
      <c r="O5" s="18">
        <v>3</v>
      </c>
      <c r="P5" s="18">
        <v>3</v>
      </c>
      <c r="Q5" s="18">
        <v>0</v>
      </c>
      <c r="R5" s="19">
        <v>0</v>
      </c>
      <c r="S5" s="18">
        <v>0</v>
      </c>
      <c r="T5" s="18">
        <f>S5-Q5</f>
        <v>0</v>
      </c>
      <c r="U5" s="23">
        <v>0</v>
      </c>
      <c r="V5" s="18">
        <f t="shared" ref="V5:V9" si="2">Q5-P5</f>
        <v>-3</v>
      </c>
      <c r="W5" s="920" t="s">
        <v>20</v>
      </c>
      <c r="X5" s="17" t="s">
        <v>21</v>
      </c>
      <c r="Y5" s="18">
        <f t="shared" ref="Y5:Z5" si="3">C5-O5</f>
        <v>0</v>
      </c>
      <c r="Z5" s="18">
        <f t="shared" si="3"/>
        <v>0</v>
      </c>
      <c r="AA5" s="18">
        <f t="shared" ref="AA5:AC5" si="4">F5-Q5</f>
        <v>0</v>
      </c>
      <c r="AB5" s="18">
        <f t="shared" si="4"/>
        <v>0</v>
      </c>
      <c r="AC5" s="18">
        <f t="shared" si="4"/>
        <v>0</v>
      </c>
      <c r="AD5" s="18">
        <f t="shared" ref="AD5:AD151" si="5">AC5-AB5</f>
        <v>0</v>
      </c>
      <c r="AE5" s="23" t="e">
        <f t="shared" ref="AE5:AE151" si="6">AC5/AB5*100</f>
        <v>#DIV/0!</v>
      </c>
    </row>
    <row r="6" spans="1:31" ht="17.25" customHeight="1">
      <c r="A6" s="917"/>
      <c r="B6" s="17" t="s">
        <v>22</v>
      </c>
      <c r="C6" s="18">
        <v>20000</v>
      </c>
      <c r="D6" s="18">
        <v>20000</v>
      </c>
      <c r="E6" s="18">
        <v>15000</v>
      </c>
      <c r="F6" s="18">
        <v>15000</v>
      </c>
      <c r="G6" s="19">
        <v>21774</v>
      </c>
      <c r="H6" s="20">
        <v>11774</v>
      </c>
      <c r="I6" s="20">
        <f t="shared" ref="I6:I8" si="7">H6-G6</f>
        <v>-10000</v>
      </c>
      <c r="J6" s="21">
        <f>H6/G6*100</f>
        <v>54.073665839992657</v>
      </c>
      <c r="K6" s="22">
        <f t="shared" si="0"/>
        <v>0</v>
      </c>
      <c r="L6" s="18">
        <f t="shared" si="1"/>
        <v>-5000</v>
      </c>
      <c r="M6" s="921"/>
      <c r="N6" s="17" t="s">
        <v>22</v>
      </c>
      <c r="O6" s="18">
        <v>20000</v>
      </c>
      <c r="P6" s="18">
        <v>20000</v>
      </c>
      <c r="Q6" s="18">
        <v>15000</v>
      </c>
      <c r="R6" s="19">
        <v>21774</v>
      </c>
      <c r="S6" s="18">
        <v>11774</v>
      </c>
      <c r="T6" s="18">
        <f t="shared" ref="T6:T8" si="8">S6-R6</f>
        <v>-10000</v>
      </c>
      <c r="U6" s="23">
        <f>S6/R6*100</f>
        <v>54.073665839992657</v>
      </c>
      <c r="V6" s="18">
        <f t="shared" si="2"/>
        <v>-5000</v>
      </c>
      <c r="W6" s="921"/>
      <c r="X6" s="17" t="s">
        <v>22</v>
      </c>
      <c r="Y6" s="18">
        <f t="shared" ref="Y6:Z6" si="9">C6-O6</f>
        <v>0</v>
      </c>
      <c r="Z6" s="18">
        <f t="shared" si="9"/>
        <v>0</v>
      </c>
      <c r="AA6" s="18">
        <f t="shared" ref="AA6:AC6" si="10">F6-Q6</f>
        <v>0</v>
      </c>
      <c r="AB6" s="18">
        <f t="shared" si="10"/>
        <v>0</v>
      </c>
      <c r="AC6" s="18">
        <f t="shared" si="10"/>
        <v>0</v>
      </c>
      <c r="AD6" s="18">
        <f t="shared" si="5"/>
        <v>0</v>
      </c>
      <c r="AE6" s="23" t="e">
        <f t="shared" si="6"/>
        <v>#DIV/0!</v>
      </c>
    </row>
    <row r="7" spans="1:31" ht="17.25" customHeight="1">
      <c r="A7" s="917"/>
      <c r="B7" s="17" t="s">
        <v>23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0">
        <v>0</v>
      </c>
      <c r="I7" s="20">
        <f t="shared" si="7"/>
        <v>0</v>
      </c>
      <c r="J7" s="21">
        <v>0</v>
      </c>
      <c r="K7" s="22">
        <f t="shared" si="0"/>
        <v>0</v>
      </c>
      <c r="L7" s="18">
        <f t="shared" si="1"/>
        <v>0</v>
      </c>
      <c r="M7" s="921"/>
      <c r="N7" s="17" t="s">
        <v>23</v>
      </c>
      <c r="O7" s="18">
        <v>0</v>
      </c>
      <c r="P7" s="18">
        <v>0</v>
      </c>
      <c r="Q7" s="18">
        <v>0</v>
      </c>
      <c r="R7" s="19">
        <v>0</v>
      </c>
      <c r="S7" s="18">
        <v>0</v>
      </c>
      <c r="T7" s="18">
        <f t="shared" si="8"/>
        <v>0</v>
      </c>
      <c r="U7" s="23">
        <v>0</v>
      </c>
      <c r="V7" s="18">
        <f t="shared" si="2"/>
        <v>0</v>
      </c>
      <c r="W7" s="921"/>
      <c r="X7" s="17" t="s">
        <v>23</v>
      </c>
      <c r="Y7" s="18">
        <f t="shared" ref="Y7:Z7" si="11">C7-O7</f>
        <v>0</v>
      </c>
      <c r="Z7" s="18">
        <f t="shared" si="11"/>
        <v>0</v>
      </c>
      <c r="AA7" s="18">
        <f t="shared" ref="AA7:AC7" si="12">F7-Q7</f>
        <v>0</v>
      </c>
      <c r="AB7" s="18">
        <f t="shared" si="12"/>
        <v>0</v>
      </c>
      <c r="AC7" s="18">
        <f t="shared" si="12"/>
        <v>0</v>
      </c>
      <c r="AD7" s="18">
        <f t="shared" si="5"/>
        <v>0</v>
      </c>
      <c r="AE7" s="23" t="e">
        <f t="shared" si="6"/>
        <v>#DIV/0!</v>
      </c>
    </row>
    <row r="8" spans="1:31" ht="17.25" customHeight="1">
      <c r="A8" s="917"/>
      <c r="B8" s="17" t="s">
        <v>24</v>
      </c>
      <c r="C8" s="18">
        <v>0</v>
      </c>
      <c r="D8" s="18"/>
      <c r="E8" s="18"/>
      <c r="F8" s="18">
        <v>65100</v>
      </c>
      <c r="G8" s="19">
        <v>60000</v>
      </c>
      <c r="H8" s="20">
        <v>25688</v>
      </c>
      <c r="I8" s="20">
        <f t="shared" si="7"/>
        <v>-34312</v>
      </c>
      <c r="J8" s="21">
        <f t="shared" ref="J8:L8" si="13">H8/G8*100</f>
        <v>42.813333333333333</v>
      </c>
      <c r="K8" s="24">
        <f t="shared" si="13"/>
        <v>-133.57209592027405</v>
      </c>
      <c r="L8" s="24">
        <f t="shared" si="13"/>
        <v>-0.12477656019274112</v>
      </c>
      <c r="M8" s="921"/>
      <c r="N8" s="17" t="s">
        <v>24</v>
      </c>
      <c r="O8" s="18">
        <v>0</v>
      </c>
      <c r="P8" s="18"/>
      <c r="Q8" s="18">
        <v>65100</v>
      </c>
      <c r="R8" s="19">
        <v>60000</v>
      </c>
      <c r="S8" s="18">
        <v>25688</v>
      </c>
      <c r="T8" s="18">
        <f t="shared" si="8"/>
        <v>-34312</v>
      </c>
      <c r="U8" s="23">
        <f t="shared" ref="U8:U9" si="14">S8/R8*100</f>
        <v>42.813333333333333</v>
      </c>
      <c r="V8" s="18">
        <f t="shared" si="2"/>
        <v>65100</v>
      </c>
      <c r="W8" s="921"/>
      <c r="X8" s="17" t="s">
        <v>24</v>
      </c>
      <c r="Y8" s="18">
        <f t="shared" ref="Y8:Z8" si="15">C8-O8</f>
        <v>0</v>
      </c>
      <c r="Z8" s="18">
        <f t="shared" si="15"/>
        <v>0</v>
      </c>
      <c r="AA8" s="18">
        <f t="shared" ref="AA8:AC8" si="16">F8-Q8</f>
        <v>0</v>
      </c>
      <c r="AB8" s="18">
        <f t="shared" si="16"/>
        <v>0</v>
      </c>
      <c r="AC8" s="18">
        <f t="shared" si="16"/>
        <v>0</v>
      </c>
      <c r="AD8" s="18">
        <f t="shared" si="5"/>
        <v>0</v>
      </c>
      <c r="AE8" s="23" t="e">
        <f t="shared" si="6"/>
        <v>#DIV/0!</v>
      </c>
    </row>
    <row r="9" spans="1:31" ht="17.25" customHeight="1">
      <c r="A9" s="918"/>
      <c r="B9" s="25" t="s">
        <v>25</v>
      </c>
      <c r="C9" s="26">
        <f t="shared" ref="C9:I9" si="17">SUM(C5:C8)</f>
        <v>20003</v>
      </c>
      <c r="D9" s="26">
        <f t="shared" si="17"/>
        <v>20003</v>
      </c>
      <c r="E9" s="26">
        <f t="shared" si="17"/>
        <v>65057</v>
      </c>
      <c r="F9" s="26">
        <f t="shared" si="17"/>
        <v>80100</v>
      </c>
      <c r="G9" s="27">
        <f t="shared" si="17"/>
        <v>81774</v>
      </c>
      <c r="H9" s="28">
        <f t="shared" si="17"/>
        <v>37462</v>
      </c>
      <c r="I9" s="28">
        <f t="shared" si="17"/>
        <v>-44312</v>
      </c>
      <c r="J9" s="23">
        <f>H9/G9*100</f>
        <v>45.811627167559372</v>
      </c>
      <c r="K9" s="29">
        <f>F9-E9</f>
        <v>15043</v>
      </c>
      <c r="L9" s="26">
        <f>F9-D9</f>
        <v>60097</v>
      </c>
      <c r="M9" s="922"/>
      <c r="N9" s="25" t="s">
        <v>25</v>
      </c>
      <c r="O9" s="26">
        <f t="shared" ref="O9:T9" si="18">SUM(O5:O8)</f>
        <v>20003</v>
      </c>
      <c r="P9" s="26">
        <f t="shared" si="18"/>
        <v>20003</v>
      </c>
      <c r="Q9" s="26">
        <f t="shared" si="18"/>
        <v>80100</v>
      </c>
      <c r="R9" s="27">
        <f t="shared" si="18"/>
        <v>81774</v>
      </c>
      <c r="S9" s="26">
        <f t="shared" si="18"/>
        <v>37462</v>
      </c>
      <c r="T9" s="26">
        <f t="shared" si="18"/>
        <v>-44312</v>
      </c>
      <c r="U9" s="23">
        <f t="shared" si="14"/>
        <v>45.811627167559372</v>
      </c>
      <c r="V9" s="26">
        <f t="shared" si="2"/>
        <v>60097</v>
      </c>
      <c r="W9" s="922"/>
      <c r="X9" s="25" t="s">
        <v>25</v>
      </c>
      <c r="Y9" s="26">
        <f t="shared" ref="Y9:AA9" si="19">SUM(Y5:Y8)</f>
        <v>0</v>
      </c>
      <c r="Z9" s="26">
        <f t="shared" si="19"/>
        <v>0</v>
      </c>
      <c r="AA9" s="26">
        <f t="shared" si="19"/>
        <v>0</v>
      </c>
      <c r="AB9" s="18">
        <f t="shared" ref="AB9:AC9" si="20">G9-R9</f>
        <v>0</v>
      </c>
      <c r="AC9" s="18">
        <f t="shared" si="20"/>
        <v>0</v>
      </c>
      <c r="AD9" s="18">
        <f t="shared" si="5"/>
        <v>0</v>
      </c>
      <c r="AE9" s="23" t="e">
        <f t="shared" si="6"/>
        <v>#DIV/0!</v>
      </c>
    </row>
    <row r="10" spans="1:31" ht="9" customHeight="1">
      <c r="A10" s="30"/>
      <c r="B10" s="31"/>
      <c r="C10" s="32"/>
      <c r="D10" s="32"/>
      <c r="E10" s="32"/>
      <c r="F10" s="32"/>
      <c r="G10" s="33"/>
      <c r="H10" s="34"/>
      <c r="I10" s="34"/>
      <c r="J10" s="35"/>
      <c r="K10" s="36"/>
      <c r="L10" s="32"/>
      <c r="M10" s="37"/>
      <c r="N10" s="31"/>
      <c r="O10" s="32"/>
      <c r="P10" s="32"/>
      <c r="Q10" s="32"/>
      <c r="R10" s="33"/>
      <c r="S10" s="32"/>
      <c r="T10" s="32"/>
      <c r="U10" s="38"/>
      <c r="V10" s="32"/>
      <c r="W10" s="37"/>
      <c r="X10" s="31"/>
      <c r="Y10" s="32"/>
      <c r="Z10" s="32"/>
      <c r="AA10" s="32"/>
      <c r="AB10" s="18">
        <f t="shared" ref="AB10:AC10" si="21">G10-R10</f>
        <v>0</v>
      </c>
      <c r="AC10" s="18">
        <f t="shared" si="21"/>
        <v>0</v>
      </c>
      <c r="AD10" s="18">
        <f t="shared" si="5"/>
        <v>0</v>
      </c>
      <c r="AE10" s="23" t="e">
        <f t="shared" si="6"/>
        <v>#DIV/0!</v>
      </c>
    </row>
    <row r="11" spans="1:31" ht="17.25" customHeight="1">
      <c r="A11" s="916" t="s">
        <v>26</v>
      </c>
      <c r="B11" s="17" t="s">
        <v>21</v>
      </c>
      <c r="C11" s="18">
        <v>1500001</v>
      </c>
      <c r="D11" s="18">
        <v>1500001</v>
      </c>
      <c r="E11" s="18">
        <v>2496106</v>
      </c>
      <c r="F11" s="18">
        <v>0</v>
      </c>
      <c r="G11" s="19">
        <v>0</v>
      </c>
      <c r="H11" s="20">
        <v>400000</v>
      </c>
      <c r="I11" s="20">
        <f t="shared" ref="I11:I12" si="22">H11-G11</f>
        <v>400000</v>
      </c>
      <c r="J11" s="21">
        <v>0</v>
      </c>
      <c r="K11" s="22">
        <f t="shared" ref="K11:K13" si="23">F11-E11</f>
        <v>-2496106</v>
      </c>
      <c r="L11" s="18">
        <f t="shared" ref="L11:L13" si="24">F11-D11</f>
        <v>-1500001</v>
      </c>
      <c r="M11" s="920" t="s">
        <v>26</v>
      </c>
      <c r="N11" s="17" t="s">
        <v>21</v>
      </c>
      <c r="O11" s="18">
        <v>1500001</v>
      </c>
      <c r="P11" s="18">
        <v>1500001</v>
      </c>
      <c r="Q11" s="18">
        <v>0</v>
      </c>
      <c r="R11" s="19">
        <v>0</v>
      </c>
      <c r="S11" s="18">
        <v>400000</v>
      </c>
      <c r="T11" s="18">
        <f t="shared" ref="T11:T12" si="25">S11-R11</f>
        <v>400000</v>
      </c>
      <c r="U11" s="23">
        <v>0</v>
      </c>
      <c r="V11" s="18">
        <f t="shared" ref="V11:V13" si="26">Q11-P11</f>
        <v>-1500001</v>
      </c>
      <c r="W11" s="920" t="s">
        <v>26</v>
      </c>
      <c r="X11" s="17" t="s">
        <v>21</v>
      </c>
      <c r="Y11" s="18">
        <f t="shared" ref="Y11:Z11" si="27">C11-O11</f>
        <v>0</v>
      </c>
      <c r="Z11" s="18">
        <f t="shared" si="27"/>
        <v>0</v>
      </c>
      <c r="AA11" s="18">
        <f t="shared" ref="AA11:AC11" si="28">F11-Q11</f>
        <v>0</v>
      </c>
      <c r="AB11" s="18">
        <f t="shared" si="28"/>
        <v>0</v>
      </c>
      <c r="AC11" s="18">
        <f t="shared" si="28"/>
        <v>0</v>
      </c>
      <c r="AD11" s="18">
        <f t="shared" si="5"/>
        <v>0</v>
      </c>
      <c r="AE11" s="23" t="e">
        <f t="shared" si="6"/>
        <v>#DIV/0!</v>
      </c>
    </row>
    <row r="12" spans="1:31" ht="17.25" customHeight="1">
      <c r="A12" s="917"/>
      <c r="B12" s="17" t="s">
        <v>24</v>
      </c>
      <c r="C12" s="18">
        <v>0</v>
      </c>
      <c r="D12" s="18"/>
      <c r="E12" s="18"/>
      <c r="F12" s="18">
        <v>1250000</v>
      </c>
      <c r="G12" s="19">
        <v>187500</v>
      </c>
      <c r="H12" s="20">
        <v>180911</v>
      </c>
      <c r="I12" s="20">
        <f t="shared" si="22"/>
        <v>-6589</v>
      </c>
      <c r="J12" s="21">
        <f t="shared" ref="J12:J13" si="29">H12/G12*100</f>
        <v>96.485866666666666</v>
      </c>
      <c r="K12" s="22">
        <f t="shared" si="23"/>
        <v>1250000</v>
      </c>
      <c r="L12" s="18">
        <f t="shared" si="24"/>
        <v>1250000</v>
      </c>
      <c r="M12" s="921"/>
      <c r="N12" s="17" t="s">
        <v>24</v>
      </c>
      <c r="O12" s="18"/>
      <c r="P12" s="18"/>
      <c r="Q12" s="18">
        <v>1250000</v>
      </c>
      <c r="R12" s="19">
        <v>187500</v>
      </c>
      <c r="S12" s="18">
        <v>180911</v>
      </c>
      <c r="T12" s="18">
        <f t="shared" si="25"/>
        <v>-6589</v>
      </c>
      <c r="U12" s="23">
        <f t="shared" ref="U12:U13" si="30">S12/R12*100</f>
        <v>96.485866666666666</v>
      </c>
      <c r="V12" s="18">
        <f t="shared" si="26"/>
        <v>1250000</v>
      </c>
      <c r="W12" s="921"/>
      <c r="X12" s="17" t="s">
        <v>24</v>
      </c>
      <c r="Y12" s="18">
        <f t="shared" ref="Y12:Z12" si="31">C12-O12</f>
        <v>0</v>
      </c>
      <c r="Z12" s="18">
        <f t="shared" si="31"/>
        <v>0</v>
      </c>
      <c r="AA12" s="18">
        <f t="shared" ref="AA12:AC12" si="32">F12-Q12</f>
        <v>0</v>
      </c>
      <c r="AB12" s="18">
        <f t="shared" si="32"/>
        <v>0</v>
      </c>
      <c r="AC12" s="18">
        <f t="shared" si="32"/>
        <v>0</v>
      </c>
      <c r="AD12" s="18">
        <f t="shared" si="5"/>
        <v>0</v>
      </c>
      <c r="AE12" s="23" t="e">
        <f t="shared" si="6"/>
        <v>#DIV/0!</v>
      </c>
    </row>
    <row r="13" spans="1:31" ht="17.25" customHeight="1">
      <c r="A13" s="918"/>
      <c r="B13" s="25" t="s">
        <v>25</v>
      </c>
      <c r="C13" s="26">
        <f t="shared" ref="C13:I13" si="33">SUM(C11:C12)</f>
        <v>1500001</v>
      </c>
      <c r="D13" s="26">
        <f t="shared" si="33"/>
        <v>1500001</v>
      </c>
      <c r="E13" s="26">
        <f t="shared" si="33"/>
        <v>2496106</v>
      </c>
      <c r="F13" s="26">
        <f t="shared" si="33"/>
        <v>1250000</v>
      </c>
      <c r="G13" s="27">
        <f t="shared" si="33"/>
        <v>187500</v>
      </c>
      <c r="H13" s="28">
        <f t="shared" si="33"/>
        <v>580911</v>
      </c>
      <c r="I13" s="28">
        <f t="shared" si="33"/>
        <v>393411</v>
      </c>
      <c r="J13" s="23">
        <f t="shared" si="29"/>
        <v>309.81920000000002</v>
      </c>
      <c r="K13" s="29">
        <f t="shared" si="23"/>
        <v>-1246106</v>
      </c>
      <c r="L13" s="26">
        <f t="shared" si="24"/>
        <v>-250001</v>
      </c>
      <c r="M13" s="922"/>
      <c r="N13" s="25" t="s">
        <v>25</v>
      </c>
      <c r="O13" s="26">
        <f t="shared" ref="O13:T13" si="34">SUM(O11:O12)</f>
        <v>1500001</v>
      </c>
      <c r="P13" s="26">
        <f t="shared" si="34"/>
        <v>1500001</v>
      </c>
      <c r="Q13" s="26">
        <f t="shared" si="34"/>
        <v>1250000</v>
      </c>
      <c r="R13" s="27">
        <f t="shared" si="34"/>
        <v>187500</v>
      </c>
      <c r="S13" s="26">
        <f t="shared" si="34"/>
        <v>580911</v>
      </c>
      <c r="T13" s="26">
        <f t="shared" si="34"/>
        <v>393411</v>
      </c>
      <c r="U13" s="23">
        <f t="shared" si="30"/>
        <v>309.81920000000002</v>
      </c>
      <c r="V13" s="26">
        <f t="shared" si="26"/>
        <v>-250001</v>
      </c>
      <c r="W13" s="922"/>
      <c r="X13" s="25" t="s">
        <v>25</v>
      </c>
      <c r="Y13" s="26">
        <f t="shared" ref="Y13:AA13" si="35">SUM(Y11:Y12)</f>
        <v>0</v>
      </c>
      <c r="Z13" s="26">
        <f t="shared" si="35"/>
        <v>0</v>
      </c>
      <c r="AA13" s="26">
        <f t="shared" si="35"/>
        <v>0</v>
      </c>
      <c r="AB13" s="18">
        <f t="shared" ref="AB13:AC13" si="36">G13-R13</f>
        <v>0</v>
      </c>
      <c r="AC13" s="18">
        <f t="shared" si="36"/>
        <v>0</v>
      </c>
      <c r="AD13" s="18">
        <f t="shared" si="5"/>
        <v>0</v>
      </c>
      <c r="AE13" s="23" t="e">
        <f t="shared" si="6"/>
        <v>#DIV/0!</v>
      </c>
    </row>
    <row r="14" spans="1:31" ht="9" customHeight="1">
      <c r="A14" s="30"/>
      <c r="B14" s="31"/>
      <c r="C14" s="32"/>
      <c r="D14" s="32"/>
      <c r="E14" s="32"/>
      <c r="F14" s="32"/>
      <c r="G14" s="32"/>
      <c r="H14" s="34"/>
      <c r="I14" s="34"/>
      <c r="J14" s="35"/>
      <c r="K14" s="36"/>
      <c r="L14" s="32"/>
      <c r="M14" s="37"/>
      <c r="N14" s="31"/>
      <c r="O14" s="32"/>
      <c r="P14" s="32"/>
      <c r="Q14" s="32"/>
      <c r="R14" s="32"/>
      <c r="S14" s="32"/>
      <c r="T14" s="32"/>
      <c r="U14" s="38"/>
      <c r="V14" s="32"/>
      <c r="W14" s="37"/>
      <c r="X14" s="31"/>
      <c r="Y14" s="32"/>
      <c r="Z14" s="32"/>
      <c r="AA14" s="32"/>
      <c r="AB14" s="18">
        <f t="shared" ref="AB14:AC14" si="37">G14-R14</f>
        <v>0</v>
      </c>
      <c r="AC14" s="18">
        <f t="shared" si="37"/>
        <v>0</v>
      </c>
      <c r="AD14" s="18">
        <f t="shared" si="5"/>
        <v>0</v>
      </c>
      <c r="AE14" s="23" t="e">
        <f t="shared" si="6"/>
        <v>#DIV/0!</v>
      </c>
    </row>
    <row r="15" spans="1:31" ht="17.25" customHeight="1">
      <c r="A15" s="916" t="s">
        <v>27</v>
      </c>
      <c r="B15" s="17" t="s">
        <v>21</v>
      </c>
      <c r="C15" s="18">
        <v>270000</v>
      </c>
      <c r="D15" s="18">
        <v>270000</v>
      </c>
      <c r="E15" s="18">
        <v>399772</v>
      </c>
      <c r="F15" s="18">
        <v>10000</v>
      </c>
      <c r="G15" s="19">
        <v>0</v>
      </c>
      <c r="H15" s="20">
        <v>6508</v>
      </c>
      <c r="I15" s="20">
        <f t="shared" ref="I15:I18" si="38">H15-G15</f>
        <v>6508</v>
      </c>
      <c r="J15" s="21">
        <v>0</v>
      </c>
      <c r="K15" s="22">
        <f t="shared" ref="K15:K19" si="39">F15-E15</f>
        <v>-389772</v>
      </c>
      <c r="L15" s="18">
        <f t="shared" ref="L15:L19" si="40">F15-D15</f>
        <v>-260000</v>
      </c>
      <c r="M15" s="920" t="s">
        <v>27</v>
      </c>
      <c r="N15" s="17" t="s">
        <v>21</v>
      </c>
      <c r="O15" s="18">
        <v>270000</v>
      </c>
      <c r="P15" s="18">
        <v>270000</v>
      </c>
      <c r="Q15" s="18">
        <v>10000</v>
      </c>
      <c r="R15" s="19">
        <v>0</v>
      </c>
      <c r="S15" s="18">
        <v>6508</v>
      </c>
      <c r="T15" s="18">
        <f t="shared" ref="T15:T18" si="41">S15-R15</f>
        <v>6508</v>
      </c>
      <c r="U15" s="23">
        <v>0</v>
      </c>
      <c r="V15" s="18">
        <f t="shared" ref="V15:V19" si="42">Q15-P15</f>
        <v>-260000</v>
      </c>
      <c r="W15" s="920" t="s">
        <v>27</v>
      </c>
      <c r="X15" s="17" t="s">
        <v>21</v>
      </c>
      <c r="Y15" s="18">
        <f t="shared" ref="Y15:Z15" si="43">C15-O15</f>
        <v>0</v>
      </c>
      <c r="Z15" s="18">
        <f t="shared" si="43"/>
        <v>0</v>
      </c>
      <c r="AA15" s="18">
        <f t="shared" ref="AA15:AC15" si="44">F15-Q15</f>
        <v>0</v>
      </c>
      <c r="AB15" s="18">
        <f t="shared" si="44"/>
        <v>0</v>
      </c>
      <c r="AC15" s="18">
        <f t="shared" si="44"/>
        <v>0</v>
      </c>
      <c r="AD15" s="18">
        <f t="shared" si="5"/>
        <v>0</v>
      </c>
      <c r="AE15" s="23" t="e">
        <f t="shared" si="6"/>
        <v>#DIV/0!</v>
      </c>
    </row>
    <row r="16" spans="1:31" ht="17.25" customHeight="1">
      <c r="A16" s="917"/>
      <c r="B16" s="17" t="s">
        <v>28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  <c r="I16" s="20">
        <f t="shared" si="38"/>
        <v>0</v>
      </c>
      <c r="J16" s="21">
        <v>0</v>
      </c>
      <c r="K16" s="22">
        <f t="shared" si="39"/>
        <v>0</v>
      </c>
      <c r="L16" s="18">
        <f t="shared" si="40"/>
        <v>0</v>
      </c>
      <c r="M16" s="921"/>
      <c r="N16" s="17" t="s">
        <v>28</v>
      </c>
      <c r="O16" s="18">
        <v>0</v>
      </c>
      <c r="P16" s="18">
        <v>0</v>
      </c>
      <c r="Q16" s="18">
        <v>0</v>
      </c>
      <c r="R16" s="19">
        <v>0</v>
      </c>
      <c r="S16" s="18">
        <v>0</v>
      </c>
      <c r="T16" s="18">
        <f t="shared" si="41"/>
        <v>0</v>
      </c>
      <c r="U16" s="23">
        <v>0</v>
      </c>
      <c r="V16" s="18">
        <f t="shared" si="42"/>
        <v>0</v>
      </c>
      <c r="W16" s="921"/>
      <c r="X16" s="17" t="s">
        <v>28</v>
      </c>
      <c r="Y16" s="18">
        <f t="shared" ref="Y16:Z16" si="45">C16-O16</f>
        <v>0</v>
      </c>
      <c r="Z16" s="18">
        <f t="shared" si="45"/>
        <v>0</v>
      </c>
      <c r="AA16" s="18">
        <f t="shared" ref="AA16:AC16" si="46">F16-Q16</f>
        <v>0</v>
      </c>
      <c r="AB16" s="18">
        <f t="shared" si="46"/>
        <v>0</v>
      </c>
      <c r="AC16" s="18">
        <f t="shared" si="46"/>
        <v>0</v>
      </c>
      <c r="AD16" s="18">
        <f t="shared" si="5"/>
        <v>0</v>
      </c>
      <c r="AE16" s="23" t="e">
        <f t="shared" si="6"/>
        <v>#DIV/0!</v>
      </c>
    </row>
    <row r="17" spans="1:31" ht="17.25" customHeight="1">
      <c r="A17" s="917"/>
      <c r="B17" s="17" t="s">
        <v>24</v>
      </c>
      <c r="C17" s="18"/>
      <c r="D17" s="18"/>
      <c r="E17" s="18"/>
      <c r="F17" s="18">
        <v>100000</v>
      </c>
      <c r="G17" s="19">
        <v>1630000</v>
      </c>
      <c r="H17" s="20">
        <v>1628658</v>
      </c>
      <c r="I17" s="20">
        <f t="shared" si="38"/>
        <v>-1342</v>
      </c>
      <c r="J17" s="21">
        <f t="shared" ref="J17:J19" si="47">H17/G17*100</f>
        <v>99.917668711656432</v>
      </c>
      <c r="K17" s="22">
        <f t="shared" si="39"/>
        <v>100000</v>
      </c>
      <c r="L17" s="18">
        <f t="shared" si="40"/>
        <v>100000</v>
      </c>
      <c r="M17" s="921"/>
      <c r="N17" s="17" t="s">
        <v>24</v>
      </c>
      <c r="O17" s="18">
        <v>0</v>
      </c>
      <c r="P17" s="18">
        <v>0</v>
      </c>
      <c r="Q17" s="18">
        <v>100000</v>
      </c>
      <c r="R17" s="19">
        <f>40000+1590000</f>
        <v>1630000</v>
      </c>
      <c r="S17" s="18">
        <f>38658+1590000</f>
        <v>1628658</v>
      </c>
      <c r="T17" s="18">
        <f t="shared" si="41"/>
        <v>-1342</v>
      </c>
      <c r="U17" s="23">
        <f t="shared" ref="U17:U19" si="48">S17/R17*100</f>
        <v>99.917668711656432</v>
      </c>
      <c r="V17" s="18">
        <f t="shared" si="42"/>
        <v>100000</v>
      </c>
      <c r="W17" s="921"/>
      <c r="X17" s="17" t="s">
        <v>24</v>
      </c>
      <c r="Y17" s="18">
        <f t="shared" ref="Y17:Z17" si="49">C17-O17</f>
        <v>0</v>
      </c>
      <c r="Z17" s="18">
        <f t="shared" si="49"/>
        <v>0</v>
      </c>
      <c r="AA17" s="18">
        <f t="shared" ref="AA17:AC17" si="50">F17-Q17</f>
        <v>0</v>
      </c>
      <c r="AB17" s="18">
        <f t="shared" si="50"/>
        <v>0</v>
      </c>
      <c r="AC17" s="18">
        <f t="shared" si="50"/>
        <v>0</v>
      </c>
      <c r="AD17" s="18">
        <f t="shared" si="5"/>
        <v>0</v>
      </c>
      <c r="AE17" s="23" t="e">
        <f t="shared" si="6"/>
        <v>#DIV/0!</v>
      </c>
    </row>
    <row r="18" spans="1:31" ht="17.25" customHeight="1">
      <c r="A18" s="917"/>
      <c r="B18" s="17" t="s">
        <v>29</v>
      </c>
      <c r="C18" s="18">
        <v>15476090</v>
      </c>
      <c r="D18" s="18">
        <v>15476090</v>
      </c>
      <c r="E18" s="18">
        <v>16656627</v>
      </c>
      <c r="F18" s="18">
        <v>12600000</v>
      </c>
      <c r="G18" s="19">
        <v>15100000</v>
      </c>
      <c r="H18" s="20">
        <v>13320517</v>
      </c>
      <c r="I18" s="20">
        <f t="shared" si="38"/>
        <v>-1779483</v>
      </c>
      <c r="J18" s="21">
        <f t="shared" si="47"/>
        <v>88.215344370860933</v>
      </c>
      <c r="K18" s="22">
        <f t="shared" si="39"/>
        <v>-4056627</v>
      </c>
      <c r="L18" s="18">
        <f t="shared" si="40"/>
        <v>-2876090</v>
      </c>
      <c r="M18" s="921"/>
      <c r="N18" s="17" t="s">
        <v>29</v>
      </c>
      <c r="O18" s="18">
        <v>15476090</v>
      </c>
      <c r="P18" s="18">
        <v>15476090</v>
      </c>
      <c r="Q18" s="18">
        <f>12600000-10000</f>
        <v>12590000</v>
      </c>
      <c r="R18" s="19">
        <f>3956500+11133500</f>
        <v>15090000</v>
      </c>
      <c r="S18" s="18">
        <f>4064620+9247000</f>
        <v>13311620</v>
      </c>
      <c r="T18" s="18">
        <f t="shared" si="41"/>
        <v>-1778380</v>
      </c>
      <c r="U18" s="23">
        <f t="shared" si="48"/>
        <v>88.21484426772696</v>
      </c>
      <c r="V18" s="18">
        <f t="shared" si="42"/>
        <v>-2886090</v>
      </c>
      <c r="W18" s="921"/>
      <c r="X18" s="17" t="s">
        <v>29</v>
      </c>
      <c r="Y18" s="18">
        <f t="shared" ref="Y18:Z18" si="51">C18-O18</f>
        <v>0</v>
      </c>
      <c r="Z18" s="18">
        <f t="shared" si="51"/>
        <v>0</v>
      </c>
      <c r="AA18" s="18">
        <f t="shared" ref="AA18:AC18" si="52">F18-Q18</f>
        <v>10000</v>
      </c>
      <c r="AB18" s="18">
        <f t="shared" si="52"/>
        <v>10000</v>
      </c>
      <c r="AC18" s="18">
        <f t="shared" si="52"/>
        <v>8897</v>
      </c>
      <c r="AD18" s="18">
        <f t="shared" si="5"/>
        <v>-1103</v>
      </c>
      <c r="AE18" s="23">
        <f t="shared" si="6"/>
        <v>88.97</v>
      </c>
    </row>
    <row r="19" spans="1:31" ht="17.25" customHeight="1">
      <c r="A19" s="918"/>
      <c r="B19" s="25" t="s">
        <v>25</v>
      </c>
      <c r="C19" s="26">
        <f t="shared" ref="C19:I19" si="53">SUM(C15:C18)</f>
        <v>15746090</v>
      </c>
      <c r="D19" s="26">
        <f t="shared" si="53"/>
        <v>15746090</v>
      </c>
      <c r="E19" s="26">
        <f t="shared" si="53"/>
        <v>17056399</v>
      </c>
      <c r="F19" s="26">
        <f t="shared" si="53"/>
        <v>12710000</v>
      </c>
      <c r="G19" s="27">
        <f t="shared" si="53"/>
        <v>16730000</v>
      </c>
      <c r="H19" s="28">
        <f t="shared" si="53"/>
        <v>14955683</v>
      </c>
      <c r="I19" s="28">
        <f t="shared" si="53"/>
        <v>-1774317</v>
      </c>
      <c r="J19" s="23">
        <f t="shared" si="47"/>
        <v>89.394399282725644</v>
      </c>
      <c r="K19" s="29">
        <f t="shared" si="39"/>
        <v>-4346399</v>
      </c>
      <c r="L19" s="26">
        <f t="shared" si="40"/>
        <v>-3036090</v>
      </c>
      <c r="M19" s="922"/>
      <c r="N19" s="25" t="s">
        <v>25</v>
      </c>
      <c r="O19" s="26">
        <f t="shared" ref="O19:T19" si="54">SUM(O15:O18)</f>
        <v>15746090</v>
      </c>
      <c r="P19" s="26">
        <f t="shared" si="54"/>
        <v>15746090</v>
      </c>
      <c r="Q19" s="26">
        <f t="shared" si="54"/>
        <v>12700000</v>
      </c>
      <c r="R19" s="27">
        <f t="shared" si="54"/>
        <v>16720000</v>
      </c>
      <c r="S19" s="26">
        <f t="shared" si="54"/>
        <v>14946786</v>
      </c>
      <c r="T19" s="26">
        <f t="shared" si="54"/>
        <v>-1773214</v>
      </c>
      <c r="U19" s="23">
        <f t="shared" si="48"/>
        <v>89.394653110047855</v>
      </c>
      <c r="V19" s="26">
        <f t="shared" si="42"/>
        <v>-3046090</v>
      </c>
      <c r="W19" s="922"/>
      <c r="X19" s="25" t="s">
        <v>25</v>
      </c>
      <c r="Y19" s="26">
        <f t="shared" ref="Y19:AA19" si="55">SUM(Y15:Y18)</f>
        <v>0</v>
      </c>
      <c r="Z19" s="26">
        <f t="shared" si="55"/>
        <v>0</v>
      </c>
      <c r="AA19" s="26">
        <f t="shared" si="55"/>
        <v>10000</v>
      </c>
      <c r="AB19" s="18">
        <f t="shared" ref="AB19:AC19" si="56">G19-R19</f>
        <v>10000</v>
      </c>
      <c r="AC19" s="18">
        <f t="shared" si="56"/>
        <v>8897</v>
      </c>
      <c r="AD19" s="18">
        <f t="shared" si="5"/>
        <v>-1103</v>
      </c>
      <c r="AE19" s="23">
        <f t="shared" si="6"/>
        <v>88.97</v>
      </c>
    </row>
    <row r="20" spans="1:31" ht="9" customHeight="1">
      <c r="A20" s="30"/>
      <c r="B20" s="31"/>
      <c r="C20" s="32"/>
      <c r="D20" s="32"/>
      <c r="E20" s="32"/>
      <c r="F20" s="32"/>
      <c r="G20" s="32"/>
      <c r="H20" s="34"/>
      <c r="I20" s="34"/>
      <c r="J20" s="35"/>
      <c r="K20" s="36"/>
      <c r="L20" s="32"/>
      <c r="M20" s="37"/>
      <c r="N20" s="31"/>
      <c r="O20" s="32"/>
      <c r="P20" s="32"/>
      <c r="Q20" s="32"/>
      <c r="R20" s="32"/>
      <c r="S20" s="32"/>
      <c r="T20" s="32"/>
      <c r="U20" s="38"/>
      <c r="V20" s="32"/>
      <c r="W20" s="37"/>
      <c r="X20" s="31"/>
      <c r="Y20" s="32"/>
      <c r="Z20" s="32"/>
      <c r="AA20" s="32"/>
      <c r="AB20" s="18">
        <f t="shared" ref="AB20:AC20" si="57">G20-R20</f>
        <v>0</v>
      </c>
      <c r="AC20" s="18">
        <f t="shared" si="57"/>
        <v>0</v>
      </c>
      <c r="AD20" s="18">
        <f t="shared" si="5"/>
        <v>0</v>
      </c>
      <c r="AE20" s="23" t="e">
        <f t="shared" si="6"/>
        <v>#DIV/0!</v>
      </c>
    </row>
    <row r="21" spans="1:31" ht="17.25" customHeight="1">
      <c r="A21" s="916" t="s">
        <v>30</v>
      </c>
      <c r="B21" s="17" t="s">
        <v>21</v>
      </c>
      <c r="C21" s="18">
        <v>346236</v>
      </c>
      <c r="D21" s="18">
        <v>346236</v>
      </c>
      <c r="E21" s="18">
        <v>780785</v>
      </c>
      <c r="F21" s="18">
        <v>0</v>
      </c>
      <c r="G21" s="19">
        <v>0</v>
      </c>
      <c r="H21" s="20">
        <v>18957</v>
      </c>
      <c r="I21" s="20">
        <f t="shared" ref="I21:I28" si="58">H21-G21</f>
        <v>18957</v>
      </c>
      <c r="J21" s="21">
        <v>0</v>
      </c>
      <c r="K21" s="22">
        <f t="shared" ref="K21:K29" si="59">F21-E21</f>
        <v>-780785</v>
      </c>
      <c r="L21" s="18">
        <f t="shared" ref="L21:L29" si="60">F21-D21</f>
        <v>-346236</v>
      </c>
      <c r="M21" s="920" t="s">
        <v>30</v>
      </c>
      <c r="N21" s="17" t="s">
        <v>21</v>
      </c>
      <c r="O21" s="18">
        <v>346236</v>
      </c>
      <c r="P21" s="18">
        <v>346236</v>
      </c>
      <c r="Q21" s="18">
        <v>0</v>
      </c>
      <c r="R21" s="19">
        <v>0</v>
      </c>
      <c r="S21" s="18">
        <v>18957</v>
      </c>
      <c r="T21" s="18">
        <f t="shared" ref="T21:T28" si="61">S21-R21</f>
        <v>18957</v>
      </c>
      <c r="U21" s="23">
        <v>0</v>
      </c>
      <c r="V21" s="18">
        <f t="shared" ref="V21:V29" si="62">Q21-P21</f>
        <v>-346236</v>
      </c>
      <c r="W21" s="920" t="s">
        <v>30</v>
      </c>
      <c r="X21" s="17" t="s">
        <v>21</v>
      </c>
      <c r="Y21" s="18">
        <f t="shared" ref="Y21:Z21" si="63">C21-O21</f>
        <v>0</v>
      </c>
      <c r="Z21" s="18">
        <f t="shared" si="63"/>
        <v>0</v>
      </c>
      <c r="AA21" s="18">
        <f t="shared" ref="AA21:AC21" si="64">F21-Q21</f>
        <v>0</v>
      </c>
      <c r="AB21" s="18">
        <f t="shared" si="64"/>
        <v>0</v>
      </c>
      <c r="AC21" s="18">
        <f t="shared" si="64"/>
        <v>0</v>
      </c>
      <c r="AD21" s="18">
        <f t="shared" si="5"/>
        <v>0</v>
      </c>
      <c r="AE21" s="23" t="e">
        <f t="shared" si="6"/>
        <v>#DIV/0!</v>
      </c>
    </row>
    <row r="22" spans="1:31" ht="17.25" customHeight="1">
      <c r="A22" s="917"/>
      <c r="B22" s="17" t="s">
        <v>28</v>
      </c>
      <c r="C22" s="18">
        <v>29001</v>
      </c>
      <c r="D22" s="18">
        <v>14501</v>
      </c>
      <c r="E22" s="18">
        <v>4305</v>
      </c>
      <c r="F22" s="18">
        <v>4305</v>
      </c>
      <c r="G22" s="19">
        <v>3295</v>
      </c>
      <c r="H22" s="20">
        <v>0</v>
      </c>
      <c r="I22" s="20">
        <f t="shared" si="58"/>
        <v>-3295</v>
      </c>
      <c r="J22" s="21">
        <f t="shared" ref="J22:J23" si="65">H22/G22*100</f>
        <v>0</v>
      </c>
      <c r="K22" s="22">
        <f t="shared" si="59"/>
        <v>0</v>
      </c>
      <c r="L22" s="18">
        <f t="shared" si="60"/>
        <v>-10196</v>
      </c>
      <c r="M22" s="921"/>
      <c r="N22" s="17" t="s">
        <v>28</v>
      </c>
      <c r="O22" s="18">
        <v>29001</v>
      </c>
      <c r="P22" s="18">
        <v>14501</v>
      </c>
      <c r="Q22" s="18">
        <v>0</v>
      </c>
      <c r="R22" s="19">
        <v>0</v>
      </c>
      <c r="S22" s="18">
        <v>0</v>
      </c>
      <c r="T22" s="18">
        <f t="shared" si="61"/>
        <v>0</v>
      </c>
      <c r="U22" s="23" t="e">
        <f t="shared" ref="U22:U23" si="66">S22/R22*100</f>
        <v>#DIV/0!</v>
      </c>
      <c r="V22" s="18">
        <f t="shared" si="62"/>
        <v>-14501</v>
      </c>
      <c r="W22" s="921"/>
      <c r="X22" s="17" t="s">
        <v>28</v>
      </c>
      <c r="Y22" s="18">
        <f t="shared" ref="Y22:Z22" si="67">C22-O22</f>
        <v>0</v>
      </c>
      <c r="Z22" s="18">
        <f t="shared" si="67"/>
        <v>0</v>
      </c>
      <c r="AA22" s="18">
        <f t="shared" ref="AA22:AC22" si="68">F22-Q22</f>
        <v>4305</v>
      </c>
      <c r="AB22" s="18">
        <f t="shared" si="68"/>
        <v>3295</v>
      </c>
      <c r="AC22" s="18">
        <f t="shared" si="68"/>
        <v>0</v>
      </c>
      <c r="AD22" s="18">
        <f t="shared" si="5"/>
        <v>-3295</v>
      </c>
      <c r="AE22" s="23">
        <f t="shared" si="6"/>
        <v>0</v>
      </c>
    </row>
    <row r="23" spans="1:31" ht="17.25" customHeight="1">
      <c r="A23" s="917"/>
      <c r="B23" s="17" t="s">
        <v>31</v>
      </c>
      <c r="C23" s="18">
        <v>165195</v>
      </c>
      <c r="D23" s="18">
        <v>82598</v>
      </c>
      <c r="E23" s="18">
        <v>244413</v>
      </c>
      <c r="F23" s="18">
        <v>80000</v>
      </c>
      <c r="G23" s="19">
        <v>74900</v>
      </c>
      <c r="H23" s="20">
        <v>54619</v>
      </c>
      <c r="I23" s="20">
        <f t="shared" si="58"/>
        <v>-20281</v>
      </c>
      <c r="J23" s="21">
        <f t="shared" si="65"/>
        <v>72.922563417890515</v>
      </c>
      <c r="K23" s="22">
        <f t="shared" si="59"/>
        <v>-164413</v>
      </c>
      <c r="L23" s="18">
        <f t="shared" si="60"/>
        <v>-2598</v>
      </c>
      <c r="M23" s="921"/>
      <c r="N23" s="17" t="s">
        <v>31</v>
      </c>
      <c r="O23" s="18">
        <v>165195</v>
      </c>
      <c r="P23" s="18">
        <v>82598</v>
      </c>
      <c r="Q23" s="18">
        <f>22500+9000</f>
        <v>31500</v>
      </c>
      <c r="R23" s="19">
        <v>25388</v>
      </c>
      <c r="S23" s="18">
        <v>27522</v>
      </c>
      <c r="T23" s="18">
        <f t="shared" si="61"/>
        <v>2134</v>
      </c>
      <c r="U23" s="23">
        <f t="shared" si="66"/>
        <v>108.4055459272097</v>
      </c>
      <c r="V23" s="18">
        <f t="shared" si="62"/>
        <v>-51098</v>
      </c>
      <c r="W23" s="921"/>
      <c r="X23" s="17" t="s">
        <v>31</v>
      </c>
      <c r="Y23" s="18">
        <f t="shared" ref="Y23:Z23" si="69">C23-O23</f>
        <v>0</v>
      </c>
      <c r="Z23" s="18">
        <f t="shared" si="69"/>
        <v>0</v>
      </c>
      <c r="AA23" s="18">
        <f t="shared" ref="AA23:AC23" si="70">F23-Q23</f>
        <v>48500</v>
      </c>
      <c r="AB23" s="18">
        <f t="shared" si="70"/>
        <v>49512</v>
      </c>
      <c r="AC23" s="18">
        <f t="shared" si="70"/>
        <v>27097</v>
      </c>
      <c r="AD23" s="18">
        <f t="shared" si="5"/>
        <v>-22415</v>
      </c>
      <c r="AE23" s="23">
        <f t="shared" si="6"/>
        <v>54.728146711908224</v>
      </c>
    </row>
    <row r="24" spans="1:31" ht="17.25" customHeight="1">
      <c r="A24" s="917"/>
      <c r="B24" s="39" t="s">
        <v>32</v>
      </c>
      <c r="C24" s="18">
        <v>483405</v>
      </c>
      <c r="D24" s="18">
        <v>362554</v>
      </c>
      <c r="E24" s="18">
        <v>465023</v>
      </c>
      <c r="F24" s="18">
        <v>0</v>
      </c>
      <c r="G24" s="19">
        <v>0</v>
      </c>
      <c r="H24" s="20">
        <v>0</v>
      </c>
      <c r="I24" s="20">
        <f t="shared" si="58"/>
        <v>0</v>
      </c>
      <c r="J24" s="21">
        <v>0</v>
      </c>
      <c r="K24" s="22">
        <f t="shared" si="59"/>
        <v>-465023</v>
      </c>
      <c r="L24" s="18">
        <f t="shared" si="60"/>
        <v>-362554</v>
      </c>
      <c r="M24" s="921"/>
      <c r="N24" s="39" t="s">
        <v>32</v>
      </c>
      <c r="O24" s="18">
        <v>483405</v>
      </c>
      <c r="P24" s="18">
        <v>362554</v>
      </c>
      <c r="Q24" s="18">
        <v>0</v>
      </c>
      <c r="R24" s="19">
        <v>0</v>
      </c>
      <c r="S24" s="18">
        <v>0</v>
      </c>
      <c r="T24" s="18">
        <f t="shared" si="61"/>
        <v>0</v>
      </c>
      <c r="U24" s="23">
        <v>0</v>
      </c>
      <c r="V24" s="18">
        <f t="shared" si="62"/>
        <v>-362554</v>
      </c>
      <c r="W24" s="921"/>
      <c r="X24" s="39" t="s">
        <v>32</v>
      </c>
      <c r="Y24" s="18">
        <f t="shared" ref="Y24:Z24" si="71">C24-O24</f>
        <v>0</v>
      </c>
      <c r="Z24" s="18">
        <f t="shared" si="71"/>
        <v>0</v>
      </c>
      <c r="AA24" s="18">
        <f t="shared" ref="AA24:AC24" si="72">F24-Q24</f>
        <v>0</v>
      </c>
      <c r="AB24" s="18">
        <f t="shared" si="72"/>
        <v>0</v>
      </c>
      <c r="AC24" s="18">
        <f t="shared" si="72"/>
        <v>0</v>
      </c>
      <c r="AD24" s="18">
        <f t="shared" si="5"/>
        <v>0</v>
      </c>
      <c r="AE24" s="23" t="e">
        <f t="shared" si="6"/>
        <v>#DIV/0!</v>
      </c>
    </row>
    <row r="25" spans="1:31" ht="17.25" customHeight="1">
      <c r="A25" s="917"/>
      <c r="B25" s="39" t="s">
        <v>33</v>
      </c>
      <c r="C25" s="18">
        <v>0</v>
      </c>
      <c r="D25" s="18">
        <v>0</v>
      </c>
      <c r="E25" s="18">
        <v>0</v>
      </c>
      <c r="F25" s="18">
        <v>0</v>
      </c>
      <c r="G25" s="19">
        <v>0</v>
      </c>
      <c r="H25" s="20">
        <v>0</v>
      </c>
      <c r="I25" s="20">
        <f t="shared" si="58"/>
        <v>0</v>
      </c>
      <c r="J25" s="21">
        <v>0</v>
      </c>
      <c r="K25" s="22">
        <f t="shared" si="59"/>
        <v>0</v>
      </c>
      <c r="L25" s="18">
        <f t="shared" si="60"/>
        <v>0</v>
      </c>
      <c r="M25" s="921"/>
      <c r="N25" s="39" t="s">
        <v>33</v>
      </c>
      <c r="O25" s="18">
        <v>0</v>
      </c>
      <c r="P25" s="18">
        <v>0</v>
      </c>
      <c r="Q25" s="18">
        <v>0</v>
      </c>
      <c r="R25" s="19">
        <v>0</v>
      </c>
      <c r="S25" s="18">
        <v>0</v>
      </c>
      <c r="T25" s="18">
        <f t="shared" si="61"/>
        <v>0</v>
      </c>
      <c r="U25" s="23">
        <v>0</v>
      </c>
      <c r="V25" s="18">
        <f t="shared" si="62"/>
        <v>0</v>
      </c>
      <c r="W25" s="921"/>
      <c r="X25" s="39" t="s">
        <v>33</v>
      </c>
      <c r="Y25" s="18">
        <f t="shared" ref="Y25:Z25" si="73">C25-O25</f>
        <v>0</v>
      </c>
      <c r="Z25" s="18">
        <f t="shared" si="73"/>
        <v>0</v>
      </c>
      <c r="AA25" s="18">
        <f t="shared" ref="AA25:AC25" si="74">F25-Q25</f>
        <v>0</v>
      </c>
      <c r="AB25" s="18">
        <f t="shared" si="74"/>
        <v>0</v>
      </c>
      <c r="AC25" s="18">
        <f t="shared" si="74"/>
        <v>0</v>
      </c>
      <c r="AD25" s="18">
        <f t="shared" si="5"/>
        <v>0</v>
      </c>
      <c r="AE25" s="23" t="e">
        <f t="shared" si="6"/>
        <v>#DIV/0!</v>
      </c>
    </row>
    <row r="26" spans="1:31" ht="17.25" customHeight="1">
      <c r="A26" s="917"/>
      <c r="B26" s="17" t="s">
        <v>24</v>
      </c>
      <c r="C26" s="18">
        <v>0</v>
      </c>
      <c r="D26" s="18"/>
      <c r="E26" s="18"/>
      <c r="F26" s="18">
        <v>809600</v>
      </c>
      <c r="G26" s="19">
        <v>680000</v>
      </c>
      <c r="H26" s="20">
        <v>675048</v>
      </c>
      <c r="I26" s="20">
        <f t="shared" si="58"/>
        <v>-4952</v>
      </c>
      <c r="J26" s="21">
        <f t="shared" ref="J26:J27" si="75">H26/G26*100</f>
        <v>99.271764705882347</v>
      </c>
      <c r="K26" s="22">
        <f t="shared" si="59"/>
        <v>809600</v>
      </c>
      <c r="L26" s="18">
        <f t="shared" si="60"/>
        <v>809600</v>
      </c>
      <c r="M26" s="921"/>
      <c r="N26" s="17" t="s">
        <v>24</v>
      </c>
      <c r="O26" s="18">
        <v>0</v>
      </c>
      <c r="P26" s="18">
        <v>0</v>
      </c>
      <c r="Q26" s="18">
        <f>400000+199600</f>
        <v>599600</v>
      </c>
      <c r="R26" s="19">
        <f>310412+10000</f>
        <v>320412</v>
      </c>
      <c r="S26" s="18">
        <v>326620</v>
      </c>
      <c r="T26" s="18">
        <f t="shared" si="61"/>
        <v>6208</v>
      </c>
      <c r="U26" s="23">
        <f t="shared" ref="U26:U27" si="76">S26/R26*100</f>
        <v>101.93750546171805</v>
      </c>
      <c r="V26" s="18">
        <f t="shared" si="62"/>
        <v>599600</v>
      </c>
      <c r="W26" s="921"/>
      <c r="X26" s="17" t="s">
        <v>24</v>
      </c>
      <c r="Y26" s="18">
        <f t="shared" ref="Y26:Z26" si="77">C26-O26</f>
        <v>0</v>
      </c>
      <c r="Z26" s="18">
        <f t="shared" si="77"/>
        <v>0</v>
      </c>
      <c r="AA26" s="18">
        <f t="shared" ref="AA26:AC26" si="78">F26-Q26</f>
        <v>210000</v>
      </c>
      <c r="AB26" s="18">
        <f t="shared" si="78"/>
        <v>359588</v>
      </c>
      <c r="AC26" s="18">
        <f t="shared" si="78"/>
        <v>348428</v>
      </c>
      <c r="AD26" s="18">
        <f t="shared" si="5"/>
        <v>-11160</v>
      </c>
      <c r="AE26" s="23">
        <f t="shared" si="6"/>
        <v>96.896448157335612</v>
      </c>
    </row>
    <row r="27" spans="1:31" ht="17.25" customHeight="1">
      <c r="A27" s="917"/>
      <c r="B27" s="17" t="s">
        <v>29</v>
      </c>
      <c r="C27" s="18">
        <v>500000</v>
      </c>
      <c r="D27" s="18">
        <v>500000</v>
      </c>
      <c r="E27" s="18">
        <v>426076</v>
      </c>
      <c r="F27" s="18">
        <v>480000</v>
      </c>
      <c r="G27" s="19">
        <v>85901</v>
      </c>
      <c r="H27" s="20">
        <v>92759</v>
      </c>
      <c r="I27" s="20">
        <f t="shared" si="58"/>
        <v>6858</v>
      </c>
      <c r="J27" s="21">
        <f t="shared" si="75"/>
        <v>107.98360903831154</v>
      </c>
      <c r="K27" s="22">
        <f t="shared" si="59"/>
        <v>53924</v>
      </c>
      <c r="L27" s="18">
        <f t="shared" si="60"/>
        <v>-20000</v>
      </c>
      <c r="M27" s="921"/>
      <c r="N27" s="17" t="s">
        <v>29</v>
      </c>
      <c r="O27" s="18">
        <v>500000</v>
      </c>
      <c r="P27" s="18">
        <v>500000</v>
      </c>
      <c r="Q27" s="18">
        <v>0</v>
      </c>
      <c r="R27" s="19">
        <v>0</v>
      </c>
      <c r="S27" s="18">
        <v>0</v>
      </c>
      <c r="T27" s="18">
        <f t="shared" si="61"/>
        <v>0</v>
      </c>
      <c r="U27" s="23" t="e">
        <f t="shared" si="76"/>
        <v>#DIV/0!</v>
      </c>
      <c r="V27" s="18">
        <f t="shared" si="62"/>
        <v>-500000</v>
      </c>
      <c r="W27" s="921"/>
      <c r="X27" s="17" t="s">
        <v>29</v>
      </c>
      <c r="Y27" s="18">
        <f t="shared" ref="Y27:Z27" si="79">C27-O27</f>
        <v>0</v>
      </c>
      <c r="Z27" s="18">
        <f t="shared" si="79"/>
        <v>0</v>
      </c>
      <c r="AA27" s="18">
        <f t="shared" ref="AA27:AC27" si="80">F27-Q27</f>
        <v>480000</v>
      </c>
      <c r="AB27" s="18">
        <f t="shared" si="80"/>
        <v>85901</v>
      </c>
      <c r="AC27" s="18">
        <f t="shared" si="80"/>
        <v>92759</v>
      </c>
      <c r="AD27" s="18">
        <f t="shared" si="5"/>
        <v>6858</v>
      </c>
      <c r="AE27" s="23">
        <f t="shared" si="6"/>
        <v>107.98360903831154</v>
      </c>
    </row>
    <row r="28" spans="1:31" ht="17.25" customHeight="1">
      <c r="A28" s="917"/>
      <c r="B28" s="17" t="s">
        <v>23</v>
      </c>
      <c r="C28" s="18">
        <v>0</v>
      </c>
      <c r="D28" s="18">
        <v>0</v>
      </c>
      <c r="E28" s="18">
        <v>0</v>
      </c>
      <c r="F28" s="18">
        <v>0</v>
      </c>
      <c r="G28" s="19">
        <v>0</v>
      </c>
      <c r="H28" s="20">
        <v>0</v>
      </c>
      <c r="I28" s="20">
        <f t="shared" si="58"/>
        <v>0</v>
      </c>
      <c r="J28" s="21">
        <v>0</v>
      </c>
      <c r="K28" s="22">
        <f t="shared" si="59"/>
        <v>0</v>
      </c>
      <c r="L28" s="18">
        <f t="shared" si="60"/>
        <v>0</v>
      </c>
      <c r="M28" s="921"/>
      <c r="N28" s="17" t="s">
        <v>23</v>
      </c>
      <c r="O28" s="18">
        <v>0</v>
      </c>
      <c r="P28" s="18">
        <v>0</v>
      </c>
      <c r="Q28" s="18">
        <v>0</v>
      </c>
      <c r="R28" s="19">
        <v>0</v>
      </c>
      <c r="S28" s="18">
        <v>0</v>
      </c>
      <c r="T28" s="18">
        <f t="shared" si="61"/>
        <v>0</v>
      </c>
      <c r="U28" s="23">
        <v>0</v>
      </c>
      <c r="V28" s="18">
        <f t="shared" si="62"/>
        <v>0</v>
      </c>
      <c r="W28" s="921"/>
      <c r="X28" s="17" t="s">
        <v>23</v>
      </c>
      <c r="Y28" s="18">
        <f t="shared" ref="Y28:Z28" si="81">C28-O28</f>
        <v>0</v>
      </c>
      <c r="Z28" s="18">
        <f t="shared" si="81"/>
        <v>0</v>
      </c>
      <c r="AA28" s="18">
        <f t="shared" ref="AA28:AC28" si="82">F28-Q28</f>
        <v>0</v>
      </c>
      <c r="AB28" s="18">
        <f t="shared" si="82"/>
        <v>0</v>
      </c>
      <c r="AC28" s="18">
        <f t="shared" si="82"/>
        <v>0</v>
      </c>
      <c r="AD28" s="18">
        <f t="shared" si="5"/>
        <v>0</v>
      </c>
      <c r="AE28" s="23" t="e">
        <f t="shared" si="6"/>
        <v>#DIV/0!</v>
      </c>
    </row>
    <row r="29" spans="1:31" ht="17.25" customHeight="1">
      <c r="A29" s="918"/>
      <c r="B29" s="25" t="s">
        <v>25</v>
      </c>
      <c r="C29" s="26">
        <f t="shared" ref="C29:I29" si="83">SUM(C21:C28)</f>
        <v>1523837</v>
      </c>
      <c r="D29" s="26">
        <f t="shared" si="83"/>
        <v>1305889</v>
      </c>
      <c r="E29" s="26">
        <f t="shared" si="83"/>
        <v>1920602</v>
      </c>
      <c r="F29" s="26">
        <f t="shared" si="83"/>
        <v>1373905</v>
      </c>
      <c r="G29" s="27">
        <f t="shared" si="83"/>
        <v>844096</v>
      </c>
      <c r="H29" s="28">
        <f t="shared" si="83"/>
        <v>841383</v>
      </c>
      <c r="I29" s="28">
        <f t="shared" si="83"/>
        <v>-2713</v>
      </c>
      <c r="J29" s="23">
        <f>H29/G29*100</f>
        <v>99.67859106073243</v>
      </c>
      <c r="K29" s="29">
        <f t="shared" si="59"/>
        <v>-546697</v>
      </c>
      <c r="L29" s="26">
        <f t="shared" si="60"/>
        <v>68016</v>
      </c>
      <c r="M29" s="922"/>
      <c r="N29" s="25" t="s">
        <v>25</v>
      </c>
      <c r="O29" s="26">
        <f t="shared" ref="O29:T29" si="84">SUM(O21:O28)</f>
        <v>1523837</v>
      </c>
      <c r="P29" s="26">
        <f t="shared" si="84"/>
        <v>1305889</v>
      </c>
      <c r="Q29" s="26">
        <f t="shared" si="84"/>
        <v>631100</v>
      </c>
      <c r="R29" s="27">
        <f t="shared" si="84"/>
        <v>345800</v>
      </c>
      <c r="S29" s="26">
        <f t="shared" si="84"/>
        <v>373099</v>
      </c>
      <c r="T29" s="26">
        <f t="shared" si="84"/>
        <v>27299</v>
      </c>
      <c r="U29" s="23">
        <f>S29/R29*100</f>
        <v>107.89444765760557</v>
      </c>
      <c r="V29" s="26">
        <f t="shared" si="62"/>
        <v>-674789</v>
      </c>
      <c r="W29" s="922"/>
      <c r="X29" s="25" t="s">
        <v>25</v>
      </c>
      <c r="Y29" s="26">
        <f t="shared" ref="Y29:AA29" si="85">SUM(Y21:Y28)</f>
        <v>0</v>
      </c>
      <c r="Z29" s="26">
        <f t="shared" si="85"/>
        <v>0</v>
      </c>
      <c r="AA29" s="26">
        <f t="shared" si="85"/>
        <v>742805</v>
      </c>
      <c r="AB29" s="18">
        <f t="shared" ref="AB29:AC29" si="86">G29-R29</f>
        <v>498296</v>
      </c>
      <c r="AC29" s="18">
        <f t="shared" si="86"/>
        <v>468284</v>
      </c>
      <c r="AD29" s="18">
        <f t="shared" si="5"/>
        <v>-30012</v>
      </c>
      <c r="AE29" s="23">
        <f t="shared" si="6"/>
        <v>93.977073867741268</v>
      </c>
    </row>
    <row r="30" spans="1:31" ht="9" customHeight="1">
      <c r="A30" s="30"/>
      <c r="B30" s="31"/>
      <c r="C30" s="32"/>
      <c r="D30" s="32"/>
      <c r="E30" s="32"/>
      <c r="F30" s="32"/>
      <c r="G30" s="32"/>
      <c r="H30" s="34"/>
      <c r="I30" s="34"/>
      <c r="J30" s="35"/>
      <c r="K30" s="36"/>
      <c r="L30" s="32"/>
      <c r="M30" s="37"/>
      <c r="N30" s="31"/>
      <c r="O30" s="32"/>
      <c r="P30" s="32"/>
      <c r="Q30" s="32"/>
      <c r="R30" s="32"/>
      <c r="S30" s="32"/>
      <c r="T30" s="32"/>
      <c r="U30" s="38"/>
      <c r="V30" s="32"/>
      <c r="W30" s="37"/>
      <c r="X30" s="31"/>
      <c r="Y30" s="32"/>
      <c r="Z30" s="32"/>
      <c r="AA30" s="32"/>
      <c r="AB30" s="18">
        <f t="shared" ref="AB30:AC30" si="87">G30-R30</f>
        <v>0</v>
      </c>
      <c r="AC30" s="18">
        <f t="shared" si="87"/>
        <v>0</v>
      </c>
      <c r="AD30" s="18">
        <f t="shared" si="5"/>
        <v>0</v>
      </c>
      <c r="AE30" s="23" t="e">
        <f t="shared" si="6"/>
        <v>#DIV/0!</v>
      </c>
    </row>
    <row r="31" spans="1:31" ht="17.25" customHeight="1">
      <c r="A31" s="919" t="s">
        <v>34</v>
      </c>
      <c r="B31" s="17" t="s">
        <v>21</v>
      </c>
      <c r="C31" s="18">
        <v>5000</v>
      </c>
      <c r="D31" s="18">
        <v>5000</v>
      </c>
      <c r="E31" s="18">
        <v>4095</v>
      </c>
      <c r="F31" s="18">
        <v>0</v>
      </c>
      <c r="G31" s="19">
        <v>0</v>
      </c>
      <c r="H31" s="20">
        <v>0</v>
      </c>
      <c r="I31" s="20">
        <f t="shared" ref="I31:I34" si="88">H31-G31</f>
        <v>0</v>
      </c>
      <c r="J31" s="21">
        <v>0</v>
      </c>
      <c r="K31" s="22">
        <f t="shared" ref="K31:K35" si="89">F31-E31</f>
        <v>-4095</v>
      </c>
      <c r="L31" s="18">
        <f t="shared" ref="L31:L35" si="90">F31-D31</f>
        <v>-5000</v>
      </c>
      <c r="M31" s="920" t="s">
        <v>34</v>
      </c>
      <c r="N31" s="17" t="s">
        <v>21</v>
      </c>
      <c r="O31" s="18">
        <v>5000</v>
      </c>
      <c r="P31" s="18">
        <v>5000</v>
      </c>
      <c r="Q31" s="18">
        <v>0</v>
      </c>
      <c r="R31" s="19">
        <v>0</v>
      </c>
      <c r="S31" s="18">
        <v>0</v>
      </c>
      <c r="T31" s="18">
        <f t="shared" ref="T31:T34" si="91">S31-R31</f>
        <v>0</v>
      </c>
      <c r="U31" s="23">
        <v>0</v>
      </c>
      <c r="V31" s="18">
        <f t="shared" ref="V31:V35" si="92">Q31-P31</f>
        <v>-5000</v>
      </c>
      <c r="W31" s="947" t="s">
        <v>34</v>
      </c>
      <c r="X31" s="17" t="s">
        <v>21</v>
      </c>
      <c r="Y31" s="18">
        <f t="shared" ref="Y31:Z31" si="93">C31-O31</f>
        <v>0</v>
      </c>
      <c r="Z31" s="18">
        <f t="shared" si="93"/>
        <v>0</v>
      </c>
      <c r="AA31" s="18">
        <f t="shared" ref="AA31:AC31" si="94">F31-Q31</f>
        <v>0</v>
      </c>
      <c r="AB31" s="18">
        <f t="shared" si="94"/>
        <v>0</v>
      </c>
      <c r="AC31" s="18">
        <f t="shared" si="94"/>
        <v>0</v>
      </c>
      <c r="AD31" s="18">
        <f t="shared" si="5"/>
        <v>0</v>
      </c>
      <c r="AE31" s="23" t="e">
        <f t="shared" si="6"/>
        <v>#DIV/0!</v>
      </c>
    </row>
    <row r="32" spans="1:31" ht="17.25" customHeight="1">
      <c r="A32" s="917"/>
      <c r="B32" s="17" t="s">
        <v>28</v>
      </c>
      <c r="C32" s="18">
        <v>15000</v>
      </c>
      <c r="D32" s="18">
        <v>7500</v>
      </c>
      <c r="E32" s="18">
        <v>32672</v>
      </c>
      <c r="F32" s="18">
        <v>15000</v>
      </c>
      <c r="G32" s="19">
        <v>16170</v>
      </c>
      <c r="H32" s="20">
        <v>4765</v>
      </c>
      <c r="I32" s="20">
        <f t="shared" si="88"/>
        <v>-11405</v>
      </c>
      <c r="J32" s="21">
        <f t="shared" ref="J32:J35" si="95">H32/G32*100</f>
        <v>29.468150896722321</v>
      </c>
      <c r="K32" s="22">
        <f t="shared" si="89"/>
        <v>-17672</v>
      </c>
      <c r="L32" s="18">
        <f t="shared" si="90"/>
        <v>7500</v>
      </c>
      <c r="M32" s="921"/>
      <c r="N32" s="17" t="s">
        <v>28</v>
      </c>
      <c r="O32" s="18">
        <v>15000</v>
      </c>
      <c r="P32" s="18">
        <v>7500</v>
      </c>
      <c r="Q32" s="18">
        <v>0</v>
      </c>
      <c r="R32" s="19">
        <v>0</v>
      </c>
      <c r="S32" s="18">
        <v>0</v>
      </c>
      <c r="T32" s="18">
        <f t="shared" si="91"/>
        <v>0</v>
      </c>
      <c r="U32" s="23" t="e">
        <f t="shared" ref="U32:U35" si="96">S32/R32*100</f>
        <v>#DIV/0!</v>
      </c>
      <c r="V32" s="18">
        <f t="shared" si="92"/>
        <v>-7500</v>
      </c>
      <c r="W32" s="921"/>
      <c r="X32" s="17" t="s">
        <v>28</v>
      </c>
      <c r="Y32" s="18">
        <f t="shared" ref="Y32:Z32" si="97">C32-O32</f>
        <v>0</v>
      </c>
      <c r="Z32" s="18">
        <f t="shared" si="97"/>
        <v>0</v>
      </c>
      <c r="AA32" s="18">
        <f t="shared" ref="AA32:AC32" si="98">F32-Q32</f>
        <v>15000</v>
      </c>
      <c r="AB32" s="18">
        <f t="shared" si="98"/>
        <v>16170</v>
      </c>
      <c r="AC32" s="18">
        <f t="shared" si="98"/>
        <v>4765</v>
      </c>
      <c r="AD32" s="18">
        <f t="shared" si="5"/>
        <v>-11405</v>
      </c>
      <c r="AE32" s="23">
        <f t="shared" si="6"/>
        <v>29.468150896722321</v>
      </c>
    </row>
    <row r="33" spans="1:31" ht="17.25" customHeight="1">
      <c r="A33" s="917"/>
      <c r="B33" s="17" t="s">
        <v>31</v>
      </c>
      <c r="C33" s="18">
        <v>600</v>
      </c>
      <c r="D33" s="18">
        <v>300</v>
      </c>
      <c r="E33" s="18">
        <v>5783</v>
      </c>
      <c r="F33" s="18">
        <v>5783</v>
      </c>
      <c r="G33" s="19">
        <v>5400</v>
      </c>
      <c r="H33" s="20">
        <v>3949</v>
      </c>
      <c r="I33" s="20">
        <f t="shared" si="88"/>
        <v>-1451</v>
      </c>
      <c r="J33" s="21">
        <f t="shared" si="95"/>
        <v>73.129629629629633</v>
      </c>
      <c r="K33" s="22">
        <f t="shared" si="89"/>
        <v>0</v>
      </c>
      <c r="L33" s="18">
        <f t="shared" si="90"/>
        <v>5483</v>
      </c>
      <c r="M33" s="921"/>
      <c r="N33" s="17" t="s">
        <v>31</v>
      </c>
      <c r="O33" s="18">
        <v>600</v>
      </c>
      <c r="P33" s="18">
        <v>300</v>
      </c>
      <c r="Q33" s="18">
        <v>0</v>
      </c>
      <c r="R33" s="19">
        <v>0</v>
      </c>
      <c r="S33" s="18">
        <v>0</v>
      </c>
      <c r="T33" s="18">
        <f t="shared" si="91"/>
        <v>0</v>
      </c>
      <c r="U33" s="23" t="e">
        <f t="shared" si="96"/>
        <v>#DIV/0!</v>
      </c>
      <c r="V33" s="18">
        <f t="shared" si="92"/>
        <v>-300</v>
      </c>
      <c r="W33" s="921"/>
      <c r="X33" s="17" t="s">
        <v>31</v>
      </c>
      <c r="Y33" s="18">
        <f t="shared" ref="Y33:Z33" si="99">C33-O33</f>
        <v>0</v>
      </c>
      <c r="Z33" s="18">
        <f t="shared" si="99"/>
        <v>0</v>
      </c>
      <c r="AA33" s="18">
        <f t="shared" ref="AA33:AC33" si="100">F33-Q33</f>
        <v>5783</v>
      </c>
      <c r="AB33" s="18">
        <f t="shared" si="100"/>
        <v>5400</v>
      </c>
      <c r="AC33" s="18">
        <f t="shared" si="100"/>
        <v>3949</v>
      </c>
      <c r="AD33" s="18">
        <f t="shared" si="5"/>
        <v>-1451</v>
      </c>
      <c r="AE33" s="23">
        <f t="shared" si="6"/>
        <v>73.129629629629633</v>
      </c>
    </row>
    <row r="34" spans="1:31" ht="17.25" customHeight="1">
      <c r="A34" s="917"/>
      <c r="B34" s="17" t="s">
        <v>24</v>
      </c>
      <c r="C34" s="18">
        <v>0</v>
      </c>
      <c r="D34" s="18"/>
      <c r="E34" s="18"/>
      <c r="F34" s="18">
        <v>4100</v>
      </c>
      <c r="G34" s="19">
        <v>2095</v>
      </c>
      <c r="H34" s="20">
        <v>2095</v>
      </c>
      <c r="I34" s="20">
        <f t="shared" si="88"/>
        <v>0</v>
      </c>
      <c r="J34" s="21">
        <f t="shared" si="95"/>
        <v>100</v>
      </c>
      <c r="K34" s="22">
        <f t="shared" si="89"/>
        <v>4100</v>
      </c>
      <c r="L34" s="18">
        <f t="shared" si="90"/>
        <v>4100</v>
      </c>
      <c r="M34" s="921"/>
      <c r="N34" s="17" t="s">
        <v>24</v>
      </c>
      <c r="O34" s="18"/>
      <c r="P34" s="18"/>
      <c r="Q34" s="18">
        <v>0</v>
      </c>
      <c r="R34" s="19">
        <v>0</v>
      </c>
      <c r="S34" s="18">
        <v>0</v>
      </c>
      <c r="T34" s="18">
        <f t="shared" si="91"/>
        <v>0</v>
      </c>
      <c r="U34" s="23" t="e">
        <f t="shared" si="96"/>
        <v>#DIV/0!</v>
      </c>
      <c r="V34" s="18">
        <f t="shared" si="92"/>
        <v>0</v>
      </c>
      <c r="W34" s="921"/>
      <c r="X34" s="17" t="s">
        <v>24</v>
      </c>
      <c r="Y34" s="18">
        <f t="shared" ref="Y34:Z34" si="101">C34-O34</f>
        <v>0</v>
      </c>
      <c r="Z34" s="18">
        <f t="shared" si="101"/>
        <v>0</v>
      </c>
      <c r="AA34" s="18">
        <f t="shared" ref="AA34:AC34" si="102">F34-Q34</f>
        <v>4100</v>
      </c>
      <c r="AB34" s="18">
        <f t="shared" si="102"/>
        <v>2095</v>
      </c>
      <c r="AC34" s="18">
        <f t="shared" si="102"/>
        <v>2095</v>
      </c>
      <c r="AD34" s="18">
        <f t="shared" si="5"/>
        <v>0</v>
      </c>
      <c r="AE34" s="23">
        <f t="shared" si="6"/>
        <v>100</v>
      </c>
    </row>
    <row r="35" spans="1:31" ht="17.25" customHeight="1">
      <c r="A35" s="918"/>
      <c r="B35" s="25" t="s">
        <v>25</v>
      </c>
      <c r="C35" s="26">
        <f t="shared" ref="C35:I35" si="103">SUM(C31:C34)</f>
        <v>20600</v>
      </c>
      <c r="D35" s="26">
        <f t="shared" si="103"/>
        <v>12800</v>
      </c>
      <c r="E35" s="26">
        <f t="shared" si="103"/>
        <v>42550</v>
      </c>
      <c r="F35" s="26">
        <f t="shared" si="103"/>
        <v>24883</v>
      </c>
      <c r="G35" s="27">
        <f t="shared" si="103"/>
        <v>23665</v>
      </c>
      <c r="H35" s="28">
        <f t="shared" si="103"/>
        <v>10809</v>
      </c>
      <c r="I35" s="28">
        <f t="shared" si="103"/>
        <v>-12856</v>
      </c>
      <c r="J35" s="23">
        <f t="shared" si="95"/>
        <v>45.675047538559056</v>
      </c>
      <c r="K35" s="29">
        <f t="shared" si="89"/>
        <v>-17667</v>
      </c>
      <c r="L35" s="26">
        <f t="shared" si="90"/>
        <v>12083</v>
      </c>
      <c r="M35" s="922"/>
      <c r="N35" s="25" t="s">
        <v>25</v>
      </c>
      <c r="O35" s="26">
        <f t="shared" ref="O35:T35" si="104">SUM(O31:O34)</f>
        <v>20600</v>
      </c>
      <c r="P35" s="26">
        <f t="shared" si="104"/>
        <v>12800</v>
      </c>
      <c r="Q35" s="26">
        <f t="shared" si="104"/>
        <v>0</v>
      </c>
      <c r="R35" s="27">
        <f t="shared" si="104"/>
        <v>0</v>
      </c>
      <c r="S35" s="26">
        <f t="shared" si="104"/>
        <v>0</v>
      </c>
      <c r="T35" s="26">
        <f t="shared" si="104"/>
        <v>0</v>
      </c>
      <c r="U35" s="23" t="e">
        <f t="shared" si="96"/>
        <v>#DIV/0!</v>
      </c>
      <c r="V35" s="26">
        <f t="shared" si="92"/>
        <v>-12800</v>
      </c>
      <c r="W35" s="922"/>
      <c r="X35" s="25" t="s">
        <v>25</v>
      </c>
      <c r="Y35" s="26">
        <f t="shared" ref="Y35:AA35" si="105">SUM(Y31:Y34)</f>
        <v>0</v>
      </c>
      <c r="Z35" s="26">
        <f t="shared" si="105"/>
        <v>0</v>
      </c>
      <c r="AA35" s="26">
        <f t="shared" si="105"/>
        <v>24883</v>
      </c>
      <c r="AB35" s="18">
        <f t="shared" ref="AB35:AC35" si="106">G35-R35</f>
        <v>23665</v>
      </c>
      <c r="AC35" s="18">
        <f t="shared" si="106"/>
        <v>10809</v>
      </c>
      <c r="AD35" s="18">
        <f t="shared" si="5"/>
        <v>-12856</v>
      </c>
      <c r="AE35" s="23">
        <f t="shared" si="6"/>
        <v>45.675047538559056</v>
      </c>
    </row>
    <row r="36" spans="1:31" ht="9" customHeight="1">
      <c r="A36" s="30"/>
      <c r="B36" s="31"/>
      <c r="C36" s="32"/>
      <c r="D36" s="32"/>
      <c r="E36" s="32"/>
      <c r="F36" s="32"/>
      <c r="G36" s="32"/>
      <c r="H36" s="34"/>
      <c r="I36" s="34"/>
      <c r="J36" s="35"/>
      <c r="K36" s="36"/>
      <c r="L36" s="32"/>
      <c r="M36" s="37"/>
      <c r="N36" s="31"/>
      <c r="O36" s="32"/>
      <c r="P36" s="32"/>
      <c r="Q36" s="32"/>
      <c r="R36" s="32"/>
      <c r="S36" s="32"/>
      <c r="T36" s="32"/>
      <c r="U36" s="38"/>
      <c r="V36" s="32"/>
      <c r="W36" s="37"/>
      <c r="X36" s="31"/>
      <c r="Y36" s="32"/>
      <c r="Z36" s="32"/>
      <c r="AA36" s="32"/>
      <c r="AB36" s="18">
        <f t="shared" ref="AB36:AC36" si="107">G36-R36</f>
        <v>0</v>
      </c>
      <c r="AC36" s="18">
        <f t="shared" si="107"/>
        <v>0</v>
      </c>
      <c r="AD36" s="18">
        <f t="shared" si="5"/>
        <v>0</v>
      </c>
      <c r="AE36" s="23" t="e">
        <f t="shared" si="6"/>
        <v>#DIV/0!</v>
      </c>
    </row>
    <row r="37" spans="1:31" ht="17.25" customHeight="1">
      <c r="A37" s="916" t="s">
        <v>35</v>
      </c>
      <c r="B37" s="17" t="s">
        <v>21</v>
      </c>
      <c r="C37" s="18">
        <v>88850</v>
      </c>
      <c r="D37" s="18">
        <v>88850</v>
      </c>
      <c r="E37" s="18">
        <v>38364</v>
      </c>
      <c r="F37" s="18">
        <v>0</v>
      </c>
      <c r="G37" s="19">
        <v>0</v>
      </c>
      <c r="H37" s="20">
        <v>0</v>
      </c>
      <c r="I37" s="20">
        <f t="shared" ref="I37:I41" si="108">H37-G37</f>
        <v>0</v>
      </c>
      <c r="J37" s="21">
        <v>0</v>
      </c>
      <c r="K37" s="22">
        <f t="shared" ref="K37:K42" si="109">F37-E37</f>
        <v>-38364</v>
      </c>
      <c r="L37" s="18">
        <f t="shared" ref="L37:L42" si="110">F37-D37</f>
        <v>-88850</v>
      </c>
      <c r="M37" s="920" t="s">
        <v>35</v>
      </c>
      <c r="N37" s="17" t="s">
        <v>21</v>
      </c>
      <c r="O37" s="18">
        <v>88850</v>
      </c>
      <c r="P37" s="18">
        <v>88850</v>
      </c>
      <c r="Q37" s="18">
        <v>0</v>
      </c>
      <c r="R37" s="19">
        <v>0</v>
      </c>
      <c r="S37" s="18">
        <v>0</v>
      </c>
      <c r="T37" s="18">
        <f t="shared" ref="T37:T41" si="111">S37-R37</f>
        <v>0</v>
      </c>
      <c r="U37" s="23">
        <v>0</v>
      </c>
      <c r="V37" s="18">
        <f t="shared" ref="V37:V42" si="112">Q37-P37</f>
        <v>-88850</v>
      </c>
      <c r="W37" s="920" t="s">
        <v>35</v>
      </c>
      <c r="X37" s="17" t="s">
        <v>21</v>
      </c>
      <c r="Y37" s="18">
        <f t="shared" ref="Y37:Z37" si="113">C37-O37</f>
        <v>0</v>
      </c>
      <c r="Z37" s="18">
        <f t="shared" si="113"/>
        <v>0</v>
      </c>
      <c r="AA37" s="18">
        <f t="shared" ref="AA37:AC37" si="114">F37-Q37</f>
        <v>0</v>
      </c>
      <c r="AB37" s="18">
        <f t="shared" si="114"/>
        <v>0</v>
      </c>
      <c r="AC37" s="18">
        <f t="shared" si="114"/>
        <v>0</v>
      </c>
      <c r="AD37" s="18">
        <f t="shared" si="5"/>
        <v>0</v>
      </c>
      <c r="AE37" s="23" t="e">
        <f t="shared" si="6"/>
        <v>#DIV/0!</v>
      </c>
    </row>
    <row r="38" spans="1:31" ht="17.25" customHeight="1">
      <c r="A38" s="917"/>
      <c r="B38" s="17" t="s">
        <v>28</v>
      </c>
      <c r="C38" s="18">
        <v>0</v>
      </c>
      <c r="D38" s="18">
        <v>0</v>
      </c>
      <c r="E38" s="18">
        <v>234</v>
      </c>
      <c r="F38" s="18">
        <v>0</v>
      </c>
      <c r="G38" s="19">
        <v>0</v>
      </c>
      <c r="H38" s="20">
        <v>0</v>
      </c>
      <c r="I38" s="20">
        <f t="shared" si="108"/>
        <v>0</v>
      </c>
      <c r="J38" s="21">
        <v>0</v>
      </c>
      <c r="K38" s="22">
        <f t="shared" si="109"/>
        <v>-234</v>
      </c>
      <c r="L38" s="18">
        <f t="shared" si="110"/>
        <v>0</v>
      </c>
      <c r="M38" s="921"/>
      <c r="N38" s="17" t="s">
        <v>28</v>
      </c>
      <c r="O38" s="18">
        <v>0</v>
      </c>
      <c r="P38" s="18">
        <v>0</v>
      </c>
      <c r="Q38" s="18">
        <v>0</v>
      </c>
      <c r="R38" s="19">
        <v>0</v>
      </c>
      <c r="S38" s="18">
        <v>0</v>
      </c>
      <c r="T38" s="18">
        <f t="shared" si="111"/>
        <v>0</v>
      </c>
      <c r="U38" s="23">
        <v>0</v>
      </c>
      <c r="V38" s="18">
        <f t="shared" si="112"/>
        <v>0</v>
      </c>
      <c r="W38" s="921"/>
      <c r="X38" s="17" t="s">
        <v>28</v>
      </c>
      <c r="Y38" s="18">
        <f t="shared" ref="Y38:Z38" si="115">C38-O38</f>
        <v>0</v>
      </c>
      <c r="Z38" s="18">
        <f t="shared" si="115"/>
        <v>0</v>
      </c>
      <c r="AA38" s="18">
        <f t="shared" ref="AA38:AC38" si="116">F38-Q38</f>
        <v>0</v>
      </c>
      <c r="AB38" s="18">
        <f t="shared" si="116"/>
        <v>0</v>
      </c>
      <c r="AC38" s="18">
        <f t="shared" si="116"/>
        <v>0</v>
      </c>
      <c r="AD38" s="18">
        <f t="shared" si="5"/>
        <v>0</v>
      </c>
      <c r="AE38" s="23" t="e">
        <f t="shared" si="6"/>
        <v>#DIV/0!</v>
      </c>
    </row>
    <row r="39" spans="1:31" ht="17.25" customHeight="1">
      <c r="A39" s="917"/>
      <c r="B39" s="17" t="s">
        <v>31</v>
      </c>
      <c r="C39" s="18">
        <v>23412</v>
      </c>
      <c r="D39" s="18">
        <v>11706</v>
      </c>
      <c r="E39" s="18">
        <v>20106</v>
      </c>
      <c r="F39" s="18">
        <v>9106</v>
      </c>
      <c r="G39" s="19">
        <v>12501</v>
      </c>
      <c r="H39" s="20">
        <v>11934</v>
      </c>
      <c r="I39" s="20">
        <f t="shared" si="108"/>
        <v>-567</v>
      </c>
      <c r="J39" s="21">
        <f>H39/G39*100</f>
        <v>95.464362850971924</v>
      </c>
      <c r="K39" s="22">
        <f t="shared" si="109"/>
        <v>-11000</v>
      </c>
      <c r="L39" s="18">
        <f t="shared" si="110"/>
        <v>-2600</v>
      </c>
      <c r="M39" s="921"/>
      <c r="N39" s="17" t="s">
        <v>31</v>
      </c>
      <c r="O39" s="18">
        <v>23412</v>
      </c>
      <c r="P39" s="18">
        <v>11706</v>
      </c>
      <c r="Q39" s="18">
        <v>0</v>
      </c>
      <c r="R39" s="19">
        <v>0</v>
      </c>
      <c r="S39" s="18">
        <v>0</v>
      </c>
      <c r="T39" s="18">
        <f t="shared" si="111"/>
        <v>0</v>
      </c>
      <c r="U39" s="23" t="e">
        <f>S39/R39*100</f>
        <v>#DIV/0!</v>
      </c>
      <c r="V39" s="18">
        <f t="shared" si="112"/>
        <v>-11706</v>
      </c>
      <c r="W39" s="921"/>
      <c r="X39" s="17" t="s">
        <v>31</v>
      </c>
      <c r="Y39" s="18">
        <f t="shared" ref="Y39:Z39" si="117">C39-O39</f>
        <v>0</v>
      </c>
      <c r="Z39" s="18">
        <f t="shared" si="117"/>
        <v>0</v>
      </c>
      <c r="AA39" s="18">
        <f t="shared" ref="AA39:AC39" si="118">F39-Q39</f>
        <v>9106</v>
      </c>
      <c r="AB39" s="18">
        <f t="shared" si="118"/>
        <v>12501</v>
      </c>
      <c r="AC39" s="18">
        <f t="shared" si="118"/>
        <v>11934</v>
      </c>
      <c r="AD39" s="18">
        <f t="shared" si="5"/>
        <v>-567</v>
      </c>
      <c r="AE39" s="23">
        <f t="shared" si="6"/>
        <v>95.464362850971924</v>
      </c>
    </row>
    <row r="40" spans="1:31" ht="17.25" customHeight="1">
      <c r="A40" s="917"/>
      <c r="B40" s="39" t="s">
        <v>32</v>
      </c>
      <c r="C40" s="18">
        <v>51173</v>
      </c>
      <c r="D40" s="18">
        <v>38380</v>
      </c>
      <c r="E40" s="18">
        <v>94370</v>
      </c>
      <c r="F40" s="18">
        <v>0</v>
      </c>
      <c r="G40" s="19">
        <v>0</v>
      </c>
      <c r="H40" s="20">
        <v>221129</v>
      </c>
      <c r="I40" s="20">
        <f t="shared" si="108"/>
        <v>221129</v>
      </c>
      <c r="J40" s="21">
        <v>0</v>
      </c>
      <c r="K40" s="22">
        <f t="shared" si="109"/>
        <v>-94370</v>
      </c>
      <c r="L40" s="18">
        <f t="shared" si="110"/>
        <v>-38380</v>
      </c>
      <c r="M40" s="921"/>
      <c r="N40" s="39" t="s">
        <v>32</v>
      </c>
      <c r="O40" s="18">
        <v>51173</v>
      </c>
      <c r="P40" s="18">
        <v>38380</v>
      </c>
      <c r="Q40" s="18">
        <v>0</v>
      </c>
      <c r="R40" s="19">
        <v>0</v>
      </c>
      <c r="S40" s="18">
        <v>0</v>
      </c>
      <c r="T40" s="18">
        <f t="shared" si="111"/>
        <v>0</v>
      </c>
      <c r="U40" s="23">
        <v>0</v>
      </c>
      <c r="V40" s="18">
        <f t="shared" si="112"/>
        <v>-38380</v>
      </c>
      <c r="W40" s="921"/>
      <c r="X40" s="39" t="s">
        <v>32</v>
      </c>
      <c r="Y40" s="18">
        <f t="shared" ref="Y40:Z40" si="119">C40-O40</f>
        <v>0</v>
      </c>
      <c r="Z40" s="18">
        <f t="shared" si="119"/>
        <v>0</v>
      </c>
      <c r="AA40" s="18">
        <f t="shared" ref="AA40:AC40" si="120">F40-Q40</f>
        <v>0</v>
      </c>
      <c r="AB40" s="18">
        <f t="shared" si="120"/>
        <v>0</v>
      </c>
      <c r="AC40" s="18">
        <f t="shared" si="120"/>
        <v>221129</v>
      </c>
      <c r="AD40" s="18">
        <f t="shared" si="5"/>
        <v>221129</v>
      </c>
      <c r="AE40" s="23" t="e">
        <f t="shared" si="6"/>
        <v>#DIV/0!</v>
      </c>
    </row>
    <row r="41" spans="1:31" ht="17.25" customHeight="1">
      <c r="A41" s="917"/>
      <c r="B41" s="17" t="s">
        <v>24</v>
      </c>
      <c r="C41" s="18">
        <v>0</v>
      </c>
      <c r="D41" s="18"/>
      <c r="E41" s="18"/>
      <c r="F41" s="18">
        <f>122734+605614</f>
        <v>728348</v>
      </c>
      <c r="G41" s="19">
        <v>935526</v>
      </c>
      <c r="H41" s="20">
        <v>1114902</v>
      </c>
      <c r="I41" s="20">
        <f t="shared" si="108"/>
        <v>179376</v>
      </c>
      <c r="J41" s="21">
        <f t="shared" ref="J41:J42" si="121">H41/G41*100</f>
        <v>119.17381237934595</v>
      </c>
      <c r="K41" s="22">
        <f t="shared" si="109"/>
        <v>728348</v>
      </c>
      <c r="L41" s="18">
        <f t="shared" si="110"/>
        <v>728348</v>
      </c>
      <c r="M41" s="921"/>
      <c r="N41" s="17" t="s">
        <v>24</v>
      </c>
      <c r="O41" s="18"/>
      <c r="P41" s="18"/>
      <c r="Q41" s="18">
        <v>0</v>
      </c>
      <c r="R41" s="19">
        <v>0</v>
      </c>
      <c r="S41" s="18">
        <v>0</v>
      </c>
      <c r="T41" s="18">
        <f t="shared" si="111"/>
        <v>0</v>
      </c>
      <c r="U41" s="23" t="e">
        <f t="shared" ref="U41:U42" si="122">S41/R41*100</f>
        <v>#DIV/0!</v>
      </c>
      <c r="V41" s="18">
        <f t="shared" si="112"/>
        <v>0</v>
      </c>
      <c r="W41" s="921"/>
      <c r="X41" s="17" t="s">
        <v>24</v>
      </c>
      <c r="Y41" s="18">
        <f t="shared" ref="Y41:Z41" si="123">C41-O41</f>
        <v>0</v>
      </c>
      <c r="Z41" s="18">
        <f t="shared" si="123"/>
        <v>0</v>
      </c>
      <c r="AA41" s="18">
        <f t="shared" ref="AA41:AC41" si="124">F41-Q41</f>
        <v>728348</v>
      </c>
      <c r="AB41" s="18">
        <f t="shared" si="124"/>
        <v>935526</v>
      </c>
      <c r="AC41" s="18">
        <f t="shared" si="124"/>
        <v>1114902</v>
      </c>
      <c r="AD41" s="18">
        <f t="shared" si="5"/>
        <v>179376</v>
      </c>
      <c r="AE41" s="23">
        <f t="shared" si="6"/>
        <v>119.17381237934595</v>
      </c>
    </row>
    <row r="42" spans="1:31" ht="17.25" customHeight="1">
      <c r="A42" s="918"/>
      <c r="B42" s="25" t="s">
        <v>25</v>
      </c>
      <c r="C42" s="26">
        <f t="shared" ref="C42:I42" si="125">SUM(C37:C41)</f>
        <v>163435</v>
      </c>
      <c r="D42" s="26">
        <f t="shared" si="125"/>
        <v>138936</v>
      </c>
      <c r="E42" s="26">
        <f t="shared" si="125"/>
        <v>153074</v>
      </c>
      <c r="F42" s="26">
        <f t="shared" si="125"/>
        <v>737454</v>
      </c>
      <c r="G42" s="27">
        <f t="shared" si="125"/>
        <v>948027</v>
      </c>
      <c r="H42" s="28">
        <f t="shared" si="125"/>
        <v>1347965</v>
      </c>
      <c r="I42" s="28">
        <f t="shared" si="125"/>
        <v>399938</v>
      </c>
      <c r="J42" s="23">
        <f t="shared" si="121"/>
        <v>142.18635123261257</v>
      </c>
      <c r="K42" s="29">
        <f t="shared" si="109"/>
        <v>584380</v>
      </c>
      <c r="L42" s="26">
        <f t="shared" si="110"/>
        <v>598518</v>
      </c>
      <c r="M42" s="922"/>
      <c r="N42" s="25" t="s">
        <v>25</v>
      </c>
      <c r="O42" s="26">
        <f t="shared" ref="O42:T42" si="126">SUM(O37:O41)</f>
        <v>163435</v>
      </c>
      <c r="P42" s="26">
        <f t="shared" si="126"/>
        <v>138936</v>
      </c>
      <c r="Q42" s="26">
        <f t="shared" si="126"/>
        <v>0</v>
      </c>
      <c r="R42" s="27">
        <f t="shared" si="126"/>
        <v>0</v>
      </c>
      <c r="S42" s="26">
        <f t="shared" si="126"/>
        <v>0</v>
      </c>
      <c r="T42" s="26">
        <f t="shared" si="126"/>
        <v>0</v>
      </c>
      <c r="U42" s="23" t="e">
        <f t="shared" si="122"/>
        <v>#DIV/0!</v>
      </c>
      <c r="V42" s="26">
        <f t="shared" si="112"/>
        <v>-138936</v>
      </c>
      <c r="W42" s="922"/>
      <c r="X42" s="25" t="s">
        <v>25</v>
      </c>
      <c r="Y42" s="26">
        <f t="shared" ref="Y42:AA42" si="127">SUM(Y37:Y41)</f>
        <v>0</v>
      </c>
      <c r="Z42" s="26">
        <f t="shared" si="127"/>
        <v>0</v>
      </c>
      <c r="AA42" s="26">
        <f t="shared" si="127"/>
        <v>737454</v>
      </c>
      <c r="AB42" s="18">
        <f t="shared" ref="AB42:AC42" si="128">G42-R42</f>
        <v>948027</v>
      </c>
      <c r="AC42" s="18">
        <f t="shared" si="128"/>
        <v>1347965</v>
      </c>
      <c r="AD42" s="18">
        <f t="shared" si="5"/>
        <v>399938</v>
      </c>
      <c r="AE42" s="23">
        <f t="shared" si="6"/>
        <v>142.18635123261257</v>
      </c>
    </row>
    <row r="43" spans="1:31" ht="9" customHeight="1">
      <c r="A43" s="30"/>
      <c r="B43" s="31"/>
      <c r="C43" s="32"/>
      <c r="D43" s="32"/>
      <c r="E43" s="32"/>
      <c r="F43" s="32"/>
      <c r="G43" s="32"/>
      <c r="H43" s="34"/>
      <c r="I43" s="34"/>
      <c r="J43" s="35"/>
      <c r="K43" s="36"/>
      <c r="L43" s="32"/>
      <c r="M43" s="37"/>
      <c r="N43" s="31"/>
      <c r="O43" s="32"/>
      <c r="P43" s="32"/>
      <c r="Q43" s="32"/>
      <c r="R43" s="32"/>
      <c r="S43" s="32"/>
      <c r="T43" s="32"/>
      <c r="U43" s="38"/>
      <c r="V43" s="32"/>
      <c r="W43" s="37"/>
      <c r="X43" s="31"/>
      <c r="Y43" s="32"/>
      <c r="Z43" s="32"/>
      <c r="AA43" s="32"/>
      <c r="AB43" s="18">
        <f t="shared" ref="AB43:AC43" si="129">G43-R43</f>
        <v>0</v>
      </c>
      <c r="AC43" s="18">
        <f t="shared" si="129"/>
        <v>0</v>
      </c>
      <c r="AD43" s="18">
        <f t="shared" si="5"/>
        <v>0</v>
      </c>
      <c r="AE43" s="23" t="e">
        <f t="shared" si="6"/>
        <v>#DIV/0!</v>
      </c>
    </row>
    <row r="44" spans="1:31" ht="17.25" customHeight="1">
      <c r="A44" s="916" t="s">
        <v>36</v>
      </c>
      <c r="B44" s="17" t="s">
        <v>21</v>
      </c>
      <c r="C44" s="18">
        <v>5277400</v>
      </c>
      <c r="D44" s="18">
        <v>5277400</v>
      </c>
      <c r="E44" s="18">
        <v>5277400</v>
      </c>
      <c r="F44" s="18">
        <v>5282600</v>
      </c>
      <c r="G44" s="19">
        <v>5282600</v>
      </c>
      <c r="H44" s="20">
        <v>5282638</v>
      </c>
      <c r="I44" s="20">
        <f t="shared" ref="I44:I45" si="130">H44-G44</f>
        <v>38</v>
      </c>
      <c r="J44" s="21">
        <f>H44/G44*100</f>
        <v>100.00071934274789</v>
      </c>
      <c r="K44" s="22">
        <f t="shared" ref="K44:K50" si="131">F44-E44</f>
        <v>5200</v>
      </c>
      <c r="L44" s="18">
        <f t="shared" ref="L44:L50" si="132">F44-D44</f>
        <v>5200</v>
      </c>
      <c r="M44" s="920" t="s">
        <v>36</v>
      </c>
      <c r="N44" s="17" t="s">
        <v>21</v>
      </c>
      <c r="O44" s="18">
        <v>5277400</v>
      </c>
      <c r="P44" s="18">
        <v>5277400</v>
      </c>
      <c r="Q44" s="18">
        <v>0</v>
      </c>
      <c r="R44" s="19">
        <v>0</v>
      </c>
      <c r="S44" s="18">
        <v>0</v>
      </c>
      <c r="T44" s="18">
        <f t="shared" ref="T44:T45" si="133">S44-R44</f>
        <v>0</v>
      </c>
      <c r="U44" s="23" t="e">
        <f>S44/R44*100</f>
        <v>#DIV/0!</v>
      </c>
      <c r="V44" s="18">
        <f t="shared" ref="V44:V50" si="134">Q44-P44</f>
        <v>-5277400</v>
      </c>
      <c r="W44" s="920" t="s">
        <v>36</v>
      </c>
      <c r="X44" s="17" t="s">
        <v>21</v>
      </c>
      <c r="Y44" s="18">
        <f t="shared" ref="Y44:Z44" si="135">C44-O44</f>
        <v>0</v>
      </c>
      <c r="Z44" s="18">
        <f t="shared" si="135"/>
        <v>0</v>
      </c>
      <c r="AA44" s="18">
        <f t="shared" ref="AA44:AC44" si="136">F44-Q44</f>
        <v>5282600</v>
      </c>
      <c r="AB44" s="18">
        <f t="shared" si="136"/>
        <v>5282600</v>
      </c>
      <c r="AC44" s="18">
        <f t="shared" si="136"/>
        <v>5282638</v>
      </c>
      <c r="AD44" s="18">
        <f t="shared" si="5"/>
        <v>38</v>
      </c>
      <c r="AE44" s="23">
        <f t="shared" si="6"/>
        <v>100.00071934274789</v>
      </c>
    </row>
    <row r="45" spans="1:31" ht="17.25" customHeight="1">
      <c r="A45" s="917"/>
      <c r="B45" s="17" t="s">
        <v>37</v>
      </c>
      <c r="C45" s="18">
        <v>0</v>
      </c>
      <c r="D45" s="18">
        <v>0</v>
      </c>
      <c r="E45" s="18">
        <v>0</v>
      </c>
      <c r="F45" s="18">
        <v>0</v>
      </c>
      <c r="G45" s="19">
        <v>0</v>
      </c>
      <c r="H45" s="20">
        <v>0</v>
      </c>
      <c r="I45" s="20">
        <f t="shared" si="130"/>
        <v>0</v>
      </c>
      <c r="J45" s="21">
        <v>0</v>
      </c>
      <c r="K45" s="22">
        <f t="shared" si="131"/>
        <v>0</v>
      </c>
      <c r="L45" s="18">
        <f t="shared" si="132"/>
        <v>0</v>
      </c>
      <c r="M45" s="921"/>
      <c r="N45" s="17" t="s">
        <v>37</v>
      </c>
      <c r="O45" s="18">
        <v>0</v>
      </c>
      <c r="P45" s="18">
        <v>0</v>
      </c>
      <c r="Q45" s="18">
        <v>0</v>
      </c>
      <c r="R45" s="19">
        <v>0</v>
      </c>
      <c r="S45" s="18">
        <v>0</v>
      </c>
      <c r="T45" s="18">
        <f t="shared" si="133"/>
        <v>0</v>
      </c>
      <c r="U45" s="23">
        <v>0</v>
      </c>
      <c r="V45" s="18">
        <f t="shared" si="134"/>
        <v>0</v>
      </c>
      <c r="W45" s="921"/>
      <c r="X45" s="17" t="s">
        <v>37</v>
      </c>
      <c r="Y45" s="18">
        <f t="shared" ref="Y45:Z45" si="137">C45-O45</f>
        <v>0</v>
      </c>
      <c r="Z45" s="18">
        <f t="shared" si="137"/>
        <v>0</v>
      </c>
      <c r="AA45" s="18">
        <f t="shared" ref="AA45:AC45" si="138">F45-Q45</f>
        <v>0</v>
      </c>
      <c r="AB45" s="18">
        <f t="shared" si="138"/>
        <v>0</v>
      </c>
      <c r="AC45" s="18">
        <f t="shared" si="138"/>
        <v>0</v>
      </c>
      <c r="AD45" s="18">
        <f t="shared" si="5"/>
        <v>0</v>
      </c>
      <c r="AE45" s="23" t="e">
        <f t="shared" si="6"/>
        <v>#DIV/0!</v>
      </c>
    </row>
    <row r="46" spans="1:31" ht="17.25" customHeight="1">
      <c r="A46" s="918"/>
      <c r="B46" s="17" t="s">
        <v>25</v>
      </c>
      <c r="C46" s="18">
        <f t="shared" ref="C46:I46" si="139">SUM(C44:C45)</f>
        <v>5277400</v>
      </c>
      <c r="D46" s="18">
        <f t="shared" si="139"/>
        <v>5277400</v>
      </c>
      <c r="E46" s="18">
        <f t="shared" si="139"/>
        <v>5277400</v>
      </c>
      <c r="F46" s="26">
        <f t="shared" si="139"/>
        <v>5282600</v>
      </c>
      <c r="G46" s="27">
        <f t="shared" si="139"/>
        <v>5282600</v>
      </c>
      <c r="H46" s="28">
        <f t="shared" si="139"/>
        <v>5282638</v>
      </c>
      <c r="I46" s="28">
        <f t="shared" si="139"/>
        <v>38</v>
      </c>
      <c r="J46" s="23">
        <f>H46/G46*100</f>
        <v>100.00071934274789</v>
      </c>
      <c r="K46" s="22">
        <f t="shared" si="131"/>
        <v>5200</v>
      </c>
      <c r="L46" s="18">
        <f t="shared" si="132"/>
        <v>5200</v>
      </c>
      <c r="M46" s="922"/>
      <c r="N46" s="17" t="s">
        <v>25</v>
      </c>
      <c r="O46" s="18">
        <f t="shared" ref="O46:T46" si="140">SUM(O44:O45)</f>
        <v>5277400</v>
      </c>
      <c r="P46" s="18">
        <f t="shared" si="140"/>
        <v>5277400</v>
      </c>
      <c r="Q46" s="18">
        <f t="shared" si="140"/>
        <v>0</v>
      </c>
      <c r="R46" s="27">
        <f t="shared" si="140"/>
        <v>0</v>
      </c>
      <c r="S46" s="18">
        <f t="shared" si="140"/>
        <v>0</v>
      </c>
      <c r="T46" s="18">
        <f t="shared" si="140"/>
        <v>0</v>
      </c>
      <c r="U46" s="23" t="e">
        <f>S46/R46*100</f>
        <v>#DIV/0!</v>
      </c>
      <c r="V46" s="18">
        <f t="shared" si="134"/>
        <v>-5277400</v>
      </c>
      <c r="W46" s="922"/>
      <c r="X46" s="25" t="s">
        <v>25</v>
      </c>
      <c r="Y46" s="26">
        <f t="shared" ref="Y46:AA46" si="141">SUM(Y44:Y45)</f>
        <v>0</v>
      </c>
      <c r="Z46" s="26">
        <f t="shared" si="141"/>
        <v>0</v>
      </c>
      <c r="AA46" s="26">
        <f t="shared" si="141"/>
        <v>5282600</v>
      </c>
      <c r="AB46" s="18">
        <f t="shared" ref="AB46:AC46" si="142">G46-R46</f>
        <v>5282600</v>
      </c>
      <c r="AC46" s="18">
        <f t="shared" si="142"/>
        <v>5282638</v>
      </c>
      <c r="AD46" s="18">
        <f t="shared" si="5"/>
        <v>38</v>
      </c>
      <c r="AE46" s="23">
        <f t="shared" si="6"/>
        <v>100.00071934274789</v>
      </c>
    </row>
    <row r="47" spans="1:31" ht="17.25" customHeight="1">
      <c r="A47" s="30"/>
      <c r="B47" s="31"/>
      <c r="C47" s="32"/>
      <c r="D47" s="32"/>
      <c r="E47" s="32"/>
      <c r="F47" s="32"/>
      <c r="G47" s="32"/>
      <c r="H47" s="34"/>
      <c r="I47" s="34">
        <f t="shared" ref="I47:I49" si="143">H47-G47</f>
        <v>0</v>
      </c>
      <c r="J47" s="35"/>
      <c r="K47" s="36">
        <f t="shared" si="131"/>
        <v>0</v>
      </c>
      <c r="L47" s="32">
        <f t="shared" si="132"/>
        <v>0</v>
      </c>
      <c r="M47" s="37"/>
      <c r="N47" s="31"/>
      <c r="O47" s="32"/>
      <c r="P47" s="32"/>
      <c r="Q47" s="32"/>
      <c r="R47" s="32"/>
      <c r="S47" s="32"/>
      <c r="T47" s="32">
        <f t="shared" ref="T47:T49" si="144">S47-R47</f>
        <v>0</v>
      </c>
      <c r="U47" s="38"/>
      <c r="V47" s="32">
        <f t="shared" si="134"/>
        <v>0</v>
      </c>
      <c r="W47" s="37"/>
      <c r="X47" s="31"/>
      <c r="Y47" s="32"/>
      <c r="Z47" s="32"/>
      <c r="AA47" s="32"/>
      <c r="AB47" s="18">
        <f t="shared" ref="AB47:AC47" si="145">G47-R47</f>
        <v>0</v>
      </c>
      <c r="AC47" s="18">
        <f t="shared" si="145"/>
        <v>0</v>
      </c>
      <c r="AD47" s="18">
        <f t="shared" si="5"/>
        <v>0</v>
      </c>
      <c r="AE47" s="23" t="e">
        <f t="shared" si="6"/>
        <v>#DIV/0!</v>
      </c>
    </row>
    <row r="48" spans="1:31" ht="17.25" customHeight="1">
      <c r="A48" s="916" t="s">
        <v>38</v>
      </c>
      <c r="B48" s="39" t="s">
        <v>32</v>
      </c>
      <c r="C48" s="18">
        <v>180105</v>
      </c>
      <c r="D48" s="18">
        <v>135079</v>
      </c>
      <c r="E48" s="18">
        <v>196980</v>
      </c>
      <c r="F48" s="18">
        <v>0</v>
      </c>
      <c r="G48" s="19">
        <v>0</v>
      </c>
      <c r="H48" s="20">
        <v>0</v>
      </c>
      <c r="I48" s="20">
        <f t="shared" si="143"/>
        <v>0</v>
      </c>
      <c r="J48" s="21">
        <v>0</v>
      </c>
      <c r="K48" s="22">
        <f t="shared" si="131"/>
        <v>-196980</v>
      </c>
      <c r="L48" s="18">
        <f t="shared" si="132"/>
        <v>-135079</v>
      </c>
      <c r="M48" s="920" t="s">
        <v>38</v>
      </c>
      <c r="N48" s="39" t="s">
        <v>32</v>
      </c>
      <c r="O48" s="18">
        <v>180105</v>
      </c>
      <c r="P48" s="18">
        <v>135079</v>
      </c>
      <c r="Q48" s="18">
        <v>0</v>
      </c>
      <c r="R48" s="19">
        <v>0</v>
      </c>
      <c r="S48" s="18">
        <v>0</v>
      </c>
      <c r="T48" s="18">
        <f t="shared" si="144"/>
        <v>0</v>
      </c>
      <c r="U48" s="23">
        <v>0</v>
      </c>
      <c r="V48" s="18">
        <f t="shared" si="134"/>
        <v>-135079</v>
      </c>
      <c r="W48" s="920" t="s">
        <v>38</v>
      </c>
      <c r="X48" s="39" t="s">
        <v>32</v>
      </c>
      <c r="Y48" s="18">
        <f t="shared" ref="Y48:Z48" si="146">C48-O48</f>
        <v>0</v>
      </c>
      <c r="Z48" s="18">
        <f t="shared" si="146"/>
        <v>0</v>
      </c>
      <c r="AA48" s="18">
        <f t="shared" ref="AA48:AC48" si="147">F48-Q48</f>
        <v>0</v>
      </c>
      <c r="AB48" s="18">
        <f t="shared" si="147"/>
        <v>0</v>
      </c>
      <c r="AC48" s="18">
        <f t="shared" si="147"/>
        <v>0</v>
      </c>
      <c r="AD48" s="18">
        <f t="shared" si="5"/>
        <v>0</v>
      </c>
      <c r="AE48" s="23" t="e">
        <f t="shared" si="6"/>
        <v>#DIV/0!</v>
      </c>
    </row>
    <row r="49" spans="1:31" ht="17.25" customHeight="1">
      <c r="A49" s="917"/>
      <c r="B49" s="17" t="s">
        <v>24</v>
      </c>
      <c r="C49" s="18"/>
      <c r="D49" s="18"/>
      <c r="E49" s="18"/>
      <c r="F49" s="18">
        <v>247000</v>
      </c>
      <c r="G49" s="19">
        <v>236562</v>
      </c>
      <c r="H49" s="20">
        <v>174716</v>
      </c>
      <c r="I49" s="20">
        <f t="shared" si="143"/>
        <v>-61846</v>
      </c>
      <c r="J49" s="21">
        <f t="shared" ref="J49:J50" si="148">H49/G49*100</f>
        <v>73.856325191704499</v>
      </c>
      <c r="K49" s="22">
        <f t="shared" si="131"/>
        <v>247000</v>
      </c>
      <c r="L49" s="18">
        <f t="shared" si="132"/>
        <v>247000</v>
      </c>
      <c r="M49" s="921"/>
      <c r="N49" s="17" t="s">
        <v>24</v>
      </c>
      <c r="O49" s="18"/>
      <c r="P49" s="18"/>
      <c r="Q49" s="18">
        <v>0</v>
      </c>
      <c r="R49" s="19">
        <v>4000</v>
      </c>
      <c r="S49" s="18">
        <v>0</v>
      </c>
      <c r="T49" s="18">
        <f t="shared" si="144"/>
        <v>-4000</v>
      </c>
      <c r="U49" s="23">
        <f t="shared" ref="U49:U50" si="149">S49/R49*100</f>
        <v>0</v>
      </c>
      <c r="V49" s="18">
        <f t="shared" si="134"/>
        <v>0</v>
      </c>
      <c r="W49" s="921"/>
      <c r="X49" s="17" t="s">
        <v>24</v>
      </c>
      <c r="Y49" s="18">
        <f t="shared" ref="Y49:Z49" si="150">C49-O49</f>
        <v>0</v>
      </c>
      <c r="Z49" s="18">
        <f t="shared" si="150"/>
        <v>0</v>
      </c>
      <c r="AA49" s="18">
        <f t="shared" ref="AA49:AC49" si="151">F49-Q49</f>
        <v>247000</v>
      </c>
      <c r="AB49" s="18">
        <f t="shared" si="151"/>
        <v>232562</v>
      </c>
      <c r="AC49" s="18">
        <f t="shared" si="151"/>
        <v>174716</v>
      </c>
      <c r="AD49" s="18">
        <f t="shared" si="5"/>
        <v>-57846</v>
      </c>
      <c r="AE49" s="23">
        <f t="shared" si="6"/>
        <v>75.126632897893899</v>
      </c>
    </row>
    <row r="50" spans="1:31" ht="17.25" customHeight="1">
      <c r="A50" s="918"/>
      <c r="B50" s="25" t="s">
        <v>25</v>
      </c>
      <c r="C50" s="26">
        <f t="shared" ref="C50:I50" si="152">SUM(C48:C49)</f>
        <v>180105</v>
      </c>
      <c r="D50" s="26">
        <f t="shared" si="152"/>
        <v>135079</v>
      </c>
      <c r="E50" s="26">
        <f t="shared" si="152"/>
        <v>196980</v>
      </c>
      <c r="F50" s="26">
        <f t="shared" si="152"/>
        <v>247000</v>
      </c>
      <c r="G50" s="27">
        <f t="shared" si="152"/>
        <v>236562</v>
      </c>
      <c r="H50" s="28">
        <f t="shared" si="152"/>
        <v>174716</v>
      </c>
      <c r="I50" s="28">
        <f t="shared" si="152"/>
        <v>-61846</v>
      </c>
      <c r="J50" s="23">
        <f t="shared" si="148"/>
        <v>73.856325191704499</v>
      </c>
      <c r="K50" s="29">
        <f t="shared" si="131"/>
        <v>50020</v>
      </c>
      <c r="L50" s="26">
        <f t="shared" si="132"/>
        <v>111921</v>
      </c>
      <c r="M50" s="922"/>
      <c r="N50" s="25" t="s">
        <v>25</v>
      </c>
      <c r="O50" s="26">
        <f t="shared" ref="O50:T50" si="153">SUM(O48:O49)</f>
        <v>180105</v>
      </c>
      <c r="P50" s="26">
        <f t="shared" si="153"/>
        <v>135079</v>
      </c>
      <c r="Q50" s="26">
        <f t="shared" si="153"/>
        <v>0</v>
      </c>
      <c r="R50" s="27">
        <f t="shared" si="153"/>
        <v>4000</v>
      </c>
      <c r="S50" s="26">
        <f t="shared" si="153"/>
        <v>0</v>
      </c>
      <c r="T50" s="26">
        <f t="shared" si="153"/>
        <v>-4000</v>
      </c>
      <c r="U50" s="23">
        <f t="shared" si="149"/>
        <v>0</v>
      </c>
      <c r="V50" s="26">
        <f t="shared" si="134"/>
        <v>-135079</v>
      </c>
      <c r="W50" s="922"/>
      <c r="X50" s="25" t="s">
        <v>25</v>
      </c>
      <c r="Y50" s="26">
        <f t="shared" ref="Y50:AA50" si="154">SUM(Y48:Y49)</f>
        <v>0</v>
      </c>
      <c r="Z50" s="26">
        <f t="shared" si="154"/>
        <v>0</v>
      </c>
      <c r="AA50" s="26">
        <f t="shared" si="154"/>
        <v>247000</v>
      </c>
      <c r="AB50" s="18">
        <f t="shared" ref="AB50:AC50" si="155">G50-R50</f>
        <v>232562</v>
      </c>
      <c r="AC50" s="18">
        <f t="shared" si="155"/>
        <v>174716</v>
      </c>
      <c r="AD50" s="18">
        <f t="shared" si="5"/>
        <v>-57846</v>
      </c>
      <c r="AE50" s="23">
        <f t="shared" si="6"/>
        <v>75.126632897893899</v>
      </c>
    </row>
    <row r="51" spans="1:31" ht="9" customHeight="1">
      <c r="A51" s="30"/>
      <c r="B51" s="31"/>
      <c r="C51" s="32"/>
      <c r="D51" s="32"/>
      <c r="E51" s="32"/>
      <c r="F51" s="32"/>
      <c r="G51" s="32"/>
      <c r="H51" s="34"/>
      <c r="I51" s="34"/>
      <c r="J51" s="35"/>
      <c r="K51" s="36"/>
      <c r="L51" s="32"/>
      <c r="M51" s="37"/>
      <c r="N51" s="31"/>
      <c r="O51" s="32"/>
      <c r="P51" s="32"/>
      <c r="Q51" s="32"/>
      <c r="R51" s="32"/>
      <c r="S51" s="32"/>
      <c r="T51" s="32"/>
      <c r="U51" s="38"/>
      <c r="V51" s="32"/>
      <c r="W51" s="37"/>
      <c r="X51" s="31"/>
      <c r="Y51" s="32"/>
      <c r="Z51" s="32"/>
      <c r="AA51" s="32"/>
      <c r="AB51" s="18">
        <f t="shared" ref="AB51:AC51" si="156">G51-R51</f>
        <v>0</v>
      </c>
      <c r="AC51" s="18">
        <f t="shared" si="156"/>
        <v>0</v>
      </c>
      <c r="AD51" s="18">
        <f t="shared" si="5"/>
        <v>0</v>
      </c>
      <c r="AE51" s="23" t="e">
        <f t="shared" si="6"/>
        <v>#DIV/0!</v>
      </c>
    </row>
    <row r="52" spans="1:31" ht="17.25" customHeight="1">
      <c r="A52" s="916" t="s">
        <v>39</v>
      </c>
      <c r="B52" s="17" t="s">
        <v>40</v>
      </c>
      <c r="C52" s="18">
        <v>1597624</v>
      </c>
      <c r="D52" s="18">
        <v>1597624</v>
      </c>
      <c r="E52" s="18">
        <v>848277</v>
      </c>
      <c r="F52" s="18">
        <v>0</v>
      </c>
      <c r="G52" s="19">
        <v>0</v>
      </c>
      <c r="H52" s="20">
        <v>0</v>
      </c>
      <c r="I52" s="20">
        <f t="shared" ref="I52:I56" si="157">H52-G52</f>
        <v>0</v>
      </c>
      <c r="J52" s="21">
        <v>0</v>
      </c>
      <c r="K52" s="22">
        <f t="shared" ref="K52:K57" si="158">F52-E52</f>
        <v>-848277</v>
      </c>
      <c r="L52" s="18">
        <f t="shared" ref="L52:L57" si="159">F52-D52</f>
        <v>-1597624</v>
      </c>
      <c r="M52" s="920" t="s">
        <v>39</v>
      </c>
      <c r="N52" s="17" t="s">
        <v>40</v>
      </c>
      <c r="O52" s="18">
        <v>1597624</v>
      </c>
      <c r="P52" s="18">
        <v>1597624</v>
      </c>
      <c r="Q52" s="18">
        <v>0</v>
      </c>
      <c r="R52" s="19">
        <v>0</v>
      </c>
      <c r="S52" s="18">
        <v>0</v>
      </c>
      <c r="T52" s="18">
        <f t="shared" ref="T52:T56" si="160">S52-R52</f>
        <v>0</v>
      </c>
      <c r="U52" s="23">
        <v>0</v>
      </c>
      <c r="V52" s="18">
        <f t="shared" ref="V52:V57" si="161">Q52-P52</f>
        <v>-1597624</v>
      </c>
      <c r="W52" s="920" t="s">
        <v>39</v>
      </c>
      <c r="X52" s="17" t="s">
        <v>40</v>
      </c>
      <c r="Y52" s="18">
        <f t="shared" ref="Y52:Z52" si="162">C52-O52</f>
        <v>0</v>
      </c>
      <c r="Z52" s="18">
        <f t="shared" si="162"/>
        <v>0</v>
      </c>
      <c r="AA52" s="18">
        <f t="shared" ref="AA52:AC52" si="163">F52-Q52</f>
        <v>0</v>
      </c>
      <c r="AB52" s="18">
        <f t="shared" si="163"/>
        <v>0</v>
      </c>
      <c r="AC52" s="18">
        <f t="shared" si="163"/>
        <v>0</v>
      </c>
      <c r="AD52" s="18">
        <f t="shared" si="5"/>
        <v>0</v>
      </c>
      <c r="AE52" s="23" t="e">
        <f t="shared" si="6"/>
        <v>#DIV/0!</v>
      </c>
    </row>
    <row r="53" spans="1:31" ht="17.25" customHeight="1">
      <c r="A53" s="917"/>
      <c r="B53" s="39" t="s">
        <v>32</v>
      </c>
      <c r="C53" s="18">
        <v>2618866</v>
      </c>
      <c r="D53" s="18">
        <v>1964150</v>
      </c>
      <c r="E53" s="18">
        <v>2322238</v>
      </c>
      <c r="F53" s="18">
        <v>0</v>
      </c>
      <c r="G53" s="19">
        <v>0</v>
      </c>
      <c r="H53" s="20">
        <v>0</v>
      </c>
      <c r="I53" s="20">
        <f t="shared" si="157"/>
        <v>0</v>
      </c>
      <c r="J53" s="21">
        <v>0</v>
      </c>
      <c r="K53" s="22">
        <f t="shared" si="158"/>
        <v>-2322238</v>
      </c>
      <c r="L53" s="18">
        <f t="shared" si="159"/>
        <v>-1964150</v>
      </c>
      <c r="M53" s="921"/>
      <c r="N53" s="39" t="s">
        <v>32</v>
      </c>
      <c r="O53" s="18">
        <v>2618866</v>
      </c>
      <c r="P53" s="18">
        <v>1964150</v>
      </c>
      <c r="Q53" s="18">
        <v>0</v>
      </c>
      <c r="R53" s="19">
        <v>0</v>
      </c>
      <c r="S53" s="18">
        <v>0</v>
      </c>
      <c r="T53" s="18">
        <f t="shared" si="160"/>
        <v>0</v>
      </c>
      <c r="U53" s="23">
        <v>0</v>
      </c>
      <c r="V53" s="18">
        <f t="shared" si="161"/>
        <v>-1964150</v>
      </c>
      <c r="W53" s="921"/>
      <c r="X53" s="39" t="s">
        <v>32</v>
      </c>
      <c r="Y53" s="18">
        <f t="shared" ref="Y53:Z53" si="164">C53-O53</f>
        <v>0</v>
      </c>
      <c r="Z53" s="18">
        <f t="shared" si="164"/>
        <v>0</v>
      </c>
      <c r="AA53" s="18">
        <f t="shared" ref="AA53:AC53" si="165">F53-Q53</f>
        <v>0</v>
      </c>
      <c r="AB53" s="18">
        <f t="shared" si="165"/>
        <v>0</v>
      </c>
      <c r="AC53" s="18">
        <f t="shared" si="165"/>
        <v>0</v>
      </c>
      <c r="AD53" s="18">
        <f t="shared" si="5"/>
        <v>0</v>
      </c>
      <c r="AE53" s="23" t="e">
        <f t="shared" si="6"/>
        <v>#DIV/0!</v>
      </c>
    </row>
    <row r="54" spans="1:31" ht="17.25" customHeight="1">
      <c r="A54" s="917"/>
      <c r="B54" s="39" t="s">
        <v>33</v>
      </c>
      <c r="C54" s="18">
        <v>0</v>
      </c>
      <c r="D54" s="18">
        <v>0</v>
      </c>
      <c r="E54" s="18">
        <v>0</v>
      </c>
      <c r="F54" s="18">
        <v>0</v>
      </c>
      <c r="G54" s="19">
        <v>3982</v>
      </c>
      <c r="H54" s="20">
        <v>3982</v>
      </c>
      <c r="I54" s="20">
        <f t="shared" si="157"/>
        <v>0</v>
      </c>
      <c r="J54" s="21">
        <f t="shared" ref="J54:J57" si="166">H54/G54*100</f>
        <v>100</v>
      </c>
      <c r="K54" s="22">
        <f t="shared" si="158"/>
        <v>0</v>
      </c>
      <c r="L54" s="18">
        <f t="shared" si="159"/>
        <v>0</v>
      </c>
      <c r="M54" s="921"/>
      <c r="N54" s="39" t="s">
        <v>33</v>
      </c>
      <c r="O54" s="18">
        <v>0</v>
      </c>
      <c r="P54" s="18">
        <v>0</v>
      </c>
      <c r="Q54" s="18">
        <v>0</v>
      </c>
      <c r="R54" s="19">
        <v>3982</v>
      </c>
      <c r="S54" s="18">
        <v>3982</v>
      </c>
      <c r="T54" s="18">
        <f t="shared" si="160"/>
        <v>0</v>
      </c>
      <c r="U54" s="23">
        <f t="shared" ref="U54:U57" si="167">S54/R54*100</f>
        <v>100</v>
      </c>
      <c r="V54" s="18">
        <f t="shared" si="161"/>
        <v>0</v>
      </c>
      <c r="W54" s="921"/>
      <c r="X54" s="39" t="s">
        <v>33</v>
      </c>
      <c r="Y54" s="18">
        <f t="shared" ref="Y54:Z54" si="168">C54-O54</f>
        <v>0</v>
      </c>
      <c r="Z54" s="18">
        <f t="shared" si="168"/>
        <v>0</v>
      </c>
      <c r="AA54" s="18">
        <f t="shared" ref="AA54:AC54" si="169">F54-Q54</f>
        <v>0</v>
      </c>
      <c r="AB54" s="18">
        <f t="shared" si="169"/>
        <v>0</v>
      </c>
      <c r="AC54" s="18">
        <f t="shared" si="169"/>
        <v>0</v>
      </c>
      <c r="AD54" s="18">
        <f t="shared" si="5"/>
        <v>0</v>
      </c>
      <c r="AE54" s="23" t="e">
        <f t="shared" si="6"/>
        <v>#DIV/0!</v>
      </c>
    </row>
    <row r="55" spans="1:31" ht="17.25" customHeight="1">
      <c r="A55" s="917"/>
      <c r="B55" s="17" t="s">
        <v>24</v>
      </c>
      <c r="C55" s="18">
        <v>0</v>
      </c>
      <c r="D55" s="18"/>
      <c r="E55" s="18"/>
      <c r="F55" s="18">
        <v>3240500</v>
      </c>
      <c r="G55" s="19">
        <v>3200000</v>
      </c>
      <c r="H55" s="20">
        <v>2782525</v>
      </c>
      <c r="I55" s="20">
        <f t="shared" si="157"/>
        <v>-417475</v>
      </c>
      <c r="J55" s="21">
        <f t="shared" si="166"/>
        <v>86.953906250000003</v>
      </c>
      <c r="K55" s="22">
        <f t="shared" si="158"/>
        <v>3240500</v>
      </c>
      <c r="L55" s="18">
        <f t="shared" si="159"/>
        <v>3240500</v>
      </c>
      <c r="M55" s="921"/>
      <c r="N55" s="17" t="s">
        <v>24</v>
      </c>
      <c r="O55" s="18">
        <v>0</v>
      </c>
      <c r="P55" s="18">
        <v>0</v>
      </c>
      <c r="Q55" s="18">
        <v>1613987</v>
      </c>
      <c r="R55" s="19">
        <v>1613987</v>
      </c>
      <c r="S55" s="18">
        <v>1407925</v>
      </c>
      <c r="T55" s="18">
        <f t="shared" si="160"/>
        <v>-206062</v>
      </c>
      <c r="U55" s="23">
        <f t="shared" si="167"/>
        <v>87.232734836154194</v>
      </c>
      <c r="V55" s="18">
        <f t="shared" si="161"/>
        <v>1613987</v>
      </c>
      <c r="W55" s="921"/>
      <c r="X55" s="17" t="s">
        <v>24</v>
      </c>
      <c r="Y55" s="18">
        <f t="shared" ref="Y55:Z55" si="170">C55-O55</f>
        <v>0</v>
      </c>
      <c r="Z55" s="18">
        <f t="shared" si="170"/>
        <v>0</v>
      </c>
      <c r="AA55" s="18">
        <f t="shared" ref="AA55:AC55" si="171">F55-Q55</f>
        <v>1626513</v>
      </c>
      <c r="AB55" s="18">
        <f t="shared" si="171"/>
        <v>1586013</v>
      </c>
      <c r="AC55" s="18">
        <f t="shared" si="171"/>
        <v>1374600</v>
      </c>
      <c r="AD55" s="18">
        <f t="shared" si="5"/>
        <v>-211413</v>
      </c>
      <c r="AE55" s="23">
        <f t="shared" si="6"/>
        <v>86.670159702347959</v>
      </c>
    </row>
    <row r="56" spans="1:31" ht="17.25" customHeight="1">
      <c r="A56" s="917"/>
      <c r="B56" s="39" t="s">
        <v>23</v>
      </c>
      <c r="C56" s="18">
        <v>1250000</v>
      </c>
      <c r="D56" s="18">
        <v>1250000</v>
      </c>
      <c r="E56" s="18">
        <v>1250000</v>
      </c>
      <c r="F56" s="18">
        <v>560000</v>
      </c>
      <c r="G56" s="19">
        <v>560000</v>
      </c>
      <c r="H56" s="20">
        <v>0</v>
      </c>
      <c r="I56" s="20">
        <f t="shared" si="157"/>
        <v>-560000</v>
      </c>
      <c r="J56" s="21">
        <f t="shared" si="166"/>
        <v>0</v>
      </c>
      <c r="K56" s="22">
        <f t="shared" si="158"/>
        <v>-690000</v>
      </c>
      <c r="L56" s="18">
        <f t="shared" si="159"/>
        <v>-690000</v>
      </c>
      <c r="M56" s="921"/>
      <c r="N56" s="39" t="s">
        <v>23</v>
      </c>
      <c r="O56" s="18">
        <v>0</v>
      </c>
      <c r="P56" s="18">
        <v>0</v>
      </c>
      <c r="Q56" s="18">
        <v>0</v>
      </c>
      <c r="R56" s="19">
        <v>0</v>
      </c>
      <c r="S56" s="18">
        <v>0</v>
      </c>
      <c r="T56" s="18">
        <f t="shared" si="160"/>
        <v>0</v>
      </c>
      <c r="U56" s="23" t="e">
        <f t="shared" si="167"/>
        <v>#DIV/0!</v>
      </c>
      <c r="V56" s="18">
        <f t="shared" si="161"/>
        <v>0</v>
      </c>
      <c r="W56" s="921"/>
      <c r="X56" s="39" t="s">
        <v>23</v>
      </c>
      <c r="Y56" s="18">
        <f t="shared" ref="Y56:Z56" si="172">C56-O56</f>
        <v>1250000</v>
      </c>
      <c r="Z56" s="18">
        <f t="shared" si="172"/>
        <v>1250000</v>
      </c>
      <c r="AA56" s="18">
        <f t="shared" ref="AA56:AC56" si="173">F56-Q56</f>
        <v>560000</v>
      </c>
      <c r="AB56" s="18">
        <f t="shared" si="173"/>
        <v>560000</v>
      </c>
      <c r="AC56" s="18">
        <f t="shared" si="173"/>
        <v>0</v>
      </c>
      <c r="AD56" s="18">
        <f t="shared" si="5"/>
        <v>-560000</v>
      </c>
      <c r="AE56" s="23">
        <f t="shared" si="6"/>
        <v>0</v>
      </c>
    </row>
    <row r="57" spans="1:31" ht="17.25" customHeight="1">
      <c r="A57" s="918"/>
      <c r="B57" s="25" t="s">
        <v>25</v>
      </c>
      <c r="C57" s="26">
        <f t="shared" ref="C57:I57" si="174">SUM(C52:C56)</f>
        <v>5466490</v>
      </c>
      <c r="D57" s="26">
        <f t="shared" si="174"/>
        <v>4811774</v>
      </c>
      <c r="E57" s="26">
        <f t="shared" si="174"/>
        <v>4420515</v>
      </c>
      <c r="F57" s="26">
        <f t="shared" si="174"/>
        <v>3800500</v>
      </c>
      <c r="G57" s="27">
        <f t="shared" si="174"/>
        <v>3763982</v>
      </c>
      <c r="H57" s="28">
        <f t="shared" si="174"/>
        <v>2786507</v>
      </c>
      <c r="I57" s="28">
        <f t="shared" si="174"/>
        <v>-977475</v>
      </c>
      <c r="J57" s="23">
        <f t="shared" si="166"/>
        <v>74.030826927440145</v>
      </c>
      <c r="K57" s="29">
        <f t="shared" si="158"/>
        <v>-620015</v>
      </c>
      <c r="L57" s="26">
        <f t="shared" si="159"/>
        <v>-1011274</v>
      </c>
      <c r="M57" s="922"/>
      <c r="N57" s="25" t="s">
        <v>25</v>
      </c>
      <c r="O57" s="26">
        <f t="shared" ref="O57:T57" si="175">SUM(O52:O56)</f>
        <v>4216490</v>
      </c>
      <c r="P57" s="26">
        <f t="shared" si="175"/>
        <v>3561774</v>
      </c>
      <c r="Q57" s="26">
        <f t="shared" si="175"/>
        <v>1613987</v>
      </c>
      <c r="R57" s="27">
        <f t="shared" si="175"/>
        <v>1617969</v>
      </c>
      <c r="S57" s="26">
        <f t="shared" si="175"/>
        <v>1411907</v>
      </c>
      <c r="T57" s="26">
        <f t="shared" si="175"/>
        <v>-206062</v>
      </c>
      <c r="U57" s="23">
        <f t="shared" si="167"/>
        <v>87.264156482602573</v>
      </c>
      <c r="V57" s="26">
        <f t="shared" si="161"/>
        <v>-1947787</v>
      </c>
      <c r="W57" s="922"/>
      <c r="X57" s="25" t="s">
        <v>25</v>
      </c>
      <c r="Y57" s="26">
        <f t="shared" ref="Y57:AA57" si="176">SUM(Y52:Y56)</f>
        <v>1250000</v>
      </c>
      <c r="Z57" s="26">
        <f t="shared" si="176"/>
        <v>1250000</v>
      </c>
      <c r="AA57" s="26">
        <f t="shared" si="176"/>
        <v>2186513</v>
      </c>
      <c r="AB57" s="18">
        <f t="shared" ref="AB57:AC57" si="177">G57-R57</f>
        <v>2146013</v>
      </c>
      <c r="AC57" s="18">
        <f t="shared" si="177"/>
        <v>1374600</v>
      </c>
      <c r="AD57" s="18">
        <f t="shared" si="5"/>
        <v>-771413</v>
      </c>
      <c r="AE57" s="23">
        <f t="shared" si="6"/>
        <v>64.053666030914073</v>
      </c>
    </row>
    <row r="58" spans="1:31" ht="9" customHeight="1">
      <c r="A58" s="30"/>
      <c r="B58" s="31"/>
      <c r="C58" s="32"/>
      <c r="D58" s="32"/>
      <c r="E58" s="32"/>
      <c r="F58" s="32"/>
      <c r="G58" s="32"/>
      <c r="H58" s="40"/>
      <c r="I58" s="34"/>
      <c r="J58" s="35"/>
      <c r="K58" s="36"/>
      <c r="L58" s="32"/>
      <c r="M58" s="37"/>
      <c r="N58" s="31"/>
      <c r="O58" s="32"/>
      <c r="P58" s="32"/>
      <c r="Q58" s="32"/>
      <c r="R58" s="32"/>
      <c r="S58" s="32"/>
      <c r="T58" s="32"/>
      <c r="U58" s="38"/>
      <c r="V58" s="32"/>
      <c r="W58" s="37"/>
      <c r="X58" s="31"/>
      <c r="Y58" s="32"/>
      <c r="Z58" s="32"/>
      <c r="AA58" s="32"/>
      <c r="AB58" s="18">
        <f t="shared" ref="AB58:AC58" si="178">G58-R58</f>
        <v>0</v>
      </c>
      <c r="AC58" s="18">
        <f t="shared" si="178"/>
        <v>0</v>
      </c>
      <c r="AD58" s="18">
        <f t="shared" si="5"/>
        <v>0</v>
      </c>
      <c r="AE58" s="23" t="e">
        <f t="shared" si="6"/>
        <v>#DIV/0!</v>
      </c>
    </row>
    <row r="59" spans="1:31" ht="17.25" customHeight="1">
      <c r="A59" s="916" t="s">
        <v>41</v>
      </c>
      <c r="B59" s="39" t="s">
        <v>32</v>
      </c>
      <c r="C59" s="18">
        <v>6700000</v>
      </c>
      <c r="D59" s="18">
        <v>5025000</v>
      </c>
      <c r="E59" s="18">
        <v>7567609</v>
      </c>
      <c r="F59" s="18">
        <v>0</v>
      </c>
      <c r="G59" s="19">
        <v>0</v>
      </c>
      <c r="H59" s="20">
        <v>0</v>
      </c>
      <c r="I59" s="20">
        <f t="shared" ref="I59:I62" si="179">H59-G59</f>
        <v>0</v>
      </c>
      <c r="J59" s="21">
        <v>0</v>
      </c>
      <c r="K59" s="22">
        <f t="shared" ref="K59:K63" si="180">F59-E59</f>
        <v>-7567609</v>
      </c>
      <c r="L59" s="18">
        <f t="shared" ref="L59:L63" si="181">F59-D59</f>
        <v>-5025000</v>
      </c>
      <c r="M59" s="920" t="s">
        <v>41</v>
      </c>
      <c r="N59" s="39" t="s">
        <v>32</v>
      </c>
      <c r="O59" s="18">
        <v>6700000</v>
      </c>
      <c r="P59" s="18">
        <v>5025000</v>
      </c>
      <c r="Q59" s="18">
        <v>0</v>
      </c>
      <c r="R59" s="19">
        <v>0</v>
      </c>
      <c r="S59" s="18">
        <v>0</v>
      </c>
      <c r="T59" s="18">
        <f t="shared" ref="T59:T62" si="182">S59-R59</f>
        <v>0</v>
      </c>
      <c r="U59" s="23">
        <v>0</v>
      </c>
      <c r="V59" s="18">
        <f t="shared" ref="V59:V63" si="183">Q59-P59</f>
        <v>-5025000</v>
      </c>
      <c r="W59" s="920" t="s">
        <v>41</v>
      </c>
      <c r="X59" s="39" t="s">
        <v>32</v>
      </c>
      <c r="Y59" s="18">
        <f t="shared" ref="Y59:Z59" si="184">C59-O59</f>
        <v>0</v>
      </c>
      <c r="Z59" s="18">
        <f t="shared" si="184"/>
        <v>0</v>
      </c>
      <c r="AA59" s="18">
        <f t="shared" ref="AA59:AC59" si="185">F59-Q59</f>
        <v>0</v>
      </c>
      <c r="AB59" s="18">
        <f t="shared" si="185"/>
        <v>0</v>
      </c>
      <c r="AC59" s="18">
        <f t="shared" si="185"/>
        <v>0</v>
      </c>
      <c r="AD59" s="18">
        <f t="shared" si="5"/>
        <v>0</v>
      </c>
      <c r="AE59" s="23" t="e">
        <f t="shared" si="6"/>
        <v>#DIV/0!</v>
      </c>
    </row>
    <row r="60" spans="1:31" ht="17.25" customHeight="1">
      <c r="A60" s="917"/>
      <c r="B60" s="39" t="s">
        <v>33</v>
      </c>
      <c r="C60" s="18">
        <v>0</v>
      </c>
      <c r="D60" s="18">
        <v>0</v>
      </c>
      <c r="E60" s="18">
        <v>116</v>
      </c>
      <c r="F60" s="18">
        <v>116</v>
      </c>
      <c r="G60" s="19">
        <v>116</v>
      </c>
      <c r="H60" s="20">
        <v>0</v>
      </c>
      <c r="I60" s="20">
        <f t="shared" si="179"/>
        <v>-116</v>
      </c>
      <c r="J60" s="21">
        <f>H60/G60*100</f>
        <v>0</v>
      </c>
      <c r="K60" s="22">
        <f t="shared" si="180"/>
        <v>0</v>
      </c>
      <c r="L60" s="18">
        <f t="shared" si="181"/>
        <v>116</v>
      </c>
      <c r="M60" s="921"/>
      <c r="N60" s="39" t="s">
        <v>33</v>
      </c>
      <c r="O60" s="18">
        <v>0</v>
      </c>
      <c r="P60" s="18">
        <v>0</v>
      </c>
      <c r="Q60" s="18">
        <v>0</v>
      </c>
      <c r="R60" s="19">
        <v>0</v>
      </c>
      <c r="S60" s="18">
        <v>0</v>
      </c>
      <c r="T60" s="18">
        <f t="shared" si="182"/>
        <v>0</v>
      </c>
      <c r="U60" s="23" t="e">
        <f>S60/R60*100</f>
        <v>#DIV/0!</v>
      </c>
      <c r="V60" s="18">
        <f t="shared" si="183"/>
        <v>0</v>
      </c>
      <c r="W60" s="921"/>
      <c r="X60" s="39" t="s">
        <v>33</v>
      </c>
      <c r="Y60" s="18">
        <f t="shared" ref="Y60:Z60" si="186">C60-O60</f>
        <v>0</v>
      </c>
      <c r="Z60" s="18">
        <f t="shared" si="186"/>
        <v>0</v>
      </c>
      <c r="AA60" s="18">
        <f t="shared" ref="AA60:AC60" si="187">F60-Q60</f>
        <v>116</v>
      </c>
      <c r="AB60" s="18">
        <f t="shared" si="187"/>
        <v>116</v>
      </c>
      <c r="AC60" s="18">
        <f t="shared" si="187"/>
        <v>0</v>
      </c>
      <c r="AD60" s="18">
        <f t="shared" si="5"/>
        <v>-116</v>
      </c>
      <c r="AE60" s="23">
        <f t="shared" si="6"/>
        <v>0</v>
      </c>
    </row>
    <row r="61" spans="1:31" ht="17.25" customHeight="1">
      <c r="A61" s="917"/>
      <c r="B61" s="17" t="s">
        <v>28</v>
      </c>
      <c r="C61" s="18">
        <v>0</v>
      </c>
      <c r="D61" s="18">
        <v>0</v>
      </c>
      <c r="E61" s="18">
        <v>0</v>
      </c>
      <c r="F61" s="18">
        <v>0</v>
      </c>
      <c r="G61" s="19">
        <v>0</v>
      </c>
      <c r="H61" s="20">
        <v>0</v>
      </c>
      <c r="I61" s="20">
        <f t="shared" si="179"/>
        <v>0</v>
      </c>
      <c r="J61" s="21">
        <v>0</v>
      </c>
      <c r="K61" s="22">
        <f t="shared" si="180"/>
        <v>0</v>
      </c>
      <c r="L61" s="18">
        <f t="shared" si="181"/>
        <v>0</v>
      </c>
      <c r="M61" s="921"/>
      <c r="N61" s="17" t="s">
        <v>28</v>
      </c>
      <c r="O61" s="18">
        <v>0</v>
      </c>
      <c r="P61" s="18">
        <v>0</v>
      </c>
      <c r="Q61" s="18">
        <v>0</v>
      </c>
      <c r="R61" s="19">
        <v>0</v>
      </c>
      <c r="S61" s="18">
        <v>0</v>
      </c>
      <c r="T61" s="18">
        <f t="shared" si="182"/>
        <v>0</v>
      </c>
      <c r="U61" s="23">
        <v>0</v>
      </c>
      <c r="V61" s="18">
        <f t="shared" si="183"/>
        <v>0</v>
      </c>
      <c r="W61" s="921"/>
      <c r="X61" s="17" t="s">
        <v>28</v>
      </c>
      <c r="Y61" s="18">
        <f t="shared" ref="Y61:Z61" si="188">C61-O61</f>
        <v>0</v>
      </c>
      <c r="Z61" s="18">
        <f t="shared" si="188"/>
        <v>0</v>
      </c>
      <c r="AA61" s="18">
        <f t="shared" ref="AA61:AC61" si="189">F61-Q61</f>
        <v>0</v>
      </c>
      <c r="AB61" s="18">
        <f t="shared" si="189"/>
        <v>0</v>
      </c>
      <c r="AC61" s="18">
        <f t="shared" si="189"/>
        <v>0</v>
      </c>
      <c r="AD61" s="18">
        <f t="shared" si="5"/>
        <v>0</v>
      </c>
      <c r="AE61" s="23" t="e">
        <f t="shared" si="6"/>
        <v>#DIV/0!</v>
      </c>
    </row>
    <row r="62" spans="1:31" ht="17.25" customHeight="1">
      <c r="A62" s="917"/>
      <c r="B62" s="17" t="s">
        <v>24</v>
      </c>
      <c r="C62" s="18">
        <v>0</v>
      </c>
      <c r="D62" s="18"/>
      <c r="E62" s="18"/>
      <c r="F62" s="18">
        <v>6700000</v>
      </c>
      <c r="G62" s="19">
        <v>7700000</v>
      </c>
      <c r="H62" s="20">
        <v>8067186</v>
      </c>
      <c r="I62" s="20">
        <f t="shared" si="179"/>
        <v>367186</v>
      </c>
      <c r="J62" s="21">
        <f t="shared" ref="J62:J63" si="190">H62/G62*100</f>
        <v>104.76864935064935</v>
      </c>
      <c r="K62" s="22">
        <f t="shared" si="180"/>
        <v>6700000</v>
      </c>
      <c r="L62" s="18">
        <f t="shared" si="181"/>
        <v>6700000</v>
      </c>
      <c r="M62" s="921"/>
      <c r="N62" s="17" t="s">
        <v>24</v>
      </c>
      <c r="O62" s="18">
        <v>0</v>
      </c>
      <c r="P62" s="18">
        <v>0</v>
      </c>
      <c r="Q62" s="18">
        <v>0</v>
      </c>
      <c r="R62" s="19">
        <v>0</v>
      </c>
      <c r="S62" s="18">
        <v>0</v>
      </c>
      <c r="T62" s="18">
        <f t="shared" si="182"/>
        <v>0</v>
      </c>
      <c r="U62" s="23" t="e">
        <f t="shared" ref="U62:U63" si="191">S62/R62*100</f>
        <v>#DIV/0!</v>
      </c>
      <c r="V62" s="18">
        <f t="shared" si="183"/>
        <v>0</v>
      </c>
      <c r="W62" s="921"/>
      <c r="X62" s="17" t="s">
        <v>24</v>
      </c>
      <c r="Y62" s="18">
        <f t="shared" ref="Y62:Z62" si="192">C62-O62</f>
        <v>0</v>
      </c>
      <c r="Z62" s="18">
        <f t="shared" si="192"/>
        <v>0</v>
      </c>
      <c r="AA62" s="18">
        <f t="shared" ref="AA62:AC62" si="193">F62-Q62</f>
        <v>6700000</v>
      </c>
      <c r="AB62" s="18">
        <f t="shared" si="193"/>
        <v>7700000</v>
      </c>
      <c r="AC62" s="18">
        <f t="shared" si="193"/>
        <v>8067186</v>
      </c>
      <c r="AD62" s="18">
        <f t="shared" si="5"/>
        <v>367186</v>
      </c>
      <c r="AE62" s="23">
        <f t="shared" si="6"/>
        <v>104.76864935064935</v>
      </c>
    </row>
    <row r="63" spans="1:31" ht="17.25" customHeight="1">
      <c r="A63" s="923"/>
      <c r="B63" s="41" t="s">
        <v>25</v>
      </c>
      <c r="C63" s="42">
        <f t="shared" ref="C63:I63" si="194">SUM(C59:C62)</f>
        <v>6700000</v>
      </c>
      <c r="D63" s="42">
        <f t="shared" si="194"/>
        <v>5025000</v>
      </c>
      <c r="E63" s="42">
        <f t="shared" si="194"/>
        <v>7567725</v>
      </c>
      <c r="F63" s="42">
        <f t="shared" si="194"/>
        <v>6700116</v>
      </c>
      <c r="G63" s="43">
        <f t="shared" si="194"/>
        <v>7700116</v>
      </c>
      <c r="H63" s="44">
        <f t="shared" si="194"/>
        <v>8067186</v>
      </c>
      <c r="I63" s="44">
        <f t="shared" si="194"/>
        <v>367070</v>
      </c>
      <c r="J63" s="23">
        <f t="shared" si="190"/>
        <v>104.76707104152716</v>
      </c>
      <c r="K63" s="29">
        <f t="shared" si="180"/>
        <v>-867609</v>
      </c>
      <c r="L63" s="26">
        <f t="shared" si="181"/>
        <v>1675116</v>
      </c>
      <c r="M63" s="922"/>
      <c r="N63" s="25" t="s">
        <v>25</v>
      </c>
      <c r="O63" s="26">
        <f t="shared" ref="O63:T63" si="195">SUM(O59:O62)</f>
        <v>6700000</v>
      </c>
      <c r="P63" s="26">
        <f t="shared" si="195"/>
        <v>5025000</v>
      </c>
      <c r="Q63" s="26">
        <f t="shared" si="195"/>
        <v>0</v>
      </c>
      <c r="R63" s="43">
        <f t="shared" si="195"/>
        <v>0</v>
      </c>
      <c r="S63" s="26">
        <f t="shared" si="195"/>
        <v>0</v>
      </c>
      <c r="T63" s="26">
        <f t="shared" si="195"/>
        <v>0</v>
      </c>
      <c r="U63" s="23" t="e">
        <f t="shared" si="191"/>
        <v>#DIV/0!</v>
      </c>
      <c r="V63" s="26">
        <f t="shared" si="183"/>
        <v>-5025000</v>
      </c>
      <c r="W63" s="922"/>
      <c r="X63" s="25" t="s">
        <v>25</v>
      </c>
      <c r="Y63" s="26">
        <f t="shared" ref="Y63:AA63" si="196">SUM(Y59:Y62)</f>
        <v>0</v>
      </c>
      <c r="Z63" s="26">
        <f t="shared" si="196"/>
        <v>0</v>
      </c>
      <c r="AA63" s="26">
        <f t="shared" si="196"/>
        <v>6700116</v>
      </c>
      <c r="AB63" s="18">
        <f t="shared" ref="AB63:AC63" si="197">G63-R63</f>
        <v>7700116</v>
      </c>
      <c r="AC63" s="18">
        <f t="shared" si="197"/>
        <v>8067186</v>
      </c>
      <c r="AD63" s="18">
        <f t="shared" si="5"/>
        <v>367070</v>
      </c>
      <c r="AE63" s="23">
        <f t="shared" si="6"/>
        <v>104.76707104152716</v>
      </c>
    </row>
    <row r="64" spans="1:31" ht="9" customHeight="1">
      <c r="A64" s="37"/>
      <c r="B64" s="31"/>
      <c r="C64" s="45"/>
      <c r="D64" s="45"/>
      <c r="E64" s="45"/>
      <c r="F64" s="45"/>
      <c r="G64" s="45"/>
      <c r="H64" s="34"/>
      <c r="I64" s="46"/>
      <c r="J64" s="47"/>
      <c r="K64" s="32"/>
      <c r="L64" s="32"/>
      <c r="M64" s="37"/>
      <c r="N64" s="31"/>
      <c r="O64" s="32"/>
      <c r="P64" s="32"/>
      <c r="Q64" s="32"/>
      <c r="R64" s="45"/>
      <c r="S64" s="32"/>
      <c r="T64" s="32"/>
      <c r="U64" s="48"/>
      <c r="V64" s="32"/>
      <c r="W64" s="37"/>
      <c r="X64" s="31"/>
      <c r="Y64" s="32"/>
      <c r="Z64" s="32"/>
      <c r="AA64" s="32"/>
      <c r="AB64" s="18">
        <f t="shared" ref="AB64:AC64" si="198">G64-R64</f>
        <v>0</v>
      </c>
      <c r="AC64" s="18">
        <f t="shared" si="198"/>
        <v>0</v>
      </c>
      <c r="AD64" s="18">
        <f t="shared" si="5"/>
        <v>0</v>
      </c>
      <c r="AE64" s="23" t="e">
        <f t="shared" si="6"/>
        <v>#DIV/0!</v>
      </c>
    </row>
    <row r="65" spans="1:31" ht="17.25" customHeight="1">
      <c r="A65" s="920" t="s">
        <v>42</v>
      </c>
      <c r="B65" s="17" t="s">
        <v>21</v>
      </c>
      <c r="C65" s="18">
        <v>10000</v>
      </c>
      <c r="D65" s="18">
        <v>10000</v>
      </c>
      <c r="E65" s="18">
        <v>7500</v>
      </c>
      <c r="F65" s="18">
        <v>0</v>
      </c>
      <c r="G65" s="19">
        <v>0</v>
      </c>
      <c r="H65" s="20">
        <v>0</v>
      </c>
      <c r="I65" s="20">
        <f t="shared" ref="I65:I69" si="199">H65-G65</f>
        <v>0</v>
      </c>
      <c r="J65" s="21">
        <v>0</v>
      </c>
      <c r="K65" s="18">
        <f t="shared" ref="K65:K70" si="200">F65-E65</f>
        <v>-7500</v>
      </c>
      <c r="L65" s="18">
        <f t="shared" ref="L65:L70" si="201">F65-D65</f>
        <v>-10000</v>
      </c>
      <c r="M65" s="920" t="s">
        <v>42</v>
      </c>
      <c r="N65" s="17" t="s">
        <v>21</v>
      </c>
      <c r="O65" s="18">
        <v>10000</v>
      </c>
      <c r="P65" s="18">
        <v>10000</v>
      </c>
      <c r="Q65" s="18">
        <v>0</v>
      </c>
      <c r="R65" s="19">
        <v>0</v>
      </c>
      <c r="S65" s="18">
        <v>0</v>
      </c>
      <c r="T65" s="18">
        <f t="shared" ref="T65:T69" si="202">S65-R65</f>
        <v>0</v>
      </c>
      <c r="U65" s="23">
        <v>0</v>
      </c>
      <c r="V65" s="18">
        <f t="shared" ref="V65:V70" si="203">Q65-P65</f>
        <v>-10000</v>
      </c>
      <c r="W65" s="920" t="s">
        <v>42</v>
      </c>
      <c r="X65" s="17" t="s">
        <v>21</v>
      </c>
      <c r="Y65" s="18">
        <f t="shared" ref="Y65:Z65" si="204">C65-O65</f>
        <v>0</v>
      </c>
      <c r="Z65" s="18">
        <f t="shared" si="204"/>
        <v>0</v>
      </c>
      <c r="AA65" s="18">
        <f t="shared" ref="AA65:AC65" si="205">F65-Q65</f>
        <v>0</v>
      </c>
      <c r="AB65" s="18">
        <f t="shared" si="205"/>
        <v>0</v>
      </c>
      <c r="AC65" s="18">
        <f t="shared" si="205"/>
        <v>0</v>
      </c>
      <c r="AD65" s="18">
        <f t="shared" si="5"/>
        <v>0</v>
      </c>
      <c r="AE65" s="23" t="e">
        <f t="shared" si="6"/>
        <v>#DIV/0!</v>
      </c>
    </row>
    <row r="66" spans="1:31" ht="17.25" customHeight="1">
      <c r="A66" s="921"/>
      <c r="B66" s="17" t="s">
        <v>28</v>
      </c>
      <c r="C66" s="18">
        <v>5000</v>
      </c>
      <c r="D66" s="18">
        <v>2500</v>
      </c>
      <c r="E66" s="18">
        <v>116277</v>
      </c>
      <c r="F66" s="18">
        <v>2000</v>
      </c>
      <c r="G66" s="19">
        <v>11531</v>
      </c>
      <c r="H66" s="20">
        <v>702</v>
      </c>
      <c r="I66" s="20">
        <f t="shared" si="199"/>
        <v>-10829</v>
      </c>
      <c r="J66" s="21">
        <f>H66/G66*100</f>
        <v>6.0879368658399091</v>
      </c>
      <c r="K66" s="18">
        <f t="shared" si="200"/>
        <v>-114277</v>
      </c>
      <c r="L66" s="18">
        <f t="shared" si="201"/>
        <v>-500</v>
      </c>
      <c r="M66" s="921"/>
      <c r="N66" s="17" t="s">
        <v>28</v>
      </c>
      <c r="O66" s="18">
        <v>5000</v>
      </c>
      <c r="P66" s="18">
        <v>2500</v>
      </c>
      <c r="Q66" s="18">
        <v>0</v>
      </c>
      <c r="R66" s="19">
        <v>0</v>
      </c>
      <c r="S66" s="18">
        <v>0</v>
      </c>
      <c r="T66" s="18">
        <f t="shared" si="202"/>
        <v>0</v>
      </c>
      <c r="U66" s="23" t="e">
        <f>S66/R66*100</f>
        <v>#DIV/0!</v>
      </c>
      <c r="V66" s="18">
        <f t="shared" si="203"/>
        <v>-2500</v>
      </c>
      <c r="W66" s="921"/>
      <c r="X66" s="17" t="s">
        <v>28</v>
      </c>
      <c r="Y66" s="18">
        <f t="shared" ref="Y66:Z66" si="206">C66-O66</f>
        <v>0</v>
      </c>
      <c r="Z66" s="18">
        <f t="shared" si="206"/>
        <v>0</v>
      </c>
      <c r="AA66" s="18">
        <f t="shared" ref="AA66:AC66" si="207">F66-Q66</f>
        <v>2000</v>
      </c>
      <c r="AB66" s="18">
        <f t="shared" si="207"/>
        <v>11531</v>
      </c>
      <c r="AC66" s="18">
        <f t="shared" si="207"/>
        <v>702</v>
      </c>
      <c r="AD66" s="18">
        <f t="shared" si="5"/>
        <v>-10829</v>
      </c>
      <c r="AE66" s="23">
        <f t="shared" si="6"/>
        <v>6.0879368658399091</v>
      </c>
    </row>
    <row r="67" spans="1:31" ht="17.25" customHeight="1">
      <c r="A67" s="921"/>
      <c r="B67" s="39" t="s">
        <v>32</v>
      </c>
      <c r="C67" s="18">
        <v>235000</v>
      </c>
      <c r="D67" s="18">
        <v>176250</v>
      </c>
      <c r="E67" s="18">
        <v>439417</v>
      </c>
      <c r="F67" s="18">
        <v>0</v>
      </c>
      <c r="G67" s="19">
        <v>0</v>
      </c>
      <c r="H67" s="20">
        <v>0</v>
      </c>
      <c r="I67" s="20">
        <f t="shared" si="199"/>
        <v>0</v>
      </c>
      <c r="J67" s="21">
        <v>0</v>
      </c>
      <c r="K67" s="18">
        <f t="shared" si="200"/>
        <v>-439417</v>
      </c>
      <c r="L67" s="18">
        <f t="shared" si="201"/>
        <v>-176250</v>
      </c>
      <c r="M67" s="921"/>
      <c r="N67" s="39" t="s">
        <v>32</v>
      </c>
      <c r="O67" s="18">
        <v>235000</v>
      </c>
      <c r="P67" s="18">
        <v>176250</v>
      </c>
      <c r="Q67" s="18">
        <v>0</v>
      </c>
      <c r="R67" s="19">
        <v>0</v>
      </c>
      <c r="S67" s="18">
        <v>0</v>
      </c>
      <c r="T67" s="18">
        <f t="shared" si="202"/>
        <v>0</v>
      </c>
      <c r="U67" s="23">
        <v>0</v>
      </c>
      <c r="V67" s="18">
        <f t="shared" si="203"/>
        <v>-176250</v>
      </c>
      <c r="W67" s="921"/>
      <c r="X67" s="39" t="s">
        <v>32</v>
      </c>
      <c r="Y67" s="18">
        <f t="shared" ref="Y67:Z67" si="208">C67-O67</f>
        <v>0</v>
      </c>
      <c r="Z67" s="18">
        <f t="shared" si="208"/>
        <v>0</v>
      </c>
      <c r="AA67" s="18">
        <f t="shared" ref="AA67:AC67" si="209">F67-Q67</f>
        <v>0</v>
      </c>
      <c r="AB67" s="18">
        <f t="shared" si="209"/>
        <v>0</v>
      </c>
      <c r="AC67" s="18">
        <f t="shared" si="209"/>
        <v>0</v>
      </c>
      <c r="AD67" s="18">
        <f t="shared" si="5"/>
        <v>0</v>
      </c>
      <c r="AE67" s="23" t="e">
        <f t="shared" si="6"/>
        <v>#DIV/0!</v>
      </c>
    </row>
    <row r="68" spans="1:31" ht="17.25" customHeight="1">
      <c r="A68" s="921"/>
      <c r="B68" s="39" t="s">
        <v>31</v>
      </c>
      <c r="C68" s="18">
        <v>0</v>
      </c>
      <c r="D68" s="18">
        <v>0</v>
      </c>
      <c r="E68" s="18">
        <v>0</v>
      </c>
      <c r="F68" s="18">
        <v>0</v>
      </c>
      <c r="G68" s="19">
        <v>0</v>
      </c>
      <c r="H68" s="20">
        <v>0</v>
      </c>
      <c r="I68" s="20">
        <f t="shared" si="199"/>
        <v>0</v>
      </c>
      <c r="J68" s="21">
        <v>0</v>
      </c>
      <c r="K68" s="18">
        <f t="shared" si="200"/>
        <v>0</v>
      </c>
      <c r="L68" s="18">
        <f t="shared" si="201"/>
        <v>0</v>
      </c>
      <c r="M68" s="921"/>
      <c r="N68" s="39" t="s">
        <v>31</v>
      </c>
      <c r="O68" s="18">
        <v>0</v>
      </c>
      <c r="P68" s="18">
        <v>0</v>
      </c>
      <c r="Q68" s="18">
        <v>0</v>
      </c>
      <c r="R68" s="19">
        <v>0</v>
      </c>
      <c r="S68" s="18">
        <v>0</v>
      </c>
      <c r="T68" s="18">
        <f t="shared" si="202"/>
        <v>0</v>
      </c>
      <c r="U68" s="23">
        <v>0</v>
      </c>
      <c r="V68" s="18">
        <f t="shared" si="203"/>
        <v>0</v>
      </c>
      <c r="W68" s="921"/>
      <c r="X68" s="39" t="s">
        <v>31</v>
      </c>
      <c r="Y68" s="18">
        <f t="shared" ref="Y68:Z68" si="210">C68-O68</f>
        <v>0</v>
      </c>
      <c r="Z68" s="18">
        <f t="shared" si="210"/>
        <v>0</v>
      </c>
      <c r="AA68" s="18">
        <f t="shared" ref="AA68:AC68" si="211">F68-Q68</f>
        <v>0</v>
      </c>
      <c r="AB68" s="18">
        <f t="shared" si="211"/>
        <v>0</v>
      </c>
      <c r="AC68" s="18">
        <f t="shared" si="211"/>
        <v>0</v>
      </c>
      <c r="AD68" s="18">
        <f t="shared" si="5"/>
        <v>0</v>
      </c>
      <c r="AE68" s="23" t="e">
        <f t="shared" si="6"/>
        <v>#DIV/0!</v>
      </c>
    </row>
    <row r="69" spans="1:31" ht="17.25" customHeight="1">
      <c r="A69" s="921"/>
      <c r="B69" s="17" t="s">
        <v>24</v>
      </c>
      <c r="C69" s="18">
        <v>0</v>
      </c>
      <c r="D69" s="18"/>
      <c r="E69" s="18"/>
      <c r="F69" s="18">
        <v>307500</v>
      </c>
      <c r="G69" s="19">
        <v>330000</v>
      </c>
      <c r="H69" s="20">
        <v>248659</v>
      </c>
      <c r="I69" s="20">
        <f t="shared" si="199"/>
        <v>-81341</v>
      </c>
      <c r="J69" s="21">
        <f t="shared" ref="J69:J70" si="212">H69/G69*100</f>
        <v>75.351212121212114</v>
      </c>
      <c r="K69" s="18">
        <f t="shared" si="200"/>
        <v>307500</v>
      </c>
      <c r="L69" s="18">
        <f t="shared" si="201"/>
        <v>307500</v>
      </c>
      <c r="M69" s="921"/>
      <c r="N69" s="17" t="s">
        <v>24</v>
      </c>
      <c r="O69" s="18">
        <v>0</v>
      </c>
      <c r="P69" s="18">
        <v>0</v>
      </c>
      <c r="Q69" s="18">
        <v>0</v>
      </c>
      <c r="R69" s="19">
        <v>0</v>
      </c>
      <c r="S69" s="18">
        <v>0</v>
      </c>
      <c r="T69" s="18">
        <f t="shared" si="202"/>
        <v>0</v>
      </c>
      <c r="U69" s="23" t="e">
        <f t="shared" ref="U69:U70" si="213">S69/R69*100</f>
        <v>#DIV/0!</v>
      </c>
      <c r="V69" s="18">
        <f t="shared" si="203"/>
        <v>0</v>
      </c>
      <c r="W69" s="921"/>
      <c r="X69" s="17" t="s">
        <v>24</v>
      </c>
      <c r="Y69" s="18">
        <f t="shared" ref="Y69:Z69" si="214">C69-O69</f>
        <v>0</v>
      </c>
      <c r="Z69" s="18">
        <f t="shared" si="214"/>
        <v>0</v>
      </c>
      <c r="AA69" s="18">
        <f t="shared" ref="AA69:AC69" si="215">F69-Q69</f>
        <v>307500</v>
      </c>
      <c r="AB69" s="18">
        <f t="shared" si="215"/>
        <v>330000</v>
      </c>
      <c r="AC69" s="18">
        <f t="shared" si="215"/>
        <v>248659</v>
      </c>
      <c r="AD69" s="18">
        <f t="shared" si="5"/>
        <v>-81341</v>
      </c>
      <c r="AE69" s="23">
        <f t="shared" si="6"/>
        <v>75.351212121212114</v>
      </c>
    </row>
    <row r="70" spans="1:31" ht="17.25" customHeight="1">
      <c r="A70" s="922"/>
      <c r="B70" s="25" t="s">
        <v>25</v>
      </c>
      <c r="C70" s="26">
        <f t="shared" ref="C70:I70" si="216">SUM(C65:C69)</f>
        <v>250000</v>
      </c>
      <c r="D70" s="26">
        <f t="shared" si="216"/>
        <v>188750</v>
      </c>
      <c r="E70" s="26">
        <f t="shared" si="216"/>
        <v>563194</v>
      </c>
      <c r="F70" s="26">
        <f t="shared" si="216"/>
        <v>309500</v>
      </c>
      <c r="G70" s="27">
        <f t="shared" si="216"/>
        <v>341531</v>
      </c>
      <c r="H70" s="28">
        <f t="shared" si="216"/>
        <v>249361</v>
      </c>
      <c r="I70" s="28">
        <f t="shared" si="216"/>
        <v>-92170</v>
      </c>
      <c r="J70" s="23">
        <f t="shared" si="212"/>
        <v>73.012698700849995</v>
      </c>
      <c r="K70" s="26">
        <f t="shared" si="200"/>
        <v>-253694</v>
      </c>
      <c r="L70" s="26">
        <f t="shared" si="201"/>
        <v>120750</v>
      </c>
      <c r="M70" s="922"/>
      <c r="N70" s="25" t="s">
        <v>25</v>
      </c>
      <c r="O70" s="26">
        <f t="shared" ref="O70:T70" si="217">SUM(O65:O69)</f>
        <v>250000</v>
      </c>
      <c r="P70" s="26">
        <f t="shared" si="217"/>
        <v>188750</v>
      </c>
      <c r="Q70" s="26">
        <f t="shared" si="217"/>
        <v>0</v>
      </c>
      <c r="R70" s="27">
        <f t="shared" si="217"/>
        <v>0</v>
      </c>
      <c r="S70" s="26">
        <f t="shared" si="217"/>
        <v>0</v>
      </c>
      <c r="T70" s="26">
        <f t="shared" si="217"/>
        <v>0</v>
      </c>
      <c r="U70" s="23" t="e">
        <f t="shared" si="213"/>
        <v>#DIV/0!</v>
      </c>
      <c r="V70" s="26">
        <f t="shared" si="203"/>
        <v>-188750</v>
      </c>
      <c r="W70" s="922"/>
      <c r="X70" s="25" t="s">
        <v>25</v>
      </c>
      <c r="Y70" s="26">
        <f t="shared" ref="Y70:AA70" si="218">SUM(Y65:Y69)</f>
        <v>0</v>
      </c>
      <c r="Z70" s="26">
        <f t="shared" si="218"/>
        <v>0</v>
      </c>
      <c r="AA70" s="26">
        <f t="shared" si="218"/>
        <v>309500</v>
      </c>
      <c r="AB70" s="18">
        <f t="shared" ref="AB70:AC70" si="219">G70-R70</f>
        <v>341531</v>
      </c>
      <c r="AC70" s="18">
        <f t="shared" si="219"/>
        <v>249361</v>
      </c>
      <c r="AD70" s="18">
        <f t="shared" si="5"/>
        <v>-92170</v>
      </c>
      <c r="AE70" s="23">
        <f t="shared" si="6"/>
        <v>73.012698700849995</v>
      </c>
    </row>
    <row r="71" spans="1:31" ht="9" customHeight="1">
      <c r="A71" s="37"/>
      <c r="B71" s="31"/>
      <c r="C71" s="32"/>
      <c r="D71" s="32"/>
      <c r="E71" s="32"/>
      <c r="F71" s="32"/>
      <c r="G71" s="32"/>
      <c r="H71" s="34"/>
      <c r="I71" s="34"/>
      <c r="J71" s="49"/>
      <c r="K71" s="32"/>
      <c r="L71" s="32"/>
      <c r="M71" s="37"/>
      <c r="N71" s="31"/>
      <c r="O71" s="32"/>
      <c r="P71" s="32"/>
      <c r="Q71" s="32"/>
      <c r="R71" s="32"/>
      <c r="S71" s="32"/>
      <c r="T71" s="32"/>
      <c r="U71" s="50"/>
      <c r="V71" s="32"/>
      <c r="W71" s="37"/>
      <c r="X71" s="31"/>
      <c r="Y71" s="32"/>
      <c r="Z71" s="32"/>
      <c r="AA71" s="32"/>
      <c r="AB71" s="18">
        <f t="shared" ref="AB71:AC71" si="220">G71-R71</f>
        <v>0</v>
      </c>
      <c r="AC71" s="18">
        <f t="shared" si="220"/>
        <v>0</v>
      </c>
      <c r="AD71" s="18">
        <f t="shared" si="5"/>
        <v>0</v>
      </c>
      <c r="AE71" s="23" t="e">
        <f t="shared" si="6"/>
        <v>#DIV/0!</v>
      </c>
    </row>
    <row r="72" spans="1:31" ht="17.25" customHeight="1">
      <c r="A72" s="920" t="s">
        <v>43</v>
      </c>
      <c r="B72" s="17" t="s">
        <v>21</v>
      </c>
      <c r="C72" s="18">
        <v>371598</v>
      </c>
      <c r="D72" s="18">
        <v>371598</v>
      </c>
      <c r="E72" s="18">
        <v>750056</v>
      </c>
      <c r="F72" s="18">
        <v>0</v>
      </c>
      <c r="G72" s="19">
        <v>0</v>
      </c>
      <c r="H72" s="20">
        <v>0</v>
      </c>
      <c r="I72" s="20">
        <f t="shared" ref="I72:I76" si="221">H72-G72</f>
        <v>0</v>
      </c>
      <c r="J72" s="21">
        <v>0</v>
      </c>
      <c r="K72" s="18">
        <f t="shared" ref="K72:K77" si="222">F72-E72</f>
        <v>-750056</v>
      </c>
      <c r="L72" s="18">
        <f t="shared" ref="L72:L77" si="223">F72-D72</f>
        <v>-371598</v>
      </c>
      <c r="M72" s="920" t="s">
        <v>43</v>
      </c>
      <c r="N72" s="17" t="s">
        <v>21</v>
      </c>
      <c r="O72" s="18">
        <v>371598</v>
      </c>
      <c r="P72" s="18">
        <v>371598</v>
      </c>
      <c r="Q72" s="18">
        <v>0</v>
      </c>
      <c r="R72" s="19">
        <v>0</v>
      </c>
      <c r="S72" s="18">
        <v>0</v>
      </c>
      <c r="T72" s="18">
        <f t="shared" ref="T72:T76" si="224">S72-R72</f>
        <v>0</v>
      </c>
      <c r="U72" s="23">
        <v>0</v>
      </c>
      <c r="V72" s="18">
        <f t="shared" ref="V72:V77" si="225">Q72-P72</f>
        <v>-371598</v>
      </c>
      <c r="W72" s="920" t="s">
        <v>43</v>
      </c>
      <c r="X72" s="17" t="s">
        <v>21</v>
      </c>
      <c r="Y72" s="18">
        <f t="shared" ref="Y72:Z72" si="226">C72-O72</f>
        <v>0</v>
      </c>
      <c r="Z72" s="18">
        <f t="shared" si="226"/>
        <v>0</v>
      </c>
      <c r="AA72" s="18">
        <f t="shared" ref="AA72:AC72" si="227">F72-Q72</f>
        <v>0</v>
      </c>
      <c r="AB72" s="18">
        <f t="shared" si="227"/>
        <v>0</v>
      </c>
      <c r="AC72" s="18">
        <f t="shared" si="227"/>
        <v>0</v>
      </c>
      <c r="AD72" s="18">
        <f t="shared" si="5"/>
        <v>0</v>
      </c>
      <c r="AE72" s="23" t="e">
        <f t="shared" si="6"/>
        <v>#DIV/0!</v>
      </c>
    </row>
    <row r="73" spans="1:31" ht="17.25" customHeight="1">
      <c r="A73" s="921"/>
      <c r="B73" s="17" t="s">
        <v>28</v>
      </c>
      <c r="C73" s="18">
        <v>0</v>
      </c>
      <c r="D73" s="18">
        <v>0</v>
      </c>
      <c r="E73" s="18">
        <v>0</v>
      </c>
      <c r="F73" s="18">
        <v>0</v>
      </c>
      <c r="G73" s="19">
        <v>0</v>
      </c>
      <c r="H73" s="20">
        <v>0</v>
      </c>
      <c r="I73" s="20">
        <f t="shared" si="221"/>
        <v>0</v>
      </c>
      <c r="J73" s="21">
        <v>0</v>
      </c>
      <c r="K73" s="18">
        <f t="shared" si="222"/>
        <v>0</v>
      </c>
      <c r="L73" s="18">
        <f t="shared" si="223"/>
        <v>0</v>
      </c>
      <c r="M73" s="921"/>
      <c r="N73" s="17" t="s">
        <v>28</v>
      </c>
      <c r="O73" s="18">
        <v>0</v>
      </c>
      <c r="P73" s="18">
        <v>0</v>
      </c>
      <c r="Q73" s="18">
        <v>0</v>
      </c>
      <c r="R73" s="19">
        <v>0</v>
      </c>
      <c r="S73" s="18">
        <v>0</v>
      </c>
      <c r="T73" s="18">
        <f t="shared" si="224"/>
        <v>0</v>
      </c>
      <c r="U73" s="23">
        <v>0</v>
      </c>
      <c r="V73" s="18">
        <f t="shared" si="225"/>
        <v>0</v>
      </c>
      <c r="W73" s="921"/>
      <c r="X73" s="17" t="s">
        <v>28</v>
      </c>
      <c r="Y73" s="18">
        <f t="shared" ref="Y73:Z73" si="228">C73-O73</f>
        <v>0</v>
      </c>
      <c r="Z73" s="18">
        <f t="shared" si="228"/>
        <v>0</v>
      </c>
      <c r="AA73" s="18">
        <f t="shared" ref="AA73:AC73" si="229">F73-Q73</f>
        <v>0</v>
      </c>
      <c r="AB73" s="18">
        <f t="shared" si="229"/>
        <v>0</v>
      </c>
      <c r="AC73" s="18">
        <f t="shared" si="229"/>
        <v>0</v>
      </c>
      <c r="AD73" s="18">
        <f t="shared" si="5"/>
        <v>0</v>
      </c>
      <c r="AE73" s="23" t="e">
        <f t="shared" si="6"/>
        <v>#DIV/0!</v>
      </c>
    </row>
    <row r="74" spans="1:31" ht="17.25" customHeight="1">
      <c r="A74" s="921"/>
      <c r="B74" s="17" t="s">
        <v>31</v>
      </c>
      <c r="C74" s="18">
        <v>0</v>
      </c>
      <c r="D74" s="18">
        <v>0</v>
      </c>
      <c r="E74" s="18">
        <v>0</v>
      </c>
      <c r="F74" s="18">
        <v>0</v>
      </c>
      <c r="G74" s="19">
        <v>0</v>
      </c>
      <c r="H74" s="20">
        <v>0</v>
      </c>
      <c r="I74" s="20">
        <f t="shared" si="221"/>
        <v>0</v>
      </c>
      <c r="J74" s="21">
        <v>0</v>
      </c>
      <c r="K74" s="18">
        <f t="shared" si="222"/>
        <v>0</v>
      </c>
      <c r="L74" s="18">
        <f t="shared" si="223"/>
        <v>0</v>
      </c>
      <c r="M74" s="921"/>
      <c r="N74" s="17" t="s">
        <v>31</v>
      </c>
      <c r="O74" s="18">
        <v>0</v>
      </c>
      <c r="P74" s="18">
        <v>0</v>
      </c>
      <c r="Q74" s="18">
        <v>0</v>
      </c>
      <c r="R74" s="19">
        <v>0</v>
      </c>
      <c r="S74" s="18">
        <v>0</v>
      </c>
      <c r="T74" s="18">
        <f t="shared" si="224"/>
        <v>0</v>
      </c>
      <c r="U74" s="23">
        <v>0</v>
      </c>
      <c r="V74" s="18">
        <f t="shared" si="225"/>
        <v>0</v>
      </c>
      <c r="W74" s="921"/>
      <c r="X74" s="17" t="s">
        <v>31</v>
      </c>
      <c r="Y74" s="18">
        <f t="shared" ref="Y74:Z74" si="230">C74-O74</f>
        <v>0</v>
      </c>
      <c r="Z74" s="18">
        <f t="shared" si="230"/>
        <v>0</v>
      </c>
      <c r="AA74" s="18">
        <f t="shared" ref="AA74:AC74" si="231">F74-Q74</f>
        <v>0</v>
      </c>
      <c r="AB74" s="18">
        <f t="shared" si="231"/>
        <v>0</v>
      </c>
      <c r="AC74" s="18">
        <f t="shared" si="231"/>
        <v>0</v>
      </c>
      <c r="AD74" s="18">
        <f t="shared" si="5"/>
        <v>0</v>
      </c>
      <c r="AE74" s="23" t="e">
        <f t="shared" si="6"/>
        <v>#DIV/0!</v>
      </c>
    </row>
    <row r="75" spans="1:31" ht="17.25" customHeight="1">
      <c r="A75" s="921"/>
      <c r="B75" s="39" t="s">
        <v>32</v>
      </c>
      <c r="C75" s="18">
        <v>1698544</v>
      </c>
      <c r="D75" s="18">
        <v>1273908</v>
      </c>
      <c r="E75" s="18">
        <v>3325884</v>
      </c>
      <c r="F75" s="18">
        <v>0</v>
      </c>
      <c r="G75" s="19">
        <v>0</v>
      </c>
      <c r="H75" s="20">
        <v>0</v>
      </c>
      <c r="I75" s="20">
        <f t="shared" si="221"/>
        <v>0</v>
      </c>
      <c r="J75" s="21">
        <v>0</v>
      </c>
      <c r="K75" s="18">
        <f t="shared" si="222"/>
        <v>-3325884</v>
      </c>
      <c r="L75" s="18">
        <f t="shared" si="223"/>
        <v>-1273908</v>
      </c>
      <c r="M75" s="921"/>
      <c r="N75" s="39" t="s">
        <v>32</v>
      </c>
      <c r="O75" s="18">
        <v>1698544</v>
      </c>
      <c r="P75" s="18">
        <v>1273908</v>
      </c>
      <c r="Q75" s="18">
        <v>0</v>
      </c>
      <c r="R75" s="19">
        <v>0</v>
      </c>
      <c r="S75" s="18">
        <v>0</v>
      </c>
      <c r="T75" s="18">
        <f t="shared" si="224"/>
        <v>0</v>
      </c>
      <c r="U75" s="23">
        <v>0</v>
      </c>
      <c r="V75" s="18">
        <f t="shared" si="225"/>
        <v>-1273908</v>
      </c>
      <c r="W75" s="921"/>
      <c r="X75" s="39" t="s">
        <v>32</v>
      </c>
      <c r="Y75" s="18">
        <f t="shared" ref="Y75:Z75" si="232">C75-O75</f>
        <v>0</v>
      </c>
      <c r="Z75" s="18">
        <f t="shared" si="232"/>
        <v>0</v>
      </c>
      <c r="AA75" s="18">
        <f t="shared" ref="AA75:AC75" si="233">F75-Q75</f>
        <v>0</v>
      </c>
      <c r="AB75" s="18">
        <f t="shared" si="233"/>
        <v>0</v>
      </c>
      <c r="AC75" s="18">
        <f t="shared" si="233"/>
        <v>0</v>
      </c>
      <c r="AD75" s="18">
        <f t="shared" si="5"/>
        <v>0</v>
      </c>
      <c r="AE75" s="23" t="e">
        <f t="shared" si="6"/>
        <v>#DIV/0!</v>
      </c>
    </row>
    <row r="76" spans="1:31" ht="17.25" customHeight="1">
      <c r="A76" s="921"/>
      <c r="B76" s="17" t="s">
        <v>24</v>
      </c>
      <c r="C76" s="18">
        <v>0</v>
      </c>
      <c r="D76" s="18"/>
      <c r="E76" s="18"/>
      <c r="F76" s="18">
        <v>2663000</v>
      </c>
      <c r="G76" s="19">
        <v>3140000</v>
      </c>
      <c r="H76" s="20">
        <v>3211903</v>
      </c>
      <c r="I76" s="20">
        <f t="shared" si="221"/>
        <v>71903</v>
      </c>
      <c r="J76" s="21">
        <f t="shared" ref="J76:J77" si="234">H76/G76*100</f>
        <v>102.28990445859874</v>
      </c>
      <c r="K76" s="18">
        <f t="shared" si="222"/>
        <v>2663000</v>
      </c>
      <c r="L76" s="18">
        <f t="shared" si="223"/>
        <v>2663000</v>
      </c>
      <c r="M76" s="921"/>
      <c r="N76" s="17" t="s">
        <v>24</v>
      </c>
      <c r="O76" s="18">
        <v>0</v>
      </c>
      <c r="P76" s="18">
        <v>0</v>
      </c>
      <c r="Q76" s="18">
        <f>18889+1139106</f>
        <v>1157995</v>
      </c>
      <c r="R76" s="19">
        <v>16881</v>
      </c>
      <c r="S76" s="18">
        <v>13425</v>
      </c>
      <c r="T76" s="18">
        <f t="shared" si="224"/>
        <v>-3456</v>
      </c>
      <c r="U76" s="23">
        <f t="shared" ref="U76:U77" si="235">S76/R76*100</f>
        <v>79.527279189621467</v>
      </c>
      <c r="V76" s="18">
        <f t="shared" si="225"/>
        <v>1157995</v>
      </c>
      <c r="W76" s="921"/>
      <c r="X76" s="17" t="s">
        <v>24</v>
      </c>
      <c r="Y76" s="18">
        <f t="shared" ref="Y76:Z76" si="236">C76-O76</f>
        <v>0</v>
      </c>
      <c r="Z76" s="18">
        <f t="shared" si="236"/>
        <v>0</v>
      </c>
      <c r="AA76" s="18">
        <f t="shared" ref="AA76:AC76" si="237">F76-Q76</f>
        <v>1505005</v>
      </c>
      <c r="AB76" s="18">
        <f t="shared" si="237"/>
        <v>3123119</v>
      </c>
      <c r="AC76" s="18">
        <f t="shared" si="237"/>
        <v>3198478</v>
      </c>
      <c r="AD76" s="18">
        <f t="shared" si="5"/>
        <v>75359</v>
      </c>
      <c r="AE76" s="23">
        <f t="shared" si="6"/>
        <v>102.41294039708382</v>
      </c>
    </row>
    <row r="77" spans="1:31" ht="17.25" customHeight="1">
      <c r="A77" s="922"/>
      <c r="B77" s="25" t="s">
        <v>25</v>
      </c>
      <c r="C77" s="26">
        <f t="shared" ref="C77:I77" si="238">SUM(C72:C76)</f>
        <v>2070142</v>
      </c>
      <c r="D77" s="26">
        <f t="shared" si="238"/>
        <v>1645506</v>
      </c>
      <c r="E77" s="26">
        <f t="shared" si="238"/>
        <v>4075940</v>
      </c>
      <c r="F77" s="26">
        <f t="shared" si="238"/>
        <v>2663000</v>
      </c>
      <c r="G77" s="27">
        <f t="shared" si="238"/>
        <v>3140000</v>
      </c>
      <c r="H77" s="28">
        <f t="shared" si="238"/>
        <v>3211903</v>
      </c>
      <c r="I77" s="28">
        <f t="shared" si="238"/>
        <v>71903</v>
      </c>
      <c r="J77" s="23">
        <f t="shared" si="234"/>
        <v>102.28990445859874</v>
      </c>
      <c r="K77" s="26">
        <f t="shared" si="222"/>
        <v>-1412940</v>
      </c>
      <c r="L77" s="26">
        <f t="shared" si="223"/>
        <v>1017494</v>
      </c>
      <c r="M77" s="922"/>
      <c r="N77" s="25" t="s">
        <v>25</v>
      </c>
      <c r="O77" s="26">
        <f t="shared" ref="O77:T77" si="239">SUM(O72:O76)</f>
        <v>2070142</v>
      </c>
      <c r="P77" s="26">
        <f t="shared" si="239"/>
        <v>1645506</v>
      </c>
      <c r="Q77" s="26">
        <f t="shared" si="239"/>
        <v>1157995</v>
      </c>
      <c r="R77" s="27">
        <f t="shared" si="239"/>
        <v>16881</v>
      </c>
      <c r="S77" s="26">
        <f t="shared" si="239"/>
        <v>13425</v>
      </c>
      <c r="T77" s="26">
        <f t="shared" si="239"/>
        <v>-3456</v>
      </c>
      <c r="U77" s="23">
        <f t="shared" si="235"/>
        <v>79.527279189621467</v>
      </c>
      <c r="V77" s="26">
        <f t="shared" si="225"/>
        <v>-487511</v>
      </c>
      <c r="W77" s="922"/>
      <c r="X77" s="25" t="s">
        <v>25</v>
      </c>
      <c r="Y77" s="26">
        <f t="shared" ref="Y77:AA77" si="240">SUM(Y72:Y76)</f>
        <v>0</v>
      </c>
      <c r="Z77" s="26">
        <f t="shared" si="240"/>
        <v>0</v>
      </c>
      <c r="AA77" s="26">
        <f t="shared" si="240"/>
        <v>1505005</v>
      </c>
      <c r="AB77" s="18">
        <f t="shared" ref="AB77:AC77" si="241">G77-R77</f>
        <v>3123119</v>
      </c>
      <c r="AC77" s="18">
        <f t="shared" si="241"/>
        <v>3198478</v>
      </c>
      <c r="AD77" s="18">
        <f t="shared" si="5"/>
        <v>75359</v>
      </c>
      <c r="AE77" s="23">
        <f t="shared" si="6"/>
        <v>102.41294039708382</v>
      </c>
    </row>
    <row r="78" spans="1:31" ht="9" customHeight="1">
      <c r="A78" s="37"/>
      <c r="B78" s="31"/>
      <c r="C78" s="32"/>
      <c r="D78" s="32"/>
      <c r="E78" s="32"/>
      <c r="F78" s="32"/>
      <c r="G78" s="32"/>
      <c r="H78" s="34"/>
      <c r="I78" s="34"/>
      <c r="J78" s="49"/>
      <c r="K78" s="32"/>
      <c r="L78" s="32"/>
      <c r="M78" s="37"/>
      <c r="N78" s="31"/>
      <c r="O78" s="32"/>
      <c r="P78" s="32"/>
      <c r="Q78" s="32"/>
      <c r="R78" s="32"/>
      <c r="S78" s="32"/>
      <c r="T78" s="32"/>
      <c r="U78" s="50"/>
      <c r="V78" s="32"/>
      <c r="W78" s="37"/>
      <c r="X78" s="31"/>
      <c r="Y78" s="32"/>
      <c r="Z78" s="32"/>
      <c r="AA78" s="32"/>
      <c r="AB78" s="18">
        <f t="shared" ref="AB78:AC78" si="242">G78-R78</f>
        <v>0</v>
      </c>
      <c r="AC78" s="18">
        <f t="shared" si="242"/>
        <v>0</v>
      </c>
      <c r="AD78" s="18">
        <f t="shared" si="5"/>
        <v>0</v>
      </c>
      <c r="AE78" s="23" t="e">
        <f t="shared" si="6"/>
        <v>#DIV/0!</v>
      </c>
    </row>
    <row r="79" spans="1:31" ht="17.25" customHeight="1">
      <c r="A79" s="920" t="s">
        <v>44</v>
      </c>
      <c r="B79" s="17" t="s">
        <v>21</v>
      </c>
      <c r="C79" s="18">
        <v>473307</v>
      </c>
      <c r="D79" s="18">
        <v>473307</v>
      </c>
      <c r="E79" s="18">
        <v>712071</v>
      </c>
      <c r="F79" s="18">
        <v>0</v>
      </c>
      <c r="G79" s="19">
        <v>0</v>
      </c>
      <c r="H79" s="20">
        <v>0</v>
      </c>
      <c r="I79" s="20">
        <f t="shared" ref="I79:I84" si="243">H79-G79</f>
        <v>0</v>
      </c>
      <c r="J79" s="21">
        <v>0</v>
      </c>
      <c r="K79" s="18">
        <f t="shared" ref="K79:K85" si="244">F79-E79</f>
        <v>-712071</v>
      </c>
      <c r="L79" s="18">
        <f t="shared" ref="L79:L85" si="245">F79-D79</f>
        <v>-473307</v>
      </c>
      <c r="M79" s="920" t="s">
        <v>44</v>
      </c>
      <c r="N79" s="17" t="s">
        <v>21</v>
      </c>
      <c r="O79" s="18">
        <v>473307</v>
      </c>
      <c r="P79" s="18">
        <v>473307</v>
      </c>
      <c r="Q79" s="18">
        <v>0</v>
      </c>
      <c r="R79" s="19">
        <v>0</v>
      </c>
      <c r="S79" s="18">
        <v>0</v>
      </c>
      <c r="T79" s="18">
        <f t="shared" ref="T79:T84" si="246">S79-R79</f>
        <v>0</v>
      </c>
      <c r="U79" s="23">
        <v>0</v>
      </c>
      <c r="V79" s="18">
        <f t="shared" ref="V79:V85" si="247">Q79-P79</f>
        <v>-473307</v>
      </c>
      <c r="W79" s="920" t="s">
        <v>44</v>
      </c>
      <c r="X79" s="17" t="s">
        <v>21</v>
      </c>
      <c r="Y79" s="18">
        <f t="shared" ref="Y79:Z79" si="248">C79-O79</f>
        <v>0</v>
      </c>
      <c r="Z79" s="18">
        <f t="shared" si="248"/>
        <v>0</v>
      </c>
      <c r="AA79" s="18">
        <f t="shared" ref="AA79:AC79" si="249">F79-Q79</f>
        <v>0</v>
      </c>
      <c r="AB79" s="18">
        <f t="shared" si="249"/>
        <v>0</v>
      </c>
      <c r="AC79" s="18">
        <f t="shared" si="249"/>
        <v>0</v>
      </c>
      <c r="AD79" s="18">
        <f t="shared" si="5"/>
        <v>0</v>
      </c>
      <c r="AE79" s="23" t="e">
        <f t="shared" si="6"/>
        <v>#DIV/0!</v>
      </c>
    </row>
    <row r="80" spans="1:31" ht="17.25" customHeight="1">
      <c r="A80" s="921"/>
      <c r="B80" s="17" t="s">
        <v>28</v>
      </c>
      <c r="C80" s="18">
        <v>11710</v>
      </c>
      <c r="D80" s="18">
        <v>5855</v>
      </c>
      <c r="E80" s="18">
        <v>54190</v>
      </c>
      <c r="F80" s="18">
        <v>20000</v>
      </c>
      <c r="G80" s="19">
        <v>12663</v>
      </c>
      <c r="H80" s="20">
        <v>11065</v>
      </c>
      <c r="I80" s="20">
        <f t="shared" si="243"/>
        <v>-1598</v>
      </c>
      <c r="J80" s="21">
        <f t="shared" ref="J80:J81" si="250">H80/G80*100</f>
        <v>87.38055752981127</v>
      </c>
      <c r="K80" s="18">
        <f t="shared" si="244"/>
        <v>-34190</v>
      </c>
      <c r="L80" s="18">
        <f t="shared" si="245"/>
        <v>14145</v>
      </c>
      <c r="M80" s="921"/>
      <c r="N80" s="17" t="s">
        <v>28</v>
      </c>
      <c r="O80" s="18">
        <v>11710</v>
      </c>
      <c r="P80" s="18">
        <v>5855</v>
      </c>
      <c r="Q80" s="18">
        <v>0</v>
      </c>
      <c r="R80" s="19">
        <v>0</v>
      </c>
      <c r="S80" s="18">
        <v>-6624</v>
      </c>
      <c r="T80" s="18">
        <f t="shared" si="246"/>
        <v>-6624</v>
      </c>
      <c r="U80" s="23" t="e">
        <f t="shared" ref="U80:U81" si="251">S80/R80*100</f>
        <v>#DIV/0!</v>
      </c>
      <c r="V80" s="18">
        <f t="shared" si="247"/>
        <v>-5855</v>
      </c>
      <c r="W80" s="921"/>
      <c r="X80" s="17" t="s">
        <v>28</v>
      </c>
      <c r="Y80" s="18">
        <f t="shared" ref="Y80:Z80" si="252">C80-O80</f>
        <v>0</v>
      </c>
      <c r="Z80" s="18">
        <f t="shared" si="252"/>
        <v>0</v>
      </c>
      <c r="AA80" s="18">
        <f t="shared" ref="AA80:AC80" si="253">F80-Q80</f>
        <v>20000</v>
      </c>
      <c r="AB80" s="18">
        <f t="shared" si="253"/>
        <v>12663</v>
      </c>
      <c r="AC80" s="18">
        <f t="shared" si="253"/>
        <v>17689</v>
      </c>
      <c r="AD80" s="18">
        <f t="shared" si="5"/>
        <v>5026</v>
      </c>
      <c r="AE80" s="23">
        <f t="shared" si="6"/>
        <v>139.69043670536209</v>
      </c>
    </row>
    <row r="81" spans="1:31" ht="17.25" customHeight="1">
      <c r="A81" s="921"/>
      <c r="B81" s="17" t="s">
        <v>31</v>
      </c>
      <c r="C81" s="18">
        <v>34321</v>
      </c>
      <c r="D81" s="18">
        <v>17161</v>
      </c>
      <c r="E81" s="18">
        <v>110842</v>
      </c>
      <c r="F81" s="18">
        <v>36035</v>
      </c>
      <c r="G81" s="19">
        <v>43622</v>
      </c>
      <c r="H81" s="20">
        <v>22769</v>
      </c>
      <c r="I81" s="20">
        <f t="shared" si="243"/>
        <v>-20853</v>
      </c>
      <c r="J81" s="21">
        <f t="shared" si="250"/>
        <v>52.196139562606028</v>
      </c>
      <c r="K81" s="18">
        <f t="shared" si="244"/>
        <v>-74807</v>
      </c>
      <c r="L81" s="18">
        <f t="shared" si="245"/>
        <v>18874</v>
      </c>
      <c r="M81" s="921"/>
      <c r="N81" s="17" t="s">
        <v>31</v>
      </c>
      <c r="O81" s="18">
        <v>34321</v>
      </c>
      <c r="P81" s="18">
        <v>17161</v>
      </c>
      <c r="Q81" s="18">
        <v>10000</v>
      </c>
      <c r="R81" s="19">
        <v>10000</v>
      </c>
      <c r="S81" s="18">
        <v>10496</v>
      </c>
      <c r="T81" s="18">
        <f t="shared" si="246"/>
        <v>496</v>
      </c>
      <c r="U81" s="23">
        <f t="shared" si="251"/>
        <v>104.96000000000001</v>
      </c>
      <c r="V81" s="18">
        <f t="shared" si="247"/>
        <v>-7161</v>
      </c>
      <c r="W81" s="921"/>
      <c r="X81" s="17" t="s">
        <v>31</v>
      </c>
      <c r="Y81" s="18">
        <f t="shared" ref="Y81:Z81" si="254">C81-O81</f>
        <v>0</v>
      </c>
      <c r="Z81" s="18">
        <f t="shared" si="254"/>
        <v>0</v>
      </c>
      <c r="AA81" s="18">
        <f t="shared" ref="AA81:AC81" si="255">F81-Q81</f>
        <v>26035</v>
      </c>
      <c r="AB81" s="18">
        <f t="shared" si="255"/>
        <v>33622</v>
      </c>
      <c r="AC81" s="18">
        <f t="shared" si="255"/>
        <v>12273</v>
      </c>
      <c r="AD81" s="18">
        <f t="shared" si="5"/>
        <v>-21349</v>
      </c>
      <c r="AE81" s="23">
        <f t="shared" si="6"/>
        <v>36.502885015763489</v>
      </c>
    </row>
    <row r="82" spans="1:31" ht="17.25" customHeight="1">
      <c r="A82" s="921"/>
      <c r="B82" s="39" t="s">
        <v>32</v>
      </c>
      <c r="C82" s="18">
        <v>342200</v>
      </c>
      <c r="D82" s="18">
        <v>256650</v>
      </c>
      <c r="E82" s="18">
        <v>425955</v>
      </c>
      <c r="F82" s="18">
        <v>0</v>
      </c>
      <c r="G82" s="19">
        <v>0</v>
      </c>
      <c r="H82" s="20">
        <v>0</v>
      </c>
      <c r="I82" s="20">
        <f t="shared" si="243"/>
        <v>0</v>
      </c>
      <c r="J82" s="21">
        <v>0</v>
      </c>
      <c r="K82" s="18">
        <f t="shared" si="244"/>
        <v>-425955</v>
      </c>
      <c r="L82" s="18">
        <f t="shared" si="245"/>
        <v>-256650</v>
      </c>
      <c r="M82" s="921"/>
      <c r="N82" s="39" t="s">
        <v>32</v>
      </c>
      <c r="O82" s="18">
        <v>342200</v>
      </c>
      <c r="P82" s="18">
        <v>256650</v>
      </c>
      <c r="Q82" s="18">
        <v>0</v>
      </c>
      <c r="R82" s="19">
        <v>0</v>
      </c>
      <c r="S82" s="18">
        <v>0</v>
      </c>
      <c r="T82" s="18">
        <f t="shared" si="246"/>
        <v>0</v>
      </c>
      <c r="U82" s="23">
        <v>0</v>
      </c>
      <c r="V82" s="18">
        <f t="shared" si="247"/>
        <v>-256650</v>
      </c>
      <c r="W82" s="921"/>
      <c r="X82" s="39" t="s">
        <v>32</v>
      </c>
      <c r="Y82" s="18">
        <f t="shared" ref="Y82:Z82" si="256">C82-O82</f>
        <v>0</v>
      </c>
      <c r="Z82" s="18">
        <f t="shared" si="256"/>
        <v>0</v>
      </c>
      <c r="AA82" s="18">
        <f t="shared" ref="AA82:AC82" si="257">F82-Q82</f>
        <v>0</v>
      </c>
      <c r="AB82" s="18">
        <f t="shared" si="257"/>
        <v>0</v>
      </c>
      <c r="AC82" s="18">
        <f t="shared" si="257"/>
        <v>0</v>
      </c>
      <c r="AD82" s="18">
        <f t="shared" si="5"/>
        <v>0</v>
      </c>
      <c r="AE82" s="23" t="e">
        <f t="shared" si="6"/>
        <v>#DIV/0!</v>
      </c>
    </row>
    <row r="83" spans="1:31" ht="17.25" customHeight="1">
      <c r="A83" s="921"/>
      <c r="B83" s="17" t="s">
        <v>24</v>
      </c>
      <c r="C83" s="18">
        <v>0</v>
      </c>
      <c r="D83" s="18"/>
      <c r="E83" s="18"/>
      <c r="F83" s="18">
        <v>777100</v>
      </c>
      <c r="G83" s="19">
        <v>780000</v>
      </c>
      <c r="H83" s="20">
        <v>787406</v>
      </c>
      <c r="I83" s="20">
        <f t="shared" si="243"/>
        <v>7406</v>
      </c>
      <c r="J83" s="21">
        <f>H83/G83*100</f>
        <v>100.94948717948718</v>
      </c>
      <c r="K83" s="18">
        <f t="shared" si="244"/>
        <v>777100</v>
      </c>
      <c r="L83" s="18">
        <f t="shared" si="245"/>
        <v>777100</v>
      </c>
      <c r="M83" s="921"/>
      <c r="N83" s="17" t="s">
        <v>24</v>
      </c>
      <c r="O83" s="18">
        <v>0</v>
      </c>
      <c r="P83" s="18">
        <v>0</v>
      </c>
      <c r="Q83" s="18">
        <v>444590</v>
      </c>
      <c r="R83" s="19">
        <v>494737</v>
      </c>
      <c r="S83" s="18">
        <v>488457</v>
      </c>
      <c r="T83" s="18">
        <f t="shared" si="246"/>
        <v>-6280</v>
      </c>
      <c r="U83" s="23">
        <f>S83/R83*100</f>
        <v>98.730638702987648</v>
      </c>
      <c r="V83" s="18">
        <f t="shared" si="247"/>
        <v>444590</v>
      </c>
      <c r="W83" s="921"/>
      <c r="X83" s="17" t="s">
        <v>24</v>
      </c>
      <c r="Y83" s="18">
        <f t="shared" ref="Y83:Z83" si="258">C83-O83</f>
        <v>0</v>
      </c>
      <c r="Z83" s="18">
        <f t="shared" si="258"/>
        <v>0</v>
      </c>
      <c r="AA83" s="18">
        <f t="shared" ref="AA83:AC83" si="259">F83-Q83</f>
        <v>332510</v>
      </c>
      <c r="AB83" s="18">
        <f t="shared" si="259"/>
        <v>285263</v>
      </c>
      <c r="AC83" s="18">
        <f t="shared" si="259"/>
        <v>298949</v>
      </c>
      <c r="AD83" s="18">
        <f t="shared" si="5"/>
        <v>13686</v>
      </c>
      <c r="AE83" s="23">
        <f t="shared" si="6"/>
        <v>104.79767793229406</v>
      </c>
    </row>
    <row r="84" spans="1:31" ht="17.25" customHeight="1">
      <c r="A84" s="921"/>
      <c r="B84" s="39" t="s">
        <v>23</v>
      </c>
      <c r="C84" s="18">
        <v>62500</v>
      </c>
      <c r="D84" s="18">
        <v>62500</v>
      </c>
      <c r="E84" s="18">
        <v>62500</v>
      </c>
      <c r="F84" s="18">
        <v>0</v>
      </c>
      <c r="G84" s="19">
        <v>0</v>
      </c>
      <c r="H84" s="20">
        <v>0</v>
      </c>
      <c r="I84" s="20">
        <f t="shared" si="243"/>
        <v>0</v>
      </c>
      <c r="J84" s="21">
        <v>0</v>
      </c>
      <c r="K84" s="18">
        <f t="shared" si="244"/>
        <v>-62500</v>
      </c>
      <c r="L84" s="18">
        <f t="shared" si="245"/>
        <v>-62500</v>
      </c>
      <c r="M84" s="921"/>
      <c r="N84" s="39" t="s">
        <v>23</v>
      </c>
      <c r="O84" s="18">
        <v>0</v>
      </c>
      <c r="P84" s="18">
        <v>0</v>
      </c>
      <c r="Q84" s="18">
        <v>0</v>
      </c>
      <c r="R84" s="19">
        <v>0</v>
      </c>
      <c r="S84" s="18">
        <v>0</v>
      </c>
      <c r="T84" s="18">
        <f t="shared" si="246"/>
        <v>0</v>
      </c>
      <c r="U84" s="23">
        <v>0</v>
      </c>
      <c r="V84" s="18">
        <f t="shared" si="247"/>
        <v>0</v>
      </c>
      <c r="W84" s="921"/>
      <c r="X84" s="39" t="s">
        <v>23</v>
      </c>
      <c r="Y84" s="18">
        <f t="shared" ref="Y84:Z84" si="260">C84-O84</f>
        <v>62500</v>
      </c>
      <c r="Z84" s="18">
        <f t="shared" si="260"/>
        <v>62500</v>
      </c>
      <c r="AA84" s="18">
        <f t="shared" ref="AA84:AC84" si="261">F84-Q84</f>
        <v>0</v>
      </c>
      <c r="AB84" s="18">
        <f t="shared" si="261"/>
        <v>0</v>
      </c>
      <c r="AC84" s="18">
        <f t="shared" si="261"/>
        <v>0</v>
      </c>
      <c r="AD84" s="18">
        <f t="shared" si="5"/>
        <v>0</v>
      </c>
      <c r="AE84" s="23" t="e">
        <f t="shared" si="6"/>
        <v>#DIV/0!</v>
      </c>
    </row>
    <row r="85" spans="1:31" ht="17.25" customHeight="1">
      <c r="A85" s="922"/>
      <c r="B85" s="25" t="s">
        <v>25</v>
      </c>
      <c r="C85" s="26">
        <f t="shared" ref="C85:I85" si="262">SUM(C79:C84)</f>
        <v>924038</v>
      </c>
      <c r="D85" s="26">
        <f t="shared" si="262"/>
        <v>815473</v>
      </c>
      <c r="E85" s="26">
        <f t="shared" si="262"/>
        <v>1365558</v>
      </c>
      <c r="F85" s="26">
        <f t="shared" si="262"/>
        <v>833135</v>
      </c>
      <c r="G85" s="27">
        <f t="shared" si="262"/>
        <v>836285</v>
      </c>
      <c r="H85" s="28">
        <f t="shared" si="262"/>
        <v>821240</v>
      </c>
      <c r="I85" s="28">
        <f t="shared" si="262"/>
        <v>-15045</v>
      </c>
      <c r="J85" s="23">
        <f>H85/G85*100</f>
        <v>98.200972156621248</v>
      </c>
      <c r="K85" s="26">
        <f t="shared" si="244"/>
        <v>-532423</v>
      </c>
      <c r="L85" s="26">
        <f t="shared" si="245"/>
        <v>17662</v>
      </c>
      <c r="M85" s="922"/>
      <c r="N85" s="25" t="s">
        <v>25</v>
      </c>
      <c r="O85" s="26">
        <f t="shared" ref="O85:T85" si="263">SUM(O79:O84)</f>
        <v>861538</v>
      </c>
      <c r="P85" s="26">
        <f t="shared" si="263"/>
        <v>752973</v>
      </c>
      <c r="Q85" s="26">
        <f t="shared" si="263"/>
        <v>454590</v>
      </c>
      <c r="R85" s="27">
        <f t="shared" si="263"/>
        <v>504737</v>
      </c>
      <c r="S85" s="26">
        <f t="shared" si="263"/>
        <v>492329</v>
      </c>
      <c r="T85" s="26">
        <f t="shared" si="263"/>
        <v>-12408</v>
      </c>
      <c r="U85" s="23">
        <f>S85/R85*100</f>
        <v>97.541690028668398</v>
      </c>
      <c r="V85" s="26">
        <f t="shared" si="247"/>
        <v>-298383</v>
      </c>
      <c r="W85" s="922"/>
      <c r="X85" s="25" t="s">
        <v>25</v>
      </c>
      <c r="Y85" s="26">
        <f t="shared" ref="Y85:AA85" si="264">SUM(Y79:Y84)</f>
        <v>62500</v>
      </c>
      <c r="Z85" s="26">
        <f t="shared" si="264"/>
        <v>62500</v>
      </c>
      <c r="AA85" s="26">
        <f t="shared" si="264"/>
        <v>378545</v>
      </c>
      <c r="AB85" s="18">
        <f t="shared" ref="AB85:AC85" si="265">G85-R85</f>
        <v>331548</v>
      </c>
      <c r="AC85" s="18">
        <f t="shared" si="265"/>
        <v>328911</v>
      </c>
      <c r="AD85" s="18">
        <f t="shared" si="5"/>
        <v>-2637</v>
      </c>
      <c r="AE85" s="23">
        <f t="shared" si="6"/>
        <v>99.204640052119146</v>
      </c>
    </row>
    <row r="86" spans="1:31" ht="9" customHeight="1">
      <c r="A86" s="37"/>
      <c r="B86" s="31"/>
      <c r="C86" s="32"/>
      <c r="D86" s="32"/>
      <c r="E86" s="32"/>
      <c r="F86" s="32"/>
      <c r="G86" s="32"/>
      <c r="H86" s="34"/>
      <c r="I86" s="34"/>
      <c r="J86" s="49"/>
      <c r="K86" s="32"/>
      <c r="L86" s="32"/>
      <c r="M86" s="37"/>
      <c r="N86" s="31"/>
      <c r="O86" s="32"/>
      <c r="P86" s="32"/>
      <c r="Q86" s="32"/>
      <c r="R86" s="32"/>
      <c r="S86" s="32"/>
      <c r="T86" s="32"/>
      <c r="U86" s="50"/>
      <c r="V86" s="32"/>
      <c r="W86" s="37"/>
      <c r="X86" s="31"/>
      <c r="Y86" s="32"/>
      <c r="Z86" s="32"/>
      <c r="AA86" s="32"/>
      <c r="AB86" s="18">
        <f t="shared" ref="AB86:AC86" si="266">G86-R86</f>
        <v>0</v>
      </c>
      <c r="AC86" s="18">
        <f t="shared" si="266"/>
        <v>0</v>
      </c>
      <c r="AD86" s="18">
        <f t="shared" si="5"/>
        <v>0</v>
      </c>
      <c r="AE86" s="23" t="e">
        <f t="shared" si="6"/>
        <v>#DIV/0!</v>
      </c>
    </row>
    <row r="87" spans="1:31" ht="17.25" customHeight="1">
      <c r="A87" s="920" t="s">
        <v>45</v>
      </c>
      <c r="B87" s="17" t="s">
        <v>21</v>
      </c>
      <c r="C87" s="18">
        <v>48108</v>
      </c>
      <c r="D87" s="18">
        <v>48108</v>
      </c>
      <c r="E87" s="18">
        <v>119165</v>
      </c>
      <c r="F87" s="18">
        <v>0</v>
      </c>
      <c r="G87" s="19">
        <v>0</v>
      </c>
      <c r="H87" s="20">
        <v>0</v>
      </c>
      <c r="I87" s="20">
        <f t="shared" ref="I87:I92" si="267">H87-G87</f>
        <v>0</v>
      </c>
      <c r="J87" s="21">
        <v>0</v>
      </c>
      <c r="K87" s="18">
        <f t="shared" ref="K87:K93" si="268">F87-E87</f>
        <v>-119165</v>
      </c>
      <c r="L87" s="18">
        <f t="shared" ref="L87:L93" si="269">F87-D87</f>
        <v>-48108</v>
      </c>
      <c r="M87" s="920" t="s">
        <v>45</v>
      </c>
      <c r="N87" s="17" t="s">
        <v>21</v>
      </c>
      <c r="O87" s="18">
        <v>48108</v>
      </c>
      <c r="P87" s="18">
        <v>48108</v>
      </c>
      <c r="Q87" s="18">
        <v>0</v>
      </c>
      <c r="R87" s="19">
        <v>0</v>
      </c>
      <c r="S87" s="18">
        <v>0</v>
      </c>
      <c r="T87" s="18">
        <f t="shared" ref="T87:T92" si="270">S87-R87</f>
        <v>0</v>
      </c>
      <c r="U87" s="23">
        <v>0</v>
      </c>
      <c r="V87" s="18">
        <f t="shared" ref="V87:V93" si="271">Q87-P87</f>
        <v>-48108</v>
      </c>
      <c r="W87" s="920" t="s">
        <v>45</v>
      </c>
      <c r="X87" s="17" t="s">
        <v>21</v>
      </c>
      <c r="Y87" s="18">
        <f t="shared" ref="Y87:Z87" si="272">C87-O87</f>
        <v>0</v>
      </c>
      <c r="Z87" s="18">
        <f t="shared" si="272"/>
        <v>0</v>
      </c>
      <c r="AA87" s="18">
        <f t="shared" ref="AA87:AC87" si="273">F87-Q87</f>
        <v>0</v>
      </c>
      <c r="AB87" s="18">
        <f t="shared" si="273"/>
        <v>0</v>
      </c>
      <c r="AC87" s="18">
        <f t="shared" si="273"/>
        <v>0</v>
      </c>
      <c r="AD87" s="18">
        <f t="shared" si="5"/>
        <v>0</v>
      </c>
      <c r="AE87" s="23" t="e">
        <f t="shared" si="6"/>
        <v>#DIV/0!</v>
      </c>
    </row>
    <row r="88" spans="1:31" ht="17.25" customHeight="1">
      <c r="A88" s="921"/>
      <c r="B88" s="17" t="s">
        <v>46</v>
      </c>
      <c r="C88" s="18">
        <v>0</v>
      </c>
      <c r="D88" s="18">
        <v>0</v>
      </c>
      <c r="E88" s="18">
        <v>0</v>
      </c>
      <c r="F88" s="18">
        <v>40000</v>
      </c>
      <c r="G88" s="19">
        <v>0</v>
      </c>
      <c r="H88" s="20">
        <v>0</v>
      </c>
      <c r="I88" s="20">
        <f t="shared" si="267"/>
        <v>0</v>
      </c>
      <c r="J88" s="21">
        <v>0</v>
      </c>
      <c r="K88" s="18">
        <f t="shared" si="268"/>
        <v>40000</v>
      </c>
      <c r="L88" s="18">
        <f t="shared" si="269"/>
        <v>40000</v>
      </c>
      <c r="M88" s="921"/>
      <c r="N88" s="17" t="s">
        <v>46</v>
      </c>
      <c r="O88" s="18">
        <v>0</v>
      </c>
      <c r="P88" s="18">
        <v>0</v>
      </c>
      <c r="Q88" s="18">
        <v>0</v>
      </c>
      <c r="R88" s="19">
        <v>0</v>
      </c>
      <c r="S88" s="18">
        <v>0</v>
      </c>
      <c r="T88" s="18">
        <f t="shared" si="270"/>
        <v>0</v>
      </c>
      <c r="U88" s="23">
        <v>0</v>
      </c>
      <c r="V88" s="18">
        <f t="shared" si="271"/>
        <v>0</v>
      </c>
      <c r="W88" s="921"/>
      <c r="X88" s="17" t="s">
        <v>46</v>
      </c>
      <c r="Y88" s="18">
        <f t="shared" ref="Y88:Z88" si="274">C88-O88</f>
        <v>0</v>
      </c>
      <c r="Z88" s="18">
        <f t="shared" si="274"/>
        <v>0</v>
      </c>
      <c r="AA88" s="18">
        <f t="shared" ref="AA88:AC88" si="275">F88-Q88</f>
        <v>40000</v>
      </c>
      <c r="AB88" s="18">
        <f t="shared" si="275"/>
        <v>0</v>
      </c>
      <c r="AC88" s="18">
        <f t="shared" si="275"/>
        <v>0</v>
      </c>
      <c r="AD88" s="18">
        <f t="shared" si="5"/>
        <v>0</v>
      </c>
      <c r="AE88" s="23" t="e">
        <f t="shared" si="6"/>
        <v>#DIV/0!</v>
      </c>
    </row>
    <row r="89" spans="1:31" ht="17.25" customHeight="1">
      <c r="A89" s="921"/>
      <c r="B89" s="17" t="s">
        <v>28</v>
      </c>
      <c r="C89" s="18">
        <v>59312</v>
      </c>
      <c r="D89" s="18">
        <v>29656</v>
      </c>
      <c r="E89" s="18">
        <v>110783</v>
      </c>
      <c r="F89" s="18">
        <v>90000</v>
      </c>
      <c r="G89" s="19">
        <v>92060</v>
      </c>
      <c r="H89" s="20">
        <v>78410</v>
      </c>
      <c r="I89" s="20">
        <f t="shared" si="267"/>
        <v>-13650</v>
      </c>
      <c r="J89" s="21">
        <f t="shared" ref="J89:J90" si="276">H89/G89*100</f>
        <v>85.172713447751462</v>
      </c>
      <c r="K89" s="18">
        <f t="shared" si="268"/>
        <v>-20783</v>
      </c>
      <c r="L89" s="18">
        <f t="shared" si="269"/>
        <v>60344</v>
      </c>
      <c r="M89" s="921"/>
      <c r="N89" s="17" t="s">
        <v>28</v>
      </c>
      <c r="O89" s="18">
        <v>59312</v>
      </c>
      <c r="P89" s="18">
        <v>29656</v>
      </c>
      <c r="Q89" s="18">
        <v>0</v>
      </c>
      <c r="R89" s="19">
        <v>0</v>
      </c>
      <c r="S89" s="18">
        <v>0</v>
      </c>
      <c r="T89" s="18">
        <f t="shared" si="270"/>
        <v>0</v>
      </c>
      <c r="U89" s="23" t="e">
        <f t="shared" ref="U89:U90" si="277">S89/R89*100</f>
        <v>#DIV/0!</v>
      </c>
      <c r="V89" s="18">
        <f t="shared" si="271"/>
        <v>-29656</v>
      </c>
      <c r="W89" s="921"/>
      <c r="X89" s="17" t="s">
        <v>28</v>
      </c>
      <c r="Y89" s="18">
        <f t="shared" ref="Y89:Z89" si="278">C89-O89</f>
        <v>0</v>
      </c>
      <c r="Z89" s="18">
        <f t="shared" si="278"/>
        <v>0</v>
      </c>
      <c r="AA89" s="18">
        <f t="shared" ref="AA89:AC89" si="279">F89-Q89</f>
        <v>90000</v>
      </c>
      <c r="AB89" s="18">
        <f t="shared" si="279"/>
        <v>92060</v>
      </c>
      <c r="AC89" s="18">
        <f t="shared" si="279"/>
        <v>78410</v>
      </c>
      <c r="AD89" s="18">
        <f t="shared" si="5"/>
        <v>-13650</v>
      </c>
      <c r="AE89" s="23">
        <f t="shared" si="6"/>
        <v>85.172713447751462</v>
      </c>
    </row>
    <row r="90" spans="1:31" ht="17.25" customHeight="1">
      <c r="A90" s="921"/>
      <c r="B90" s="17" t="s">
        <v>31</v>
      </c>
      <c r="C90" s="18">
        <v>11425</v>
      </c>
      <c r="D90" s="18">
        <v>5713</v>
      </c>
      <c r="E90" s="18">
        <f>5987+34641+4</f>
        <v>40632</v>
      </c>
      <c r="F90" s="18">
        <v>25632</v>
      </c>
      <c r="G90" s="19">
        <v>46081</v>
      </c>
      <c r="H90" s="20">
        <v>31083</v>
      </c>
      <c r="I90" s="20">
        <f t="shared" si="267"/>
        <v>-14998</v>
      </c>
      <c r="J90" s="21">
        <f t="shared" si="276"/>
        <v>67.452963260345911</v>
      </c>
      <c r="K90" s="18">
        <f t="shared" si="268"/>
        <v>-15000</v>
      </c>
      <c r="L90" s="18">
        <f t="shared" si="269"/>
        <v>19919</v>
      </c>
      <c r="M90" s="921"/>
      <c r="N90" s="17" t="s">
        <v>31</v>
      </c>
      <c r="O90" s="18">
        <v>11425</v>
      </c>
      <c r="P90" s="18">
        <v>5713</v>
      </c>
      <c r="Q90" s="18">
        <v>0</v>
      </c>
      <c r="R90" s="19">
        <v>0</v>
      </c>
      <c r="S90" s="18">
        <v>0</v>
      </c>
      <c r="T90" s="18">
        <f t="shared" si="270"/>
        <v>0</v>
      </c>
      <c r="U90" s="23" t="e">
        <f t="shared" si="277"/>
        <v>#DIV/0!</v>
      </c>
      <c r="V90" s="18">
        <f t="shared" si="271"/>
        <v>-5713</v>
      </c>
      <c r="W90" s="921"/>
      <c r="X90" s="17" t="s">
        <v>31</v>
      </c>
      <c r="Y90" s="18">
        <f t="shared" ref="Y90:Z90" si="280">C90-O90</f>
        <v>0</v>
      </c>
      <c r="Z90" s="18">
        <f t="shared" si="280"/>
        <v>0</v>
      </c>
      <c r="AA90" s="18">
        <f t="shared" ref="AA90:AC90" si="281">F90-Q90</f>
        <v>25632</v>
      </c>
      <c r="AB90" s="18">
        <f t="shared" si="281"/>
        <v>46081</v>
      </c>
      <c r="AC90" s="18">
        <f t="shared" si="281"/>
        <v>31083</v>
      </c>
      <c r="AD90" s="18">
        <f t="shared" si="5"/>
        <v>-14998</v>
      </c>
      <c r="AE90" s="23">
        <f t="shared" si="6"/>
        <v>67.452963260345911</v>
      </c>
    </row>
    <row r="91" spans="1:31" ht="17.25" customHeight="1">
      <c r="A91" s="921"/>
      <c r="B91" s="39" t="s">
        <v>32</v>
      </c>
      <c r="C91" s="18">
        <v>188571</v>
      </c>
      <c r="D91" s="18">
        <v>141428</v>
      </c>
      <c r="E91" s="18">
        <v>189973</v>
      </c>
      <c r="F91" s="18">
        <v>0</v>
      </c>
      <c r="G91" s="19">
        <v>0</v>
      </c>
      <c r="H91" s="20">
        <v>0</v>
      </c>
      <c r="I91" s="20">
        <f t="shared" si="267"/>
        <v>0</v>
      </c>
      <c r="J91" s="21">
        <v>0</v>
      </c>
      <c r="K91" s="18">
        <f t="shared" si="268"/>
        <v>-189973</v>
      </c>
      <c r="L91" s="18">
        <f t="shared" si="269"/>
        <v>-141428</v>
      </c>
      <c r="M91" s="921"/>
      <c r="N91" s="39" t="s">
        <v>32</v>
      </c>
      <c r="O91" s="18">
        <v>188571</v>
      </c>
      <c r="P91" s="18">
        <v>141428</v>
      </c>
      <c r="Q91" s="18">
        <v>0</v>
      </c>
      <c r="R91" s="19">
        <v>0</v>
      </c>
      <c r="S91" s="18">
        <v>0</v>
      </c>
      <c r="T91" s="18">
        <f t="shared" si="270"/>
        <v>0</v>
      </c>
      <c r="U91" s="23">
        <v>0</v>
      </c>
      <c r="V91" s="18">
        <f t="shared" si="271"/>
        <v>-141428</v>
      </c>
      <c r="W91" s="921"/>
      <c r="X91" s="39" t="s">
        <v>32</v>
      </c>
      <c r="Y91" s="18">
        <f t="shared" ref="Y91:Z91" si="282">C91-O91</f>
        <v>0</v>
      </c>
      <c r="Z91" s="18">
        <f t="shared" si="282"/>
        <v>0</v>
      </c>
      <c r="AA91" s="18">
        <f t="shared" ref="AA91:AC91" si="283">F91-Q91</f>
        <v>0</v>
      </c>
      <c r="AB91" s="18">
        <f t="shared" si="283"/>
        <v>0</v>
      </c>
      <c r="AC91" s="18">
        <f t="shared" si="283"/>
        <v>0</v>
      </c>
      <c r="AD91" s="18">
        <f t="shared" si="5"/>
        <v>0</v>
      </c>
      <c r="AE91" s="23" t="e">
        <f t="shared" si="6"/>
        <v>#DIV/0!</v>
      </c>
    </row>
    <row r="92" spans="1:31" ht="17.25" customHeight="1">
      <c r="A92" s="921"/>
      <c r="B92" s="17" t="s">
        <v>24</v>
      </c>
      <c r="C92" s="18">
        <v>0</v>
      </c>
      <c r="D92" s="18"/>
      <c r="E92" s="18"/>
      <c r="F92" s="18">
        <v>309200</v>
      </c>
      <c r="G92" s="19">
        <v>110000</v>
      </c>
      <c r="H92" s="20">
        <v>109452</v>
      </c>
      <c r="I92" s="20">
        <f t="shared" si="267"/>
        <v>-548</v>
      </c>
      <c r="J92" s="21">
        <f t="shared" ref="J92:J93" si="284">H92/G92*100</f>
        <v>99.50181818181818</v>
      </c>
      <c r="K92" s="18">
        <f t="shared" si="268"/>
        <v>309200</v>
      </c>
      <c r="L92" s="18">
        <f t="shared" si="269"/>
        <v>309200</v>
      </c>
      <c r="M92" s="921"/>
      <c r="N92" s="17" t="s">
        <v>24</v>
      </c>
      <c r="O92" s="18"/>
      <c r="P92" s="18"/>
      <c r="Q92" s="18">
        <v>0</v>
      </c>
      <c r="R92" s="19">
        <v>0</v>
      </c>
      <c r="S92" s="18">
        <v>0</v>
      </c>
      <c r="T92" s="18">
        <f t="shared" si="270"/>
        <v>0</v>
      </c>
      <c r="U92" s="23" t="e">
        <f t="shared" ref="U92:U93" si="285">S92/R92*100</f>
        <v>#DIV/0!</v>
      </c>
      <c r="V92" s="18">
        <f t="shared" si="271"/>
        <v>0</v>
      </c>
      <c r="W92" s="921"/>
      <c r="X92" s="17" t="s">
        <v>24</v>
      </c>
      <c r="Y92" s="18">
        <f t="shared" ref="Y92:Z92" si="286">C92-O92</f>
        <v>0</v>
      </c>
      <c r="Z92" s="18">
        <f t="shared" si="286"/>
        <v>0</v>
      </c>
      <c r="AA92" s="18">
        <f t="shared" ref="AA92:AC92" si="287">F92-Q92</f>
        <v>309200</v>
      </c>
      <c r="AB92" s="18">
        <f t="shared" si="287"/>
        <v>110000</v>
      </c>
      <c r="AC92" s="18">
        <f t="shared" si="287"/>
        <v>109452</v>
      </c>
      <c r="AD92" s="18">
        <f t="shared" si="5"/>
        <v>-548</v>
      </c>
      <c r="AE92" s="23">
        <f t="shared" si="6"/>
        <v>99.50181818181818</v>
      </c>
    </row>
    <row r="93" spans="1:31" ht="17.25" customHeight="1">
      <c r="A93" s="922"/>
      <c r="B93" s="25" t="s">
        <v>25</v>
      </c>
      <c r="C93" s="26">
        <f t="shared" ref="C93:I93" si="288">SUM(C87:C92)</f>
        <v>307416</v>
      </c>
      <c r="D93" s="26">
        <f t="shared" si="288"/>
        <v>224905</v>
      </c>
      <c r="E93" s="26">
        <f t="shared" si="288"/>
        <v>460553</v>
      </c>
      <c r="F93" s="26">
        <f t="shared" si="288"/>
        <v>464832</v>
      </c>
      <c r="G93" s="27">
        <f t="shared" si="288"/>
        <v>248141</v>
      </c>
      <c r="H93" s="28">
        <f t="shared" si="288"/>
        <v>218945</v>
      </c>
      <c r="I93" s="28">
        <f t="shared" si="288"/>
        <v>-29196</v>
      </c>
      <c r="J93" s="23">
        <f t="shared" si="284"/>
        <v>88.234108833284296</v>
      </c>
      <c r="K93" s="26">
        <f t="shared" si="268"/>
        <v>4279</v>
      </c>
      <c r="L93" s="26">
        <f t="shared" si="269"/>
        <v>239927</v>
      </c>
      <c r="M93" s="922"/>
      <c r="N93" s="25" t="s">
        <v>25</v>
      </c>
      <c r="O93" s="26">
        <f t="shared" ref="O93:T93" si="289">SUM(O87:O92)</f>
        <v>307416</v>
      </c>
      <c r="P93" s="26">
        <f t="shared" si="289"/>
        <v>224905</v>
      </c>
      <c r="Q93" s="26">
        <f t="shared" si="289"/>
        <v>0</v>
      </c>
      <c r="R93" s="27">
        <f t="shared" si="289"/>
        <v>0</v>
      </c>
      <c r="S93" s="26">
        <f t="shared" si="289"/>
        <v>0</v>
      </c>
      <c r="T93" s="26">
        <f t="shared" si="289"/>
        <v>0</v>
      </c>
      <c r="U93" s="23" t="e">
        <f t="shared" si="285"/>
        <v>#DIV/0!</v>
      </c>
      <c r="V93" s="26">
        <f t="shared" si="271"/>
        <v>-224905</v>
      </c>
      <c r="W93" s="922"/>
      <c r="X93" s="25" t="s">
        <v>25</v>
      </c>
      <c r="Y93" s="26">
        <f t="shared" ref="Y93:AA93" si="290">SUM(Y87:Y92)</f>
        <v>0</v>
      </c>
      <c r="Z93" s="26">
        <f t="shared" si="290"/>
        <v>0</v>
      </c>
      <c r="AA93" s="26">
        <f t="shared" si="290"/>
        <v>464832</v>
      </c>
      <c r="AB93" s="18">
        <f t="shared" ref="AB93:AC93" si="291">G93-R93</f>
        <v>248141</v>
      </c>
      <c r="AC93" s="18">
        <f t="shared" si="291"/>
        <v>218945</v>
      </c>
      <c r="AD93" s="18">
        <f t="shared" si="5"/>
        <v>-29196</v>
      </c>
      <c r="AE93" s="23">
        <f t="shared" si="6"/>
        <v>88.234108833284296</v>
      </c>
    </row>
    <row r="94" spans="1:31" ht="9" customHeight="1">
      <c r="A94" s="37"/>
      <c r="B94" s="31"/>
      <c r="C94" s="32"/>
      <c r="D94" s="32"/>
      <c r="E94" s="32"/>
      <c r="F94" s="32"/>
      <c r="G94" s="32"/>
      <c r="H94" s="34"/>
      <c r="I94" s="34"/>
      <c r="J94" s="49"/>
      <c r="K94" s="32"/>
      <c r="L94" s="32"/>
      <c r="M94" s="37"/>
      <c r="N94" s="31"/>
      <c r="O94" s="32"/>
      <c r="P94" s="32"/>
      <c r="Q94" s="32"/>
      <c r="R94" s="32"/>
      <c r="S94" s="32"/>
      <c r="T94" s="32"/>
      <c r="U94" s="50"/>
      <c r="V94" s="32"/>
      <c r="W94" s="37"/>
      <c r="X94" s="31"/>
      <c r="Y94" s="32"/>
      <c r="Z94" s="32"/>
      <c r="AA94" s="32"/>
      <c r="AB94" s="18">
        <f t="shared" ref="AB94:AC94" si="292">G94-R94</f>
        <v>0</v>
      </c>
      <c r="AC94" s="18">
        <f t="shared" si="292"/>
        <v>0</v>
      </c>
      <c r="AD94" s="18">
        <f t="shared" si="5"/>
        <v>0</v>
      </c>
      <c r="AE94" s="23" t="e">
        <f t="shared" si="6"/>
        <v>#DIV/0!</v>
      </c>
    </row>
    <row r="95" spans="1:31" ht="17.25" customHeight="1">
      <c r="A95" s="920" t="s">
        <v>47</v>
      </c>
      <c r="B95" s="17" t="s">
        <v>21</v>
      </c>
      <c r="C95" s="18">
        <v>350000</v>
      </c>
      <c r="D95" s="18">
        <v>350000</v>
      </c>
      <c r="E95" s="18">
        <v>1352588</v>
      </c>
      <c r="F95" s="18">
        <v>0</v>
      </c>
      <c r="G95" s="19">
        <v>0</v>
      </c>
      <c r="H95" s="20">
        <v>0</v>
      </c>
      <c r="I95" s="20">
        <f t="shared" ref="I95:I104" si="293">H95-G95</f>
        <v>0</v>
      </c>
      <c r="J95" s="21">
        <v>0</v>
      </c>
      <c r="K95" s="18">
        <f t="shared" ref="K95:K101" si="294">F95-E95</f>
        <v>-1352588</v>
      </c>
      <c r="L95" s="18">
        <f t="shared" ref="L95:L105" si="295">F95-D95</f>
        <v>-350000</v>
      </c>
      <c r="M95" s="920" t="s">
        <v>47</v>
      </c>
      <c r="N95" s="17" t="s">
        <v>21</v>
      </c>
      <c r="O95" s="18">
        <v>350000</v>
      </c>
      <c r="P95" s="18">
        <v>350000</v>
      </c>
      <c r="Q95" s="18">
        <v>0</v>
      </c>
      <c r="R95" s="19">
        <v>0</v>
      </c>
      <c r="S95" s="18">
        <v>0</v>
      </c>
      <c r="T95" s="18">
        <f t="shared" ref="T95:T104" si="296">S95-R95</f>
        <v>0</v>
      </c>
      <c r="U95" s="23">
        <v>0</v>
      </c>
      <c r="V95" s="18">
        <f t="shared" ref="V95:V105" si="297">Q95-P95</f>
        <v>-350000</v>
      </c>
      <c r="W95" s="920" t="s">
        <v>47</v>
      </c>
      <c r="X95" s="17" t="s">
        <v>21</v>
      </c>
      <c r="Y95" s="18">
        <f t="shared" ref="Y95:Z95" si="298">C95-O95</f>
        <v>0</v>
      </c>
      <c r="Z95" s="18">
        <f t="shared" si="298"/>
        <v>0</v>
      </c>
      <c r="AA95" s="18">
        <f t="shared" ref="AA95:AC95" si="299">F95-Q95</f>
        <v>0</v>
      </c>
      <c r="AB95" s="18">
        <f t="shared" si="299"/>
        <v>0</v>
      </c>
      <c r="AC95" s="18">
        <f t="shared" si="299"/>
        <v>0</v>
      </c>
      <c r="AD95" s="18">
        <f t="shared" si="5"/>
        <v>0</v>
      </c>
      <c r="AE95" s="23" t="e">
        <f t="shared" si="6"/>
        <v>#DIV/0!</v>
      </c>
    </row>
    <row r="96" spans="1:31" ht="17.25" customHeight="1">
      <c r="A96" s="921"/>
      <c r="B96" s="17" t="s">
        <v>22</v>
      </c>
      <c r="C96" s="18">
        <v>0</v>
      </c>
      <c r="D96" s="18">
        <v>0</v>
      </c>
      <c r="E96" s="18">
        <v>2769</v>
      </c>
      <c r="F96" s="18">
        <v>2769</v>
      </c>
      <c r="G96" s="19">
        <v>0</v>
      </c>
      <c r="H96" s="20">
        <v>0</v>
      </c>
      <c r="I96" s="20">
        <f t="shared" si="293"/>
        <v>0</v>
      </c>
      <c r="J96" s="21">
        <v>0</v>
      </c>
      <c r="K96" s="18">
        <f t="shared" si="294"/>
        <v>0</v>
      </c>
      <c r="L96" s="18">
        <f t="shared" si="295"/>
        <v>2769</v>
      </c>
      <c r="M96" s="921"/>
      <c r="N96" s="17" t="s">
        <v>22</v>
      </c>
      <c r="O96" s="18">
        <v>0</v>
      </c>
      <c r="P96" s="18">
        <v>0</v>
      </c>
      <c r="Q96" s="18">
        <v>0</v>
      </c>
      <c r="R96" s="19">
        <v>0</v>
      </c>
      <c r="S96" s="18">
        <v>0</v>
      </c>
      <c r="T96" s="18">
        <f t="shared" si="296"/>
        <v>0</v>
      </c>
      <c r="U96" s="23">
        <v>0</v>
      </c>
      <c r="V96" s="18">
        <f t="shared" si="297"/>
        <v>0</v>
      </c>
      <c r="W96" s="921"/>
      <c r="X96" s="17" t="s">
        <v>22</v>
      </c>
      <c r="Y96" s="18">
        <f t="shared" ref="Y96:Z96" si="300">C96-O96</f>
        <v>0</v>
      </c>
      <c r="Z96" s="18">
        <f t="shared" si="300"/>
        <v>0</v>
      </c>
      <c r="AA96" s="18">
        <f t="shared" ref="AA96:AC96" si="301">F96-Q96</f>
        <v>2769</v>
      </c>
      <c r="AB96" s="18">
        <f t="shared" si="301"/>
        <v>0</v>
      </c>
      <c r="AC96" s="18">
        <f t="shared" si="301"/>
        <v>0</v>
      </c>
      <c r="AD96" s="18">
        <f t="shared" si="5"/>
        <v>0</v>
      </c>
      <c r="AE96" s="23" t="e">
        <f t="shared" si="6"/>
        <v>#DIV/0!</v>
      </c>
    </row>
    <row r="97" spans="1:31" ht="17.25" customHeight="1">
      <c r="A97" s="921"/>
      <c r="B97" s="17" t="s">
        <v>28</v>
      </c>
      <c r="C97" s="18">
        <v>30000</v>
      </c>
      <c r="D97" s="18">
        <v>15000</v>
      </c>
      <c r="E97" s="18">
        <v>30512</v>
      </c>
      <c r="F97" s="18">
        <v>30512</v>
      </c>
      <c r="G97" s="19">
        <v>33451</v>
      </c>
      <c r="H97" s="20">
        <v>34552</v>
      </c>
      <c r="I97" s="20">
        <f t="shared" si="293"/>
        <v>1101</v>
      </c>
      <c r="J97" s="21">
        <f t="shared" ref="J97:J100" si="302">H97/G97*100</f>
        <v>103.29138142357479</v>
      </c>
      <c r="K97" s="18">
        <f t="shared" si="294"/>
        <v>0</v>
      </c>
      <c r="L97" s="18">
        <f t="shared" si="295"/>
        <v>15512</v>
      </c>
      <c r="M97" s="921"/>
      <c r="N97" s="17" t="s">
        <v>28</v>
      </c>
      <c r="O97" s="18">
        <v>30000</v>
      </c>
      <c r="P97" s="18">
        <v>15000</v>
      </c>
      <c r="Q97" s="18">
        <f>16500</f>
        <v>16500</v>
      </c>
      <c r="R97" s="19">
        <v>19800</v>
      </c>
      <c r="S97" s="18">
        <v>22335</v>
      </c>
      <c r="T97" s="18">
        <f t="shared" si="296"/>
        <v>2535</v>
      </c>
      <c r="U97" s="23">
        <f t="shared" ref="U97:U100" si="303">S97/R97*100</f>
        <v>112.8030303030303</v>
      </c>
      <c r="V97" s="18">
        <f t="shared" si="297"/>
        <v>1500</v>
      </c>
      <c r="W97" s="921"/>
      <c r="X97" s="17" t="s">
        <v>28</v>
      </c>
      <c r="Y97" s="18">
        <f t="shared" ref="Y97:Z97" si="304">C97-O97</f>
        <v>0</v>
      </c>
      <c r="Z97" s="18">
        <f t="shared" si="304"/>
        <v>0</v>
      </c>
      <c r="AA97" s="18">
        <f t="shared" ref="AA97:AC97" si="305">F97-Q97</f>
        <v>14012</v>
      </c>
      <c r="AB97" s="18">
        <f t="shared" si="305"/>
        <v>13651</v>
      </c>
      <c r="AC97" s="18">
        <f t="shared" si="305"/>
        <v>12217</v>
      </c>
      <c r="AD97" s="18">
        <f t="shared" si="5"/>
        <v>-1434</v>
      </c>
      <c r="AE97" s="23">
        <f t="shared" si="6"/>
        <v>89.495275071423336</v>
      </c>
    </row>
    <row r="98" spans="1:31" ht="17.25" customHeight="1">
      <c r="A98" s="921"/>
      <c r="B98" s="17" t="s">
        <v>48</v>
      </c>
      <c r="C98" s="18">
        <v>0</v>
      </c>
      <c r="D98" s="18">
        <v>0</v>
      </c>
      <c r="E98" s="18">
        <v>9102</v>
      </c>
      <c r="F98" s="18">
        <v>9102</v>
      </c>
      <c r="G98" s="19">
        <v>10413</v>
      </c>
      <c r="H98" s="20">
        <v>0</v>
      </c>
      <c r="I98" s="20">
        <f t="shared" si="293"/>
        <v>-10413</v>
      </c>
      <c r="J98" s="21">
        <f t="shared" si="302"/>
        <v>0</v>
      </c>
      <c r="K98" s="18">
        <f t="shared" si="294"/>
        <v>0</v>
      </c>
      <c r="L98" s="18">
        <f t="shared" si="295"/>
        <v>9102</v>
      </c>
      <c r="M98" s="921"/>
      <c r="N98" s="17" t="s">
        <v>48</v>
      </c>
      <c r="O98" s="18">
        <v>0</v>
      </c>
      <c r="P98" s="18">
        <v>0</v>
      </c>
      <c r="Q98" s="18">
        <v>0</v>
      </c>
      <c r="R98" s="19">
        <v>0</v>
      </c>
      <c r="S98" s="18">
        <v>0</v>
      </c>
      <c r="T98" s="18">
        <f t="shared" si="296"/>
        <v>0</v>
      </c>
      <c r="U98" s="23" t="e">
        <f t="shared" si="303"/>
        <v>#DIV/0!</v>
      </c>
      <c r="V98" s="18">
        <f t="shared" si="297"/>
        <v>0</v>
      </c>
      <c r="W98" s="921"/>
      <c r="X98" s="17" t="s">
        <v>48</v>
      </c>
      <c r="Y98" s="18">
        <f t="shared" ref="Y98:Z98" si="306">C98-O98</f>
        <v>0</v>
      </c>
      <c r="Z98" s="18">
        <f t="shared" si="306"/>
        <v>0</v>
      </c>
      <c r="AA98" s="18">
        <f t="shared" ref="AA98:AC98" si="307">F98-Q98</f>
        <v>9102</v>
      </c>
      <c r="AB98" s="18">
        <f t="shared" si="307"/>
        <v>10413</v>
      </c>
      <c r="AC98" s="18">
        <f t="shared" si="307"/>
        <v>0</v>
      </c>
      <c r="AD98" s="18">
        <f t="shared" si="5"/>
        <v>-10413</v>
      </c>
      <c r="AE98" s="23">
        <f t="shared" si="6"/>
        <v>0</v>
      </c>
    </row>
    <row r="99" spans="1:31" ht="17.25" customHeight="1">
      <c r="A99" s="921"/>
      <c r="B99" s="17" t="s">
        <v>31</v>
      </c>
      <c r="C99" s="18">
        <v>150000</v>
      </c>
      <c r="D99" s="18">
        <v>75000</v>
      </c>
      <c r="E99" s="18">
        <f>264635+102064</f>
        <v>366699</v>
      </c>
      <c r="F99" s="18">
        <v>120000</v>
      </c>
      <c r="G99" s="19">
        <v>147140</v>
      </c>
      <c r="H99" s="20">
        <v>168616</v>
      </c>
      <c r="I99" s="20">
        <f t="shared" si="293"/>
        <v>21476</v>
      </c>
      <c r="J99" s="21">
        <f t="shared" si="302"/>
        <v>114.59562321598477</v>
      </c>
      <c r="K99" s="18">
        <f t="shared" si="294"/>
        <v>-246699</v>
      </c>
      <c r="L99" s="18">
        <f t="shared" si="295"/>
        <v>45000</v>
      </c>
      <c r="M99" s="921"/>
      <c r="N99" s="17" t="s">
        <v>31</v>
      </c>
      <c r="O99" s="18">
        <v>150000</v>
      </c>
      <c r="P99" s="18">
        <v>75000</v>
      </c>
      <c r="Q99" s="18">
        <f>101542</f>
        <v>101542</v>
      </c>
      <c r="R99" s="19">
        <v>125493</v>
      </c>
      <c r="S99" s="18">
        <v>138602</v>
      </c>
      <c r="T99" s="18">
        <f t="shared" si="296"/>
        <v>13109</v>
      </c>
      <c r="U99" s="23">
        <f t="shared" si="303"/>
        <v>110.44600097216576</v>
      </c>
      <c r="V99" s="18">
        <f t="shared" si="297"/>
        <v>26542</v>
      </c>
      <c r="W99" s="921"/>
      <c r="X99" s="17" t="s">
        <v>31</v>
      </c>
      <c r="Y99" s="18">
        <f t="shared" ref="Y99:Z99" si="308">C99-O99</f>
        <v>0</v>
      </c>
      <c r="Z99" s="18">
        <f t="shared" si="308"/>
        <v>0</v>
      </c>
      <c r="AA99" s="18">
        <f t="shared" ref="AA99:AC99" si="309">F99-Q99</f>
        <v>18458</v>
      </c>
      <c r="AB99" s="18">
        <f t="shared" si="309"/>
        <v>21647</v>
      </c>
      <c r="AC99" s="18">
        <f t="shared" si="309"/>
        <v>30014</v>
      </c>
      <c r="AD99" s="18">
        <f t="shared" si="5"/>
        <v>8367</v>
      </c>
      <c r="AE99" s="23">
        <f t="shared" si="6"/>
        <v>138.65200720654133</v>
      </c>
    </row>
    <row r="100" spans="1:31" ht="17.25" customHeight="1">
      <c r="A100" s="921"/>
      <c r="B100" s="17" t="s">
        <v>49</v>
      </c>
      <c r="C100" s="18">
        <v>0</v>
      </c>
      <c r="D100" s="18">
        <v>0</v>
      </c>
      <c r="E100" s="18"/>
      <c r="F100" s="18">
        <v>1794</v>
      </c>
      <c r="G100" s="19">
        <v>1794</v>
      </c>
      <c r="H100" s="20">
        <v>0</v>
      </c>
      <c r="I100" s="20">
        <f t="shared" si="293"/>
        <v>-1794</v>
      </c>
      <c r="J100" s="21">
        <f t="shared" si="302"/>
        <v>0</v>
      </c>
      <c r="K100" s="18">
        <f t="shared" si="294"/>
        <v>1794</v>
      </c>
      <c r="L100" s="18">
        <f t="shared" si="295"/>
        <v>1794</v>
      </c>
      <c r="M100" s="921"/>
      <c r="N100" s="17" t="s">
        <v>49</v>
      </c>
      <c r="O100" s="18">
        <v>0</v>
      </c>
      <c r="P100" s="18">
        <v>0</v>
      </c>
      <c r="Q100" s="18">
        <v>0</v>
      </c>
      <c r="R100" s="19">
        <v>0</v>
      </c>
      <c r="S100" s="18">
        <v>0</v>
      </c>
      <c r="T100" s="18">
        <f t="shared" si="296"/>
        <v>0</v>
      </c>
      <c r="U100" s="23" t="e">
        <f t="shared" si="303"/>
        <v>#DIV/0!</v>
      </c>
      <c r="V100" s="18">
        <f t="shared" si="297"/>
        <v>0</v>
      </c>
      <c r="W100" s="921"/>
      <c r="X100" s="17" t="s">
        <v>49</v>
      </c>
      <c r="Y100" s="18">
        <f t="shared" ref="Y100:Z100" si="310">C100-O100</f>
        <v>0</v>
      </c>
      <c r="Z100" s="18">
        <f t="shared" si="310"/>
        <v>0</v>
      </c>
      <c r="AA100" s="18">
        <f t="shared" ref="AA100:AC100" si="311">F100-Q100</f>
        <v>1794</v>
      </c>
      <c r="AB100" s="18">
        <f t="shared" si="311"/>
        <v>1794</v>
      </c>
      <c r="AC100" s="18">
        <f t="shared" si="311"/>
        <v>0</v>
      </c>
      <c r="AD100" s="18">
        <f t="shared" si="5"/>
        <v>-1794</v>
      </c>
      <c r="AE100" s="23">
        <f t="shared" si="6"/>
        <v>0</v>
      </c>
    </row>
    <row r="101" spans="1:31" ht="17.25" customHeight="1">
      <c r="A101" s="921"/>
      <c r="B101" s="39" t="s">
        <v>32</v>
      </c>
      <c r="C101" s="18">
        <v>145000</v>
      </c>
      <c r="D101" s="18">
        <v>108750</v>
      </c>
      <c r="E101" s="18">
        <v>194664</v>
      </c>
      <c r="F101" s="18">
        <v>0</v>
      </c>
      <c r="G101" s="19">
        <v>0</v>
      </c>
      <c r="H101" s="20">
        <v>0</v>
      </c>
      <c r="I101" s="20">
        <f t="shared" si="293"/>
        <v>0</v>
      </c>
      <c r="J101" s="21">
        <v>0</v>
      </c>
      <c r="K101" s="18">
        <f t="shared" si="294"/>
        <v>-194664</v>
      </c>
      <c r="L101" s="18">
        <f t="shared" si="295"/>
        <v>-108750</v>
      </c>
      <c r="M101" s="921"/>
      <c r="N101" s="39" t="s">
        <v>32</v>
      </c>
      <c r="O101" s="18">
        <v>145000</v>
      </c>
      <c r="P101" s="18">
        <v>108750</v>
      </c>
      <c r="Q101" s="18">
        <v>0</v>
      </c>
      <c r="R101" s="19">
        <v>0</v>
      </c>
      <c r="S101" s="18">
        <v>0</v>
      </c>
      <c r="T101" s="18">
        <f t="shared" si="296"/>
        <v>0</v>
      </c>
      <c r="U101" s="23">
        <v>0</v>
      </c>
      <c r="V101" s="18">
        <f t="shared" si="297"/>
        <v>-108750</v>
      </c>
      <c r="W101" s="921"/>
      <c r="X101" s="39" t="s">
        <v>32</v>
      </c>
      <c r="Y101" s="18">
        <f t="shared" ref="Y101:Z101" si="312">C101-O101</f>
        <v>0</v>
      </c>
      <c r="Z101" s="18">
        <f t="shared" si="312"/>
        <v>0</v>
      </c>
      <c r="AA101" s="18">
        <f t="shared" ref="AA101:AC101" si="313">F101-Q101</f>
        <v>0</v>
      </c>
      <c r="AB101" s="18">
        <f t="shared" si="313"/>
        <v>0</v>
      </c>
      <c r="AC101" s="18">
        <f t="shared" si="313"/>
        <v>0</v>
      </c>
      <c r="AD101" s="18">
        <f t="shared" si="5"/>
        <v>0</v>
      </c>
      <c r="AE101" s="23" t="e">
        <f t="shared" si="6"/>
        <v>#DIV/0!</v>
      </c>
    </row>
    <row r="102" spans="1:31" ht="17.25" customHeight="1">
      <c r="A102" s="921"/>
      <c r="B102" s="39" t="s">
        <v>50</v>
      </c>
      <c r="C102" s="18">
        <v>0</v>
      </c>
      <c r="D102" s="18">
        <v>0</v>
      </c>
      <c r="E102" s="18"/>
      <c r="F102" s="18">
        <v>0</v>
      </c>
      <c r="G102" s="19">
        <v>0</v>
      </c>
      <c r="H102" s="20">
        <v>0</v>
      </c>
      <c r="I102" s="20">
        <f t="shared" si="293"/>
        <v>0</v>
      </c>
      <c r="J102" s="21">
        <v>0</v>
      </c>
      <c r="K102" s="18"/>
      <c r="L102" s="18">
        <f t="shared" si="295"/>
        <v>0</v>
      </c>
      <c r="M102" s="921"/>
      <c r="N102" s="39" t="s">
        <v>50</v>
      </c>
      <c r="O102" s="18">
        <v>0</v>
      </c>
      <c r="P102" s="18">
        <v>0</v>
      </c>
      <c r="Q102" s="18">
        <v>0</v>
      </c>
      <c r="R102" s="19">
        <v>0</v>
      </c>
      <c r="S102" s="18">
        <v>0</v>
      </c>
      <c r="T102" s="18">
        <f t="shared" si="296"/>
        <v>0</v>
      </c>
      <c r="U102" s="23">
        <v>0</v>
      </c>
      <c r="V102" s="18">
        <f t="shared" si="297"/>
        <v>0</v>
      </c>
      <c r="W102" s="921"/>
      <c r="X102" s="39" t="s">
        <v>50</v>
      </c>
      <c r="Y102" s="18">
        <f t="shared" ref="Y102:AA102" si="314">C102-O102</f>
        <v>0</v>
      </c>
      <c r="Z102" s="18">
        <f t="shared" si="314"/>
        <v>0</v>
      </c>
      <c r="AA102" s="18">
        <f t="shared" si="314"/>
        <v>0</v>
      </c>
      <c r="AB102" s="18">
        <f t="shared" ref="AB102:AC102" si="315">G102-R102</f>
        <v>0</v>
      </c>
      <c r="AC102" s="18">
        <f t="shared" si="315"/>
        <v>0</v>
      </c>
      <c r="AD102" s="18">
        <f t="shared" si="5"/>
        <v>0</v>
      </c>
      <c r="AE102" s="23" t="e">
        <f t="shared" si="6"/>
        <v>#DIV/0!</v>
      </c>
    </row>
    <row r="103" spans="1:31" ht="17.25" customHeight="1">
      <c r="A103" s="921"/>
      <c r="B103" s="17" t="s">
        <v>24</v>
      </c>
      <c r="C103" s="18">
        <v>0</v>
      </c>
      <c r="D103" s="18">
        <v>0</v>
      </c>
      <c r="E103" s="18"/>
      <c r="F103" s="18">
        <v>600000</v>
      </c>
      <c r="G103" s="19">
        <v>820000</v>
      </c>
      <c r="H103" s="20">
        <v>657277</v>
      </c>
      <c r="I103" s="20">
        <f t="shared" si="293"/>
        <v>-162723</v>
      </c>
      <c r="J103" s="21">
        <f t="shared" ref="J103:J105" si="316">H103/G103*100</f>
        <v>80.155731707317074</v>
      </c>
      <c r="K103" s="18">
        <f t="shared" ref="K103:K105" si="317">F103-E103</f>
        <v>600000</v>
      </c>
      <c r="L103" s="18">
        <f t="shared" si="295"/>
        <v>600000</v>
      </c>
      <c r="M103" s="921"/>
      <c r="N103" s="17" t="s">
        <v>24</v>
      </c>
      <c r="O103" s="18">
        <v>0</v>
      </c>
      <c r="P103" s="18">
        <v>0</v>
      </c>
      <c r="Q103" s="18">
        <f>380+403419</f>
        <v>403799</v>
      </c>
      <c r="R103" s="19">
        <f>379+567905</f>
        <v>568284</v>
      </c>
      <c r="S103" s="18">
        <f>379+403400</f>
        <v>403779</v>
      </c>
      <c r="T103" s="18">
        <f t="shared" si="296"/>
        <v>-164505</v>
      </c>
      <c r="U103" s="23">
        <f t="shared" ref="U103:U105" si="318">S103/R103*100</f>
        <v>71.052325949701199</v>
      </c>
      <c r="V103" s="18">
        <f t="shared" si="297"/>
        <v>403799</v>
      </c>
      <c r="W103" s="921"/>
      <c r="X103" s="17" t="s">
        <v>24</v>
      </c>
      <c r="Y103" s="18">
        <f t="shared" ref="Y103:Z103" si="319">C103-O103</f>
        <v>0</v>
      </c>
      <c r="Z103" s="18">
        <f t="shared" si="319"/>
        <v>0</v>
      </c>
      <c r="AA103" s="18">
        <f t="shared" ref="AA103:AC103" si="320">F103-Q103</f>
        <v>196201</v>
      </c>
      <c r="AB103" s="18">
        <f t="shared" si="320"/>
        <v>251716</v>
      </c>
      <c r="AC103" s="18">
        <f t="shared" si="320"/>
        <v>253498</v>
      </c>
      <c r="AD103" s="18">
        <f t="shared" si="5"/>
        <v>1782</v>
      </c>
      <c r="AE103" s="23">
        <f t="shared" si="6"/>
        <v>100.70794069506906</v>
      </c>
    </row>
    <row r="104" spans="1:31" ht="17.25" customHeight="1">
      <c r="A104" s="921"/>
      <c r="B104" s="39" t="s">
        <v>51</v>
      </c>
      <c r="C104" s="18">
        <v>0</v>
      </c>
      <c r="D104" s="18">
        <v>0</v>
      </c>
      <c r="E104" s="18">
        <v>26193</v>
      </c>
      <c r="F104" s="18">
        <v>40000</v>
      </c>
      <c r="G104" s="19">
        <v>18000</v>
      </c>
      <c r="H104" s="20">
        <v>3696</v>
      </c>
      <c r="I104" s="20">
        <f t="shared" si="293"/>
        <v>-14304</v>
      </c>
      <c r="J104" s="21">
        <f t="shared" si="316"/>
        <v>20.533333333333335</v>
      </c>
      <c r="K104" s="18">
        <f t="shared" si="317"/>
        <v>13807</v>
      </c>
      <c r="L104" s="18">
        <f t="shared" si="295"/>
        <v>40000</v>
      </c>
      <c r="M104" s="921"/>
      <c r="N104" s="39" t="s">
        <v>51</v>
      </c>
      <c r="O104" s="18">
        <v>0</v>
      </c>
      <c r="P104" s="18">
        <v>0</v>
      </c>
      <c r="Q104" s="18">
        <v>0</v>
      </c>
      <c r="R104" s="19">
        <v>0</v>
      </c>
      <c r="S104" s="18">
        <v>0</v>
      </c>
      <c r="T104" s="18">
        <f t="shared" si="296"/>
        <v>0</v>
      </c>
      <c r="U104" s="23" t="e">
        <f t="shared" si="318"/>
        <v>#DIV/0!</v>
      </c>
      <c r="V104" s="18">
        <f t="shared" si="297"/>
        <v>0</v>
      </c>
      <c r="W104" s="921"/>
      <c r="X104" s="39" t="s">
        <v>51</v>
      </c>
      <c r="Y104" s="18">
        <f t="shared" ref="Y104:Z104" si="321">C104-O104</f>
        <v>0</v>
      </c>
      <c r="Z104" s="18">
        <f t="shared" si="321"/>
        <v>0</v>
      </c>
      <c r="AA104" s="18">
        <f t="shared" ref="AA104:AC104" si="322">F104-Q104</f>
        <v>40000</v>
      </c>
      <c r="AB104" s="18">
        <f t="shared" si="322"/>
        <v>18000</v>
      </c>
      <c r="AC104" s="18">
        <f t="shared" si="322"/>
        <v>3696</v>
      </c>
      <c r="AD104" s="18">
        <f t="shared" si="5"/>
        <v>-14304</v>
      </c>
      <c r="AE104" s="23">
        <f t="shared" si="6"/>
        <v>20.533333333333335</v>
      </c>
    </row>
    <row r="105" spans="1:31" ht="17.25" customHeight="1">
      <c r="A105" s="922"/>
      <c r="B105" s="25" t="s">
        <v>25</v>
      </c>
      <c r="C105" s="26">
        <f t="shared" ref="C105:I105" si="323">SUM(C95:C104)</f>
        <v>675000</v>
      </c>
      <c r="D105" s="26">
        <f t="shared" si="323"/>
        <v>548750</v>
      </c>
      <c r="E105" s="26">
        <f t="shared" si="323"/>
        <v>1982527</v>
      </c>
      <c r="F105" s="26">
        <f t="shared" si="323"/>
        <v>804177</v>
      </c>
      <c r="G105" s="27">
        <f t="shared" si="323"/>
        <v>1030798</v>
      </c>
      <c r="H105" s="28">
        <f t="shared" si="323"/>
        <v>864141</v>
      </c>
      <c r="I105" s="28">
        <f t="shared" si="323"/>
        <v>-166657</v>
      </c>
      <c r="J105" s="23">
        <f t="shared" si="316"/>
        <v>83.832234831654688</v>
      </c>
      <c r="K105" s="26">
        <f t="shared" si="317"/>
        <v>-1178350</v>
      </c>
      <c r="L105" s="26">
        <f t="shared" si="295"/>
        <v>255427</v>
      </c>
      <c r="M105" s="922"/>
      <c r="N105" s="25" t="s">
        <v>25</v>
      </c>
      <c r="O105" s="26">
        <f t="shared" ref="O105:T105" si="324">SUM(O95:O104)</f>
        <v>675000</v>
      </c>
      <c r="P105" s="26">
        <f t="shared" si="324"/>
        <v>548750</v>
      </c>
      <c r="Q105" s="26">
        <f t="shared" si="324"/>
        <v>521841</v>
      </c>
      <c r="R105" s="27">
        <f t="shared" si="324"/>
        <v>713577</v>
      </c>
      <c r="S105" s="26">
        <f t="shared" si="324"/>
        <v>564716</v>
      </c>
      <c r="T105" s="26">
        <f t="shared" si="324"/>
        <v>-148861</v>
      </c>
      <c r="U105" s="23">
        <f t="shared" si="318"/>
        <v>79.138761479139603</v>
      </c>
      <c r="V105" s="26">
        <f t="shared" si="297"/>
        <v>-26909</v>
      </c>
      <c r="W105" s="922"/>
      <c r="X105" s="25" t="s">
        <v>25</v>
      </c>
      <c r="Y105" s="26">
        <f t="shared" ref="Y105:AA105" si="325">SUM(Y95:Y104)</f>
        <v>0</v>
      </c>
      <c r="Z105" s="26">
        <f t="shared" si="325"/>
        <v>0</v>
      </c>
      <c r="AA105" s="26">
        <f t="shared" si="325"/>
        <v>282336</v>
      </c>
      <c r="AB105" s="18">
        <f t="shared" ref="AB105:AC105" si="326">G105-R105</f>
        <v>317221</v>
      </c>
      <c r="AC105" s="18">
        <f t="shared" si="326"/>
        <v>299425</v>
      </c>
      <c r="AD105" s="18">
        <f t="shared" si="5"/>
        <v>-17796</v>
      </c>
      <c r="AE105" s="23">
        <f t="shared" si="6"/>
        <v>94.390030924812677</v>
      </c>
    </row>
    <row r="106" spans="1:31" ht="9" customHeight="1">
      <c r="A106" s="37"/>
      <c r="B106" s="31"/>
      <c r="C106" s="32"/>
      <c r="D106" s="32"/>
      <c r="E106" s="32"/>
      <c r="F106" s="32"/>
      <c r="G106" s="32"/>
      <c r="H106" s="40"/>
      <c r="I106" s="34"/>
      <c r="J106" s="49"/>
      <c r="K106" s="32"/>
      <c r="L106" s="32"/>
      <c r="M106" s="37"/>
      <c r="N106" s="31"/>
      <c r="O106" s="32"/>
      <c r="P106" s="32"/>
      <c r="Q106" s="32"/>
      <c r="R106" s="32"/>
      <c r="S106" s="32"/>
      <c r="T106" s="32"/>
      <c r="U106" s="50"/>
      <c r="V106" s="32"/>
      <c r="W106" s="37"/>
      <c r="X106" s="31"/>
      <c r="Y106" s="32"/>
      <c r="Z106" s="32"/>
      <c r="AA106" s="32"/>
      <c r="AB106" s="18">
        <f t="shared" ref="AB106:AC106" si="327">G106-R106</f>
        <v>0</v>
      </c>
      <c r="AC106" s="18">
        <f t="shared" si="327"/>
        <v>0</v>
      </c>
      <c r="AD106" s="18">
        <f t="shared" si="5"/>
        <v>0</v>
      </c>
      <c r="AE106" s="23" t="e">
        <f t="shared" si="6"/>
        <v>#DIV/0!</v>
      </c>
    </row>
    <row r="107" spans="1:31" ht="17.25" customHeight="1">
      <c r="A107" s="920" t="s">
        <v>52</v>
      </c>
      <c r="B107" s="17" t="s">
        <v>21</v>
      </c>
      <c r="C107" s="18">
        <v>82923</v>
      </c>
      <c r="D107" s="18">
        <v>82923</v>
      </c>
      <c r="E107" s="18">
        <v>128128</v>
      </c>
      <c r="F107" s="18">
        <v>0</v>
      </c>
      <c r="G107" s="19">
        <v>0</v>
      </c>
      <c r="H107" s="20">
        <v>0</v>
      </c>
      <c r="I107" s="20">
        <f t="shared" ref="I107:I111" si="328">H107-G107</f>
        <v>0</v>
      </c>
      <c r="J107" s="21">
        <v>0</v>
      </c>
      <c r="K107" s="18">
        <f t="shared" ref="K107:K108" si="329">F107-E107</f>
        <v>-128128</v>
      </c>
      <c r="L107" s="18">
        <f t="shared" ref="L107:L112" si="330">F107-D107</f>
        <v>-82923</v>
      </c>
      <c r="M107" s="920" t="s">
        <v>52</v>
      </c>
      <c r="N107" s="17" t="s">
        <v>21</v>
      </c>
      <c r="O107" s="18">
        <v>82923</v>
      </c>
      <c r="P107" s="18">
        <v>82923</v>
      </c>
      <c r="Q107" s="18">
        <v>0</v>
      </c>
      <c r="R107" s="19">
        <v>0</v>
      </c>
      <c r="S107" s="18">
        <v>0</v>
      </c>
      <c r="T107" s="18">
        <f t="shared" ref="T107:T111" si="331">S107-R107</f>
        <v>0</v>
      </c>
      <c r="U107" s="23">
        <v>0</v>
      </c>
      <c r="V107" s="18">
        <f t="shared" ref="V107:V108" si="332">Q107-P107</f>
        <v>-82923</v>
      </c>
      <c r="W107" s="920" t="s">
        <v>52</v>
      </c>
      <c r="X107" s="17" t="s">
        <v>21</v>
      </c>
      <c r="Y107" s="18">
        <f t="shared" ref="Y107:Z107" si="333">C107-O107</f>
        <v>0</v>
      </c>
      <c r="Z107" s="18">
        <f t="shared" si="333"/>
        <v>0</v>
      </c>
      <c r="AA107" s="18">
        <f t="shared" ref="AA107:AC107" si="334">F107-Q107</f>
        <v>0</v>
      </c>
      <c r="AB107" s="18">
        <f t="shared" si="334"/>
        <v>0</v>
      </c>
      <c r="AC107" s="18">
        <f t="shared" si="334"/>
        <v>0</v>
      </c>
      <c r="AD107" s="18">
        <f t="shared" si="5"/>
        <v>0</v>
      </c>
      <c r="AE107" s="23" t="e">
        <f t="shared" si="6"/>
        <v>#DIV/0!</v>
      </c>
    </row>
    <row r="108" spans="1:31" ht="17.25" customHeight="1">
      <c r="A108" s="921"/>
      <c r="B108" s="17" t="s">
        <v>28</v>
      </c>
      <c r="C108" s="18">
        <v>152077</v>
      </c>
      <c r="D108" s="18">
        <v>76039</v>
      </c>
      <c r="E108" s="18">
        <v>350353</v>
      </c>
      <c r="F108" s="18">
        <v>155300</v>
      </c>
      <c r="G108" s="19">
        <v>180000</v>
      </c>
      <c r="H108" s="20">
        <v>214969</v>
      </c>
      <c r="I108" s="20">
        <f t="shared" si="328"/>
        <v>34969</v>
      </c>
      <c r="J108" s="21">
        <f t="shared" ref="J108:J112" si="335">H108/G108*100</f>
        <v>119.42722222222221</v>
      </c>
      <c r="K108" s="18">
        <f t="shared" si="329"/>
        <v>-195053</v>
      </c>
      <c r="L108" s="18">
        <f t="shared" si="330"/>
        <v>79261</v>
      </c>
      <c r="M108" s="921"/>
      <c r="N108" s="17" t="s">
        <v>28</v>
      </c>
      <c r="O108" s="18">
        <v>152077</v>
      </c>
      <c r="P108" s="18">
        <v>76039</v>
      </c>
      <c r="Q108" s="18">
        <v>57700</v>
      </c>
      <c r="R108" s="19">
        <v>60000</v>
      </c>
      <c r="S108" s="18">
        <v>67175</v>
      </c>
      <c r="T108" s="18">
        <f t="shared" si="331"/>
        <v>7175</v>
      </c>
      <c r="U108" s="23">
        <f t="shared" ref="U108:U112" si="336">S108/R108*100</f>
        <v>111.95833333333334</v>
      </c>
      <c r="V108" s="18">
        <f t="shared" si="332"/>
        <v>-18339</v>
      </c>
      <c r="W108" s="921"/>
      <c r="X108" s="17" t="s">
        <v>28</v>
      </c>
      <c r="Y108" s="18">
        <f t="shared" ref="Y108:Z108" si="337">C108-O108</f>
        <v>0</v>
      </c>
      <c r="Z108" s="18">
        <f t="shared" si="337"/>
        <v>0</v>
      </c>
      <c r="AA108" s="18">
        <f t="shared" ref="AA108:AC108" si="338">F108-Q108</f>
        <v>97600</v>
      </c>
      <c r="AB108" s="18">
        <f t="shared" si="338"/>
        <v>120000</v>
      </c>
      <c r="AC108" s="18">
        <f t="shared" si="338"/>
        <v>147794</v>
      </c>
      <c r="AD108" s="18">
        <f t="shared" si="5"/>
        <v>27794</v>
      </c>
      <c r="AE108" s="23">
        <f t="shared" si="6"/>
        <v>123.16166666666666</v>
      </c>
    </row>
    <row r="109" spans="1:31" ht="17.25" customHeight="1">
      <c r="A109" s="921"/>
      <c r="B109" s="17" t="s">
        <v>53</v>
      </c>
      <c r="C109" s="18">
        <v>0</v>
      </c>
      <c r="D109" s="18">
        <v>0</v>
      </c>
      <c r="E109" s="18"/>
      <c r="F109" s="18">
        <v>0</v>
      </c>
      <c r="G109" s="19">
        <v>2665</v>
      </c>
      <c r="H109" s="20">
        <v>2665</v>
      </c>
      <c r="I109" s="20">
        <f t="shared" si="328"/>
        <v>0</v>
      </c>
      <c r="J109" s="21">
        <f t="shared" si="335"/>
        <v>100</v>
      </c>
      <c r="K109" s="18"/>
      <c r="L109" s="18">
        <f t="shared" si="330"/>
        <v>0</v>
      </c>
      <c r="M109" s="921"/>
      <c r="N109" s="17" t="s">
        <v>53</v>
      </c>
      <c r="O109" s="18"/>
      <c r="P109" s="18"/>
      <c r="Q109" s="18"/>
      <c r="R109" s="19">
        <v>0</v>
      </c>
      <c r="S109" s="18">
        <v>0</v>
      </c>
      <c r="T109" s="18">
        <f t="shared" si="331"/>
        <v>0</v>
      </c>
      <c r="U109" s="23" t="e">
        <f t="shared" si="336"/>
        <v>#DIV/0!</v>
      </c>
      <c r="V109" s="18"/>
      <c r="W109" s="921"/>
      <c r="X109" s="17" t="s">
        <v>53</v>
      </c>
      <c r="Y109" s="18"/>
      <c r="Z109" s="18"/>
      <c r="AA109" s="18">
        <v>0</v>
      </c>
      <c r="AB109" s="18">
        <f t="shared" ref="AB109:AC109" si="339">G109-R109</f>
        <v>2665</v>
      </c>
      <c r="AC109" s="18">
        <f t="shared" si="339"/>
        <v>2665</v>
      </c>
      <c r="AD109" s="18">
        <f t="shared" si="5"/>
        <v>0</v>
      </c>
      <c r="AE109" s="23">
        <f t="shared" si="6"/>
        <v>100</v>
      </c>
    </row>
    <row r="110" spans="1:31" ht="17.25" customHeight="1">
      <c r="A110" s="921"/>
      <c r="B110" s="17" t="s">
        <v>31</v>
      </c>
      <c r="C110" s="18">
        <v>53743</v>
      </c>
      <c r="D110" s="18">
        <v>26872</v>
      </c>
      <c r="E110" s="18">
        <v>100416</v>
      </c>
      <c r="F110" s="18">
        <v>40000</v>
      </c>
      <c r="G110" s="19">
        <v>40000</v>
      </c>
      <c r="H110" s="20">
        <v>43374</v>
      </c>
      <c r="I110" s="20">
        <f t="shared" si="328"/>
        <v>3374</v>
      </c>
      <c r="J110" s="21">
        <f t="shared" si="335"/>
        <v>108.43499999999999</v>
      </c>
      <c r="K110" s="18">
        <f t="shared" ref="K110:K112" si="340">F110-E110</f>
        <v>-60416</v>
      </c>
      <c r="L110" s="18">
        <f t="shared" si="330"/>
        <v>13128</v>
      </c>
      <c r="M110" s="921"/>
      <c r="N110" s="17" t="s">
        <v>31</v>
      </c>
      <c r="O110" s="18">
        <v>53743</v>
      </c>
      <c r="P110" s="18">
        <v>26872</v>
      </c>
      <c r="Q110" s="18">
        <v>3900</v>
      </c>
      <c r="R110" s="19">
        <v>5000</v>
      </c>
      <c r="S110" s="18">
        <v>6377</v>
      </c>
      <c r="T110" s="18">
        <f t="shared" si="331"/>
        <v>1377</v>
      </c>
      <c r="U110" s="23">
        <f t="shared" si="336"/>
        <v>127.54</v>
      </c>
      <c r="V110" s="18">
        <f t="shared" ref="V110:V112" si="341">Q110-P110</f>
        <v>-22972</v>
      </c>
      <c r="W110" s="921"/>
      <c r="X110" s="17" t="s">
        <v>31</v>
      </c>
      <c r="Y110" s="18">
        <f t="shared" ref="Y110:Z110" si="342">C110-O110</f>
        <v>0</v>
      </c>
      <c r="Z110" s="18">
        <f t="shared" si="342"/>
        <v>0</v>
      </c>
      <c r="AA110" s="18">
        <f t="shared" ref="AA110:AC110" si="343">F110-Q110</f>
        <v>36100</v>
      </c>
      <c r="AB110" s="18">
        <f t="shared" si="343"/>
        <v>35000</v>
      </c>
      <c r="AC110" s="18">
        <f t="shared" si="343"/>
        <v>36997</v>
      </c>
      <c r="AD110" s="18">
        <f t="shared" si="5"/>
        <v>1997</v>
      </c>
      <c r="AE110" s="23">
        <f t="shared" si="6"/>
        <v>105.70571428571429</v>
      </c>
    </row>
    <row r="111" spans="1:31" ht="17.25" customHeight="1">
      <c r="A111" s="921"/>
      <c r="B111" s="17" t="s">
        <v>24</v>
      </c>
      <c r="C111" s="18">
        <v>0</v>
      </c>
      <c r="D111" s="18">
        <v>0</v>
      </c>
      <c r="E111" s="18">
        <v>0</v>
      </c>
      <c r="F111" s="18">
        <v>128100</v>
      </c>
      <c r="G111" s="19">
        <v>91654</v>
      </c>
      <c r="H111" s="20">
        <v>37536</v>
      </c>
      <c r="I111" s="20">
        <f t="shared" si="328"/>
        <v>-54118</v>
      </c>
      <c r="J111" s="21">
        <f t="shared" si="335"/>
        <v>40.954022737687389</v>
      </c>
      <c r="K111" s="18">
        <f t="shared" si="340"/>
        <v>128100</v>
      </c>
      <c r="L111" s="18">
        <f t="shared" si="330"/>
        <v>128100</v>
      </c>
      <c r="M111" s="921"/>
      <c r="N111" s="17" t="s">
        <v>24</v>
      </c>
      <c r="O111" s="18">
        <v>0</v>
      </c>
      <c r="P111" s="18">
        <v>0</v>
      </c>
      <c r="Q111" s="18">
        <v>12439</v>
      </c>
      <c r="R111" s="19">
        <v>14601</v>
      </c>
      <c r="S111" s="18">
        <v>6724</v>
      </c>
      <c r="T111" s="18">
        <f t="shared" si="331"/>
        <v>-7877</v>
      </c>
      <c r="U111" s="23">
        <f t="shared" si="336"/>
        <v>46.051640298609684</v>
      </c>
      <c r="V111" s="18">
        <f t="shared" si="341"/>
        <v>12439</v>
      </c>
      <c r="W111" s="921"/>
      <c r="X111" s="17" t="s">
        <v>24</v>
      </c>
      <c r="Y111" s="18">
        <f t="shared" ref="Y111:Z111" si="344">C111-O111</f>
        <v>0</v>
      </c>
      <c r="Z111" s="18">
        <f t="shared" si="344"/>
        <v>0</v>
      </c>
      <c r="AA111" s="18">
        <f t="shared" ref="AA111:AC111" si="345">F111-Q111</f>
        <v>115661</v>
      </c>
      <c r="AB111" s="18">
        <f t="shared" si="345"/>
        <v>77053</v>
      </c>
      <c r="AC111" s="18">
        <f t="shared" si="345"/>
        <v>30812</v>
      </c>
      <c r="AD111" s="18">
        <f t="shared" si="5"/>
        <v>-46241</v>
      </c>
      <c r="AE111" s="23">
        <f t="shared" si="6"/>
        <v>39.988060166378986</v>
      </c>
    </row>
    <row r="112" spans="1:31" ht="17.25" customHeight="1">
      <c r="A112" s="922"/>
      <c r="B112" s="25" t="s">
        <v>25</v>
      </c>
      <c r="C112" s="26">
        <f t="shared" ref="C112:I112" si="346">SUM(C107:C111)</f>
        <v>288743</v>
      </c>
      <c r="D112" s="26">
        <f t="shared" si="346"/>
        <v>185834</v>
      </c>
      <c r="E112" s="26">
        <f t="shared" si="346"/>
        <v>578897</v>
      </c>
      <c r="F112" s="26">
        <f t="shared" si="346"/>
        <v>323400</v>
      </c>
      <c r="G112" s="27">
        <f t="shared" si="346"/>
        <v>314319</v>
      </c>
      <c r="H112" s="28">
        <f t="shared" si="346"/>
        <v>298544</v>
      </c>
      <c r="I112" s="28">
        <f t="shared" si="346"/>
        <v>-15775</v>
      </c>
      <c r="J112" s="23">
        <f t="shared" si="335"/>
        <v>94.981213353313038</v>
      </c>
      <c r="K112" s="26">
        <f t="shared" si="340"/>
        <v>-255497</v>
      </c>
      <c r="L112" s="26">
        <f t="shared" si="330"/>
        <v>137566</v>
      </c>
      <c r="M112" s="922"/>
      <c r="N112" s="25" t="s">
        <v>25</v>
      </c>
      <c r="O112" s="26">
        <f t="shared" ref="O112:T112" si="347">SUM(O107:O111)</f>
        <v>288743</v>
      </c>
      <c r="P112" s="26">
        <f t="shared" si="347"/>
        <v>185834</v>
      </c>
      <c r="Q112" s="26">
        <f t="shared" si="347"/>
        <v>74039</v>
      </c>
      <c r="R112" s="27">
        <f t="shared" si="347"/>
        <v>79601</v>
      </c>
      <c r="S112" s="26">
        <f t="shared" si="347"/>
        <v>80276</v>
      </c>
      <c r="T112" s="26">
        <f t="shared" si="347"/>
        <v>675</v>
      </c>
      <c r="U112" s="23">
        <f t="shared" si="336"/>
        <v>100.84797929674249</v>
      </c>
      <c r="V112" s="26">
        <f t="shared" si="341"/>
        <v>-111795</v>
      </c>
      <c r="W112" s="922"/>
      <c r="X112" s="25" t="s">
        <v>25</v>
      </c>
      <c r="Y112" s="26">
        <f t="shared" ref="Y112:AA112" si="348">SUM(Y107:Y111)</f>
        <v>0</v>
      </c>
      <c r="Z112" s="26">
        <f t="shared" si="348"/>
        <v>0</v>
      </c>
      <c r="AA112" s="26">
        <f t="shared" si="348"/>
        <v>249361</v>
      </c>
      <c r="AB112" s="18">
        <f t="shared" ref="AB112:AC112" si="349">G112-R112</f>
        <v>234718</v>
      </c>
      <c r="AC112" s="18">
        <f t="shared" si="349"/>
        <v>218268</v>
      </c>
      <c r="AD112" s="18">
        <f t="shared" si="5"/>
        <v>-16450</v>
      </c>
      <c r="AE112" s="23">
        <f t="shared" si="6"/>
        <v>92.991589907889477</v>
      </c>
    </row>
    <row r="113" spans="1:31" ht="9" customHeight="1">
      <c r="A113" s="37"/>
      <c r="B113" s="31"/>
      <c r="C113" s="32"/>
      <c r="D113" s="32"/>
      <c r="E113" s="32"/>
      <c r="F113" s="32"/>
      <c r="G113" s="32"/>
      <c r="H113" s="34"/>
      <c r="I113" s="34"/>
      <c r="J113" s="49"/>
      <c r="K113" s="32"/>
      <c r="L113" s="32"/>
      <c r="M113" s="37"/>
      <c r="N113" s="31"/>
      <c r="O113" s="32"/>
      <c r="P113" s="32"/>
      <c r="Q113" s="32"/>
      <c r="R113" s="32"/>
      <c r="S113" s="32"/>
      <c r="T113" s="32"/>
      <c r="U113" s="50"/>
      <c r="V113" s="32"/>
      <c r="W113" s="37"/>
      <c r="X113" s="31"/>
      <c r="Y113" s="32"/>
      <c r="Z113" s="32"/>
      <c r="AA113" s="32"/>
      <c r="AB113" s="18">
        <f t="shared" ref="AB113:AC113" si="350">G113-R113</f>
        <v>0</v>
      </c>
      <c r="AC113" s="18">
        <f t="shared" si="350"/>
        <v>0</v>
      </c>
      <c r="AD113" s="18">
        <f t="shared" si="5"/>
        <v>0</v>
      </c>
      <c r="AE113" s="23" t="e">
        <f t="shared" si="6"/>
        <v>#DIV/0!</v>
      </c>
    </row>
    <row r="114" spans="1:31" ht="17.25" customHeight="1">
      <c r="A114" s="920" t="s">
        <v>54</v>
      </c>
      <c r="B114" s="17" t="s">
        <v>21</v>
      </c>
      <c r="C114" s="18">
        <v>400000</v>
      </c>
      <c r="D114" s="18">
        <v>400000</v>
      </c>
      <c r="E114" s="18">
        <v>535727</v>
      </c>
      <c r="F114" s="18">
        <v>0</v>
      </c>
      <c r="G114" s="19">
        <v>0</v>
      </c>
      <c r="H114" s="20">
        <v>0</v>
      </c>
      <c r="I114" s="20">
        <f t="shared" ref="I114:I120" si="351">H114-G114</f>
        <v>0</v>
      </c>
      <c r="J114" s="21">
        <v>0</v>
      </c>
      <c r="K114" s="18">
        <f t="shared" ref="K114:K117" si="352">F114-E114</f>
        <v>-535727</v>
      </c>
      <c r="L114" s="18">
        <f t="shared" ref="L114:L117" si="353">F114-D114</f>
        <v>-400000</v>
      </c>
      <c r="M114" s="920" t="s">
        <v>54</v>
      </c>
      <c r="N114" s="17" t="s">
        <v>21</v>
      </c>
      <c r="O114" s="18">
        <v>400000</v>
      </c>
      <c r="P114" s="18">
        <v>400000</v>
      </c>
      <c r="Q114" s="18">
        <v>0</v>
      </c>
      <c r="R114" s="19">
        <v>0</v>
      </c>
      <c r="S114" s="18">
        <v>0</v>
      </c>
      <c r="T114" s="18">
        <f t="shared" ref="T114:T120" si="354">S114-R114</f>
        <v>0</v>
      </c>
      <c r="U114" s="23">
        <v>0</v>
      </c>
      <c r="V114" s="18">
        <f t="shared" ref="V114:V117" si="355">Q114-P114</f>
        <v>-400000</v>
      </c>
      <c r="W114" s="920" t="s">
        <v>54</v>
      </c>
      <c r="X114" s="17" t="s">
        <v>21</v>
      </c>
      <c r="Y114" s="18">
        <f t="shared" ref="Y114:Z114" si="356">C114-O114</f>
        <v>0</v>
      </c>
      <c r="Z114" s="18">
        <f t="shared" si="356"/>
        <v>0</v>
      </c>
      <c r="AA114" s="18">
        <f t="shared" ref="AA114:AC114" si="357">F114-Q114</f>
        <v>0</v>
      </c>
      <c r="AB114" s="18">
        <f t="shared" si="357"/>
        <v>0</v>
      </c>
      <c r="AC114" s="18">
        <f t="shared" si="357"/>
        <v>0</v>
      </c>
      <c r="AD114" s="18">
        <f t="shared" si="5"/>
        <v>0</v>
      </c>
      <c r="AE114" s="23" t="e">
        <f t="shared" si="6"/>
        <v>#DIV/0!</v>
      </c>
    </row>
    <row r="115" spans="1:31" ht="17.25" customHeight="1">
      <c r="A115" s="921"/>
      <c r="B115" s="17" t="s">
        <v>28</v>
      </c>
      <c r="C115" s="18">
        <v>95007</v>
      </c>
      <c r="D115" s="18">
        <v>47504</v>
      </c>
      <c r="E115" s="18">
        <v>163734</v>
      </c>
      <c r="F115" s="18">
        <v>123734</v>
      </c>
      <c r="G115" s="19">
        <v>87305</v>
      </c>
      <c r="H115" s="20">
        <v>56952</v>
      </c>
      <c r="I115" s="20">
        <f t="shared" si="351"/>
        <v>-30353</v>
      </c>
      <c r="J115" s="21">
        <f t="shared" ref="J115:J119" si="358">H115/G115*100</f>
        <v>65.233377240707867</v>
      </c>
      <c r="K115" s="18">
        <f t="shared" si="352"/>
        <v>-40000</v>
      </c>
      <c r="L115" s="18">
        <f t="shared" si="353"/>
        <v>76230</v>
      </c>
      <c r="M115" s="921"/>
      <c r="N115" s="17" t="s">
        <v>28</v>
      </c>
      <c r="O115" s="18">
        <v>95007</v>
      </c>
      <c r="P115" s="18">
        <v>47504</v>
      </c>
      <c r="Q115" s="18">
        <v>0</v>
      </c>
      <c r="R115" s="19">
        <v>0</v>
      </c>
      <c r="S115" s="18">
        <v>0</v>
      </c>
      <c r="T115" s="18">
        <f t="shared" si="354"/>
        <v>0</v>
      </c>
      <c r="U115" s="23" t="e">
        <f t="shared" ref="U115:U119" si="359">S115/R115*100</f>
        <v>#DIV/0!</v>
      </c>
      <c r="V115" s="18">
        <f t="shared" si="355"/>
        <v>-47504</v>
      </c>
      <c r="W115" s="921"/>
      <c r="X115" s="17" t="s">
        <v>28</v>
      </c>
      <c r="Y115" s="18">
        <f t="shared" ref="Y115:Z115" si="360">C115-O115</f>
        <v>0</v>
      </c>
      <c r="Z115" s="18">
        <f t="shared" si="360"/>
        <v>0</v>
      </c>
      <c r="AA115" s="18">
        <f t="shared" ref="AA115:AC115" si="361">F115-Q115</f>
        <v>123734</v>
      </c>
      <c r="AB115" s="18">
        <f t="shared" si="361"/>
        <v>87305</v>
      </c>
      <c r="AC115" s="18">
        <f t="shared" si="361"/>
        <v>56952</v>
      </c>
      <c r="AD115" s="18">
        <f t="shared" si="5"/>
        <v>-30353</v>
      </c>
      <c r="AE115" s="23">
        <f t="shared" si="6"/>
        <v>65.233377240707867</v>
      </c>
    </row>
    <row r="116" spans="1:31" ht="17.25" customHeight="1">
      <c r="A116" s="921"/>
      <c r="B116" s="17" t="s">
        <v>31</v>
      </c>
      <c r="C116" s="18">
        <v>411033</v>
      </c>
      <c r="D116" s="18">
        <v>205517</v>
      </c>
      <c r="E116" s="18">
        <v>807304</v>
      </c>
      <c r="F116" s="18">
        <v>290000</v>
      </c>
      <c r="G116" s="19">
        <v>327300</v>
      </c>
      <c r="H116" s="20">
        <v>352447</v>
      </c>
      <c r="I116" s="20">
        <f t="shared" si="351"/>
        <v>25147</v>
      </c>
      <c r="J116" s="21">
        <f t="shared" si="358"/>
        <v>107.68316529178124</v>
      </c>
      <c r="K116" s="18">
        <f t="shared" si="352"/>
        <v>-517304</v>
      </c>
      <c r="L116" s="18">
        <f t="shared" si="353"/>
        <v>84483</v>
      </c>
      <c r="M116" s="921"/>
      <c r="N116" s="17" t="s">
        <v>31</v>
      </c>
      <c r="O116" s="18">
        <v>411033</v>
      </c>
      <c r="P116" s="18">
        <v>205517</v>
      </c>
      <c r="Q116" s="18">
        <v>115200</v>
      </c>
      <c r="R116" s="19">
        <v>125614</v>
      </c>
      <c r="S116" s="18">
        <v>132013</v>
      </c>
      <c r="T116" s="18">
        <f t="shared" si="354"/>
        <v>6399</v>
      </c>
      <c r="U116" s="23">
        <f t="shared" si="359"/>
        <v>105.0941774006082</v>
      </c>
      <c r="V116" s="18">
        <f t="shared" si="355"/>
        <v>-90317</v>
      </c>
      <c r="W116" s="921"/>
      <c r="X116" s="17" t="s">
        <v>31</v>
      </c>
      <c r="Y116" s="18">
        <f t="shared" ref="Y116:Z116" si="362">C116-O116</f>
        <v>0</v>
      </c>
      <c r="Z116" s="18">
        <f t="shared" si="362"/>
        <v>0</v>
      </c>
      <c r="AA116" s="18">
        <f t="shared" ref="AA116:AC116" si="363">F116-Q116</f>
        <v>174800</v>
      </c>
      <c r="AB116" s="18">
        <f t="shared" si="363"/>
        <v>201686</v>
      </c>
      <c r="AC116" s="18">
        <f t="shared" si="363"/>
        <v>220434</v>
      </c>
      <c r="AD116" s="18">
        <f t="shared" si="5"/>
        <v>18748</v>
      </c>
      <c r="AE116" s="23">
        <f t="shared" si="6"/>
        <v>109.29563777356881</v>
      </c>
    </row>
    <row r="117" spans="1:31" ht="17.25" customHeight="1">
      <c r="A117" s="921"/>
      <c r="B117" s="39" t="s">
        <v>32</v>
      </c>
      <c r="C117" s="18">
        <v>782654</v>
      </c>
      <c r="D117" s="18">
        <v>586991</v>
      </c>
      <c r="E117" s="18">
        <v>1236235</v>
      </c>
      <c r="F117" s="18">
        <v>880000</v>
      </c>
      <c r="G117" s="19">
        <v>938982</v>
      </c>
      <c r="H117" s="20">
        <v>808317</v>
      </c>
      <c r="I117" s="20">
        <f t="shared" si="351"/>
        <v>-130665</v>
      </c>
      <c r="J117" s="21">
        <f t="shared" si="358"/>
        <v>86.084397783983079</v>
      </c>
      <c r="K117" s="18">
        <f t="shared" si="352"/>
        <v>-356235</v>
      </c>
      <c r="L117" s="18">
        <f t="shared" si="353"/>
        <v>293009</v>
      </c>
      <c r="M117" s="921"/>
      <c r="N117" s="39" t="s">
        <v>32</v>
      </c>
      <c r="O117" s="18">
        <v>782654</v>
      </c>
      <c r="P117" s="18">
        <v>586991</v>
      </c>
      <c r="Q117" s="18">
        <v>0</v>
      </c>
      <c r="R117" s="19">
        <v>0</v>
      </c>
      <c r="S117" s="18">
        <v>0</v>
      </c>
      <c r="T117" s="18">
        <f t="shared" si="354"/>
        <v>0</v>
      </c>
      <c r="U117" s="23" t="e">
        <f t="shared" si="359"/>
        <v>#DIV/0!</v>
      </c>
      <c r="V117" s="18">
        <f t="shared" si="355"/>
        <v>-586991</v>
      </c>
      <c r="W117" s="921"/>
      <c r="X117" s="39" t="s">
        <v>32</v>
      </c>
      <c r="Y117" s="18">
        <f t="shared" ref="Y117:Z117" si="364">C117-O117</f>
        <v>0</v>
      </c>
      <c r="Z117" s="18">
        <f t="shared" si="364"/>
        <v>0</v>
      </c>
      <c r="AA117" s="18">
        <f t="shared" ref="AA117:AC117" si="365">F117-Q117</f>
        <v>880000</v>
      </c>
      <c r="AB117" s="18">
        <f t="shared" si="365"/>
        <v>938982</v>
      </c>
      <c r="AC117" s="18">
        <f t="shared" si="365"/>
        <v>808317</v>
      </c>
      <c r="AD117" s="18">
        <f t="shared" si="5"/>
        <v>-130665</v>
      </c>
      <c r="AE117" s="23">
        <f t="shared" si="6"/>
        <v>86.084397783983079</v>
      </c>
    </row>
    <row r="118" spans="1:31" ht="17.25" customHeight="1">
      <c r="A118" s="921"/>
      <c r="B118" s="39" t="s">
        <v>33</v>
      </c>
      <c r="C118" s="18">
        <v>0</v>
      </c>
      <c r="D118" s="18"/>
      <c r="E118" s="18"/>
      <c r="F118" s="18">
        <v>0</v>
      </c>
      <c r="G118" s="19">
        <v>2065</v>
      </c>
      <c r="H118" s="20">
        <v>2065</v>
      </c>
      <c r="I118" s="20">
        <f t="shared" si="351"/>
        <v>0</v>
      </c>
      <c r="J118" s="21">
        <f t="shared" si="358"/>
        <v>100</v>
      </c>
      <c r="K118" s="18"/>
      <c r="L118" s="18"/>
      <c r="M118" s="921"/>
      <c r="N118" s="39"/>
      <c r="O118" s="18"/>
      <c r="P118" s="18"/>
      <c r="Q118" s="18"/>
      <c r="R118" s="19">
        <v>0</v>
      </c>
      <c r="S118" s="18"/>
      <c r="T118" s="18">
        <f t="shared" si="354"/>
        <v>0</v>
      </c>
      <c r="U118" s="23" t="e">
        <f t="shared" si="359"/>
        <v>#DIV/0!</v>
      </c>
      <c r="V118" s="18"/>
      <c r="W118" s="921"/>
      <c r="X118" s="39"/>
      <c r="Y118" s="18"/>
      <c r="Z118" s="18"/>
      <c r="AA118" s="18"/>
      <c r="AB118" s="18">
        <f t="shared" ref="AB118:AC118" si="366">G118-R118</f>
        <v>2065</v>
      </c>
      <c r="AC118" s="18">
        <f t="shared" si="366"/>
        <v>2065</v>
      </c>
      <c r="AD118" s="18">
        <f t="shared" si="5"/>
        <v>0</v>
      </c>
      <c r="AE118" s="23">
        <f t="shared" si="6"/>
        <v>100</v>
      </c>
    </row>
    <row r="119" spans="1:31" ht="17.25" customHeight="1">
      <c r="A119" s="921"/>
      <c r="B119" s="17" t="s">
        <v>24</v>
      </c>
      <c r="C119" s="18">
        <v>0</v>
      </c>
      <c r="D119" s="18"/>
      <c r="E119" s="18"/>
      <c r="F119" s="18">
        <v>535700</v>
      </c>
      <c r="G119" s="19">
        <v>410000</v>
      </c>
      <c r="H119" s="20">
        <v>414284</v>
      </c>
      <c r="I119" s="20">
        <f t="shared" si="351"/>
        <v>4284</v>
      </c>
      <c r="J119" s="21">
        <f t="shared" si="358"/>
        <v>101.04487804878049</v>
      </c>
      <c r="K119" s="18">
        <f t="shared" ref="K119:K121" si="367">F119-E119</f>
        <v>535700</v>
      </c>
      <c r="L119" s="18">
        <f t="shared" ref="L119:L121" si="368">F119-D119</f>
        <v>535700</v>
      </c>
      <c r="M119" s="921"/>
      <c r="N119" s="17" t="s">
        <v>24</v>
      </c>
      <c r="O119" s="18">
        <v>0</v>
      </c>
      <c r="P119" s="18">
        <v>0</v>
      </c>
      <c r="Q119" s="18">
        <v>0</v>
      </c>
      <c r="R119" s="19">
        <v>0</v>
      </c>
      <c r="S119" s="18">
        <v>0</v>
      </c>
      <c r="T119" s="18">
        <f t="shared" si="354"/>
        <v>0</v>
      </c>
      <c r="U119" s="23" t="e">
        <f t="shared" si="359"/>
        <v>#DIV/0!</v>
      </c>
      <c r="V119" s="18">
        <f t="shared" ref="V119:V121" si="369">Q119-P119</f>
        <v>0</v>
      </c>
      <c r="W119" s="921"/>
      <c r="X119" s="17" t="s">
        <v>24</v>
      </c>
      <c r="Y119" s="18">
        <f t="shared" ref="Y119:Z119" si="370">C119-O119</f>
        <v>0</v>
      </c>
      <c r="Z119" s="18">
        <f t="shared" si="370"/>
        <v>0</v>
      </c>
      <c r="AA119" s="18">
        <f t="shared" ref="AA119:AC119" si="371">F119-Q119</f>
        <v>535700</v>
      </c>
      <c r="AB119" s="18">
        <f t="shared" si="371"/>
        <v>410000</v>
      </c>
      <c r="AC119" s="18">
        <f t="shared" si="371"/>
        <v>414284</v>
      </c>
      <c r="AD119" s="18">
        <f t="shared" si="5"/>
        <v>4284</v>
      </c>
      <c r="AE119" s="23">
        <f t="shared" si="6"/>
        <v>101.04487804878049</v>
      </c>
    </row>
    <row r="120" spans="1:31" ht="17.25" customHeight="1">
      <c r="A120" s="921"/>
      <c r="B120" s="39" t="s">
        <v>55</v>
      </c>
      <c r="C120" s="18">
        <v>7500000</v>
      </c>
      <c r="D120" s="18">
        <v>7500000</v>
      </c>
      <c r="E120" s="18">
        <v>7500000</v>
      </c>
      <c r="F120" s="18">
        <v>0</v>
      </c>
      <c r="G120" s="19">
        <v>0</v>
      </c>
      <c r="H120" s="20">
        <v>0</v>
      </c>
      <c r="I120" s="20">
        <f t="shared" si="351"/>
        <v>0</v>
      </c>
      <c r="J120" s="21">
        <v>0</v>
      </c>
      <c r="K120" s="18">
        <f t="shared" si="367"/>
        <v>-7500000</v>
      </c>
      <c r="L120" s="18">
        <f t="shared" si="368"/>
        <v>-7500000</v>
      </c>
      <c r="M120" s="921"/>
      <c r="N120" s="39" t="s">
        <v>55</v>
      </c>
      <c r="O120" s="18">
        <v>0</v>
      </c>
      <c r="P120" s="18">
        <v>0</v>
      </c>
      <c r="Q120" s="18">
        <v>0</v>
      </c>
      <c r="R120" s="19">
        <v>0</v>
      </c>
      <c r="S120" s="18">
        <v>0</v>
      </c>
      <c r="T120" s="18">
        <f t="shared" si="354"/>
        <v>0</v>
      </c>
      <c r="U120" s="23">
        <v>0</v>
      </c>
      <c r="V120" s="18">
        <f t="shared" si="369"/>
        <v>0</v>
      </c>
      <c r="W120" s="921"/>
      <c r="X120" s="39" t="s">
        <v>55</v>
      </c>
      <c r="Y120" s="18">
        <f t="shared" ref="Y120:Z120" si="372">C120-O120</f>
        <v>7500000</v>
      </c>
      <c r="Z120" s="18">
        <f t="shared" si="372"/>
        <v>7500000</v>
      </c>
      <c r="AA120" s="18">
        <f t="shared" ref="AA120:AC120" si="373">F120-Q120</f>
        <v>0</v>
      </c>
      <c r="AB120" s="18">
        <f t="shared" si="373"/>
        <v>0</v>
      </c>
      <c r="AC120" s="18">
        <f t="shared" si="373"/>
        <v>0</v>
      </c>
      <c r="AD120" s="18">
        <f t="shared" si="5"/>
        <v>0</v>
      </c>
      <c r="AE120" s="23" t="e">
        <f t="shared" si="6"/>
        <v>#DIV/0!</v>
      </c>
    </row>
    <row r="121" spans="1:31" ht="17.25" customHeight="1">
      <c r="A121" s="922"/>
      <c r="B121" s="25" t="s">
        <v>25</v>
      </c>
      <c r="C121" s="26">
        <f t="shared" ref="C121:I121" si="374">SUM(C114:C120)</f>
        <v>9188694</v>
      </c>
      <c r="D121" s="26">
        <f t="shared" si="374"/>
        <v>8740012</v>
      </c>
      <c r="E121" s="26">
        <f t="shared" si="374"/>
        <v>10243000</v>
      </c>
      <c r="F121" s="26">
        <f t="shared" si="374"/>
        <v>1829434</v>
      </c>
      <c r="G121" s="27">
        <f t="shared" si="374"/>
        <v>1765652</v>
      </c>
      <c r="H121" s="28">
        <f t="shared" si="374"/>
        <v>1634065</v>
      </c>
      <c r="I121" s="28">
        <f t="shared" si="374"/>
        <v>-131587</v>
      </c>
      <c r="J121" s="23">
        <f>H121/G121*100</f>
        <v>92.547398921191714</v>
      </c>
      <c r="K121" s="26">
        <f t="shared" si="367"/>
        <v>-8413566</v>
      </c>
      <c r="L121" s="26">
        <f t="shared" si="368"/>
        <v>-6910578</v>
      </c>
      <c r="M121" s="922"/>
      <c r="N121" s="25" t="s">
        <v>25</v>
      </c>
      <c r="O121" s="26">
        <f t="shared" ref="O121:T121" si="375">SUM(O114:O120)</f>
        <v>1688694</v>
      </c>
      <c r="P121" s="26">
        <f t="shared" si="375"/>
        <v>1240012</v>
      </c>
      <c r="Q121" s="26">
        <f t="shared" si="375"/>
        <v>115200</v>
      </c>
      <c r="R121" s="27">
        <f t="shared" si="375"/>
        <v>125614</v>
      </c>
      <c r="S121" s="26">
        <f t="shared" si="375"/>
        <v>132013</v>
      </c>
      <c r="T121" s="26">
        <f t="shared" si="375"/>
        <v>6399</v>
      </c>
      <c r="U121" s="23">
        <f>S121/R121*100</f>
        <v>105.0941774006082</v>
      </c>
      <c r="V121" s="26">
        <f t="shared" si="369"/>
        <v>-1124812</v>
      </c>
      <c r="W121" s="922"/>
      <c r="X121" s="25" t="s">
        <v>25</v>
      </c>
      <c r="Y121" s="26">
        <f t="shared" ref="Y121:AA121" si="376">SUM(Y114:Y120)</f>
        <v>7500000</v>
      </c>
      <c r="Z121" s="26">
        <f t="shared" si="376"/>
        <v>7500000</v>
      </c>
      <c r="AA121" s="26">
        <f t="shared" si="376"/>
        <v>1714234</v>
      </c>
      <c r="AB121" s="18">
        <f t="shared" ref="AB121:AC121" si="377">G121-R121</f>
        <v>1640038</v>
      </c>
      <c r="AC121" s="18">
        <f t="shared" si="377"/>
        <v>1502052</v>
      </c>
      <c r="AD121" s="18">
        <f t="shared" si="5"/>
        <v>-137986</v>
      </c>
      <c r="AE121" s="23">
        <f t="shared" si="6"/>
        <v>91.586414461128342</v>
      </c>
    </row>
    <row r="122" spans="1:31" ht="9" customHeight="1">
      <c r="A122" s="37"/>
      <c r="B122" s="31"/>
      <c r="C122" s="32"/>
      <c r="D122" s="32"/>
      <c r="E122" s="32"/>
      <c r="F122" s="32"/>
      <c r="G122" s="32"/>
      <c r="H122" s="40"/>
      <c r="I122" s="34"/>
      <c r="J122" s="49"/>
      <c r="K122" s="32"/>
      <c r="L122" s="32"/>
      <c r="M122" s="37"/>
      <c r="N122" s="31"/>
      <c r="O122" s="32"/>
      <c r="P122" s="32"/>
      <c r="Q122" s="32"/>
      <c r="R122" s="32"/>
      <c r="S122" s="32"/>
      <c r="T122" s="32"/>
      <c r="U122" s="50"/>
      <c r="V122" s="32"/>
      <c r="W122" s="37"/>
      <c r="X122" s="31"/>
      <c r="Y122" s="32"/>
      <c r="Z122" s="32"/>
      <c r="AA122" s="32"/>
      <c r="AB122" s="18">
        <f t="shared" ref="AB122:AC122" si="378">G122-R122</f>
        <v>0</v>
      </c>
      <c r="AC122" s="18">
        <f t="shared" si="378"/>
        <v>0</v>
      </c>
      <c r="AD122" s="18">
        <f t="shared" si="5"/>
        <v>0</v>
      </c>
      <c r="AE122" s="23" t="e">
        <f t="shared" si="6"/>
        <v>#DIV/0!</v>
      </c>
    </row>
    <row r="123" spans="1:31" ht="17.25" customHeight="1">
      <c r="A123" s="920" t="s">
        <v>56</v>
      </c>
      <c r="B123" s="17" t="s">
        <v>21</v>
      </c>
      <c r="C123" s="18">
        <v>29885</v>
      </c>
      <c r="D123" s="18">
        <v>29885</v>
      </c>
      <c r="E123" s="18">
        <v>46206</v>
      </c>
      <c r="F123" s="18">
        <v>0</v>
      </c>
      <c r="G123" s="19">
        <v>0</v>
      </c>
      <c r="H123" s="20">
        <v>0</v>
      </c>
      <c r="I123" s="20">
        <f t="shared" ref="I123:I129" si="379">H123-G123</f>
        <v>0</v>
      </c>
      <c r="J123" s="21">
        <v>0</v>
      </c>
      <c r="K123" s="18">
        <f t="shared" ref="K123:K126" si="380">F123-E123</f>
        <v>-46206</v>
      </c>
      <c r="L123" s="18">
        <f t="shared" ref="L123:L126" si="381">F123-D123</f>
        <v>-29885</v>
      </c>
      <c r="M123" s="920" t="s">
        <v>56</v>
      </c>
      <c r="N123" s="17" t="s">
        <v>21</v>
      </c>
      <c r="O123" s="18">
        <v>29885</v>
      </c>
      <c r="P123" s="18">
        <v>29885</v>
      </c>
      <c r="Q123" s="18">
        <v>0</v>
      </c>
      <c r="R123" s="19">
        <v>0</v>
      </c>
      <c r="S123" s="18">
        <v>0</v>
      </c>
      <c r="T123" s="18">
        <f t="shared" ref="T123:T129" si="382">S123-R123</f>
        <v>0</v>
      </c>
      <c r="U123" s="23">
        <v>0</v>
      </c>
      <c r="V123" s="18">
        <f t="shared" ref="V123:V126" si="383">Q123-P123</f>
        <v>-29885</v>
      </c>
      <c r="W123" s="920" t="s">
        <v>56</v>
      </c>
      <c r="X123" s="17" t="s">
        <v>21</v>
      </c>
      <c r="Y123" s="18">
        <f t="shared" ref="Y123:Z123" si="384">C123-O123</f>
        <v>0</v>
      </c>
      <c r="Z123" s="18">
        <f t="shared" si="384"/>
        <v>0</v>
      </c>
      <c r="AA123" s="18">
        <f t="shared" ref="AA123:AC123" si="385">F123-Q123</f>
        <v>0</v>
      </c>
      <c r="AB123" s="18">
        <f t="shared" si="385"/>
        <v>0</v>
      </c>
      <c r="AC123" s="18">
        <f t="shared" si="385"/>
        <v>0</v>
      </c>
      <c r="AD123" s="18">
        <f t="shared" si="5"/>
        <v>0</v>
      </c>
      <c r="AE123" s="23" t="e">
        <f t="shared" si="6"/>
        <v>#DIV/0!</v>
      </c>
    </row>
    <row r="124" spans="1:31" ht="17.25" customHeight="1">
      <c r="A124" s="921"/>
      <c r="B124" s="17" t="s">
        <v>57</v>
      </c>
      <c r="C124" s="18">
        <v>62500</v>
      </c>
      <c r="D124" s="18">
        <v>62500</v>
      </c>
      <c r="E124" s="18">
        <v>22665</v>
      </c>
      <c r="F124" s="18">
        <v>62500</v>
      </c>
      <c r="G124" s="19">
        <v>221</v>
      </c>
      <c r="H124" s="20">
        <v>0</v>
      </c>
      <c r="I124" s="20">
        <f t="shared" si="379"/>
        <v>-221</v>
      </c>
      <c r="J124" s="21">
        <f t="shared" ref="J124:J127" si="386">H124/G124*100</f>
        <v>0</v>
      </c>
      <c r="K124" s="18">
        <f t="shared" si="380"/>
        <v>39835</v>
      </c>
      <c r="L124" s="18">
        <f t="shared" si="381"/>
        <v>0</v>
      </c>
      <c r="M124" s="921"/>
      <c r="N124" s="17" t="s">
        <v>57</v>
      </c>
      <c r="O124" s="18">
        <v>62500</v>
      </c>
      <c r="P124" s="18">
        <v>62500</v>
      </c>
      <c r="Q124" s="18">
        <v>0</v>
      </c>
      <c r="R124" s="19">
        <v>0</v>
      </c>
      <c r="S124" s="18">
        <v>0</v>
      </c>
      <c r="T124" s="18">
        <f t="shared" si="382"/>
        <v>0</v>
      </c>
      <c r="U124" s="23" t="e">
        <f t="shared" ref="U124:U127" si="387">S124/R124*100</f>
        <v>#DIV/0!</v>
      </c>
      <c r="V124" s="18">
        <f t="shared" si="383"/>
        <v>-62500</v>
      </c>
      <c r="W124" s="921"/>
      <c r="X124" s="17" t="s">
        <v>57</v>
      </c>
      <c r="Y124" s="18">
        <f t="shared" ref="Y124:Z124" si="388">C124-O124</f>
        <v>0</v>
      </c>
      <c r="Z124" s="18">
        <f t="shared" si="388"/>
        <v>0</v>
      </c>
      <c r="AA124" s="18">
        <f t="shared" ref="AA124:AC124" si="389">F124-Q124</f>
        <v>62500</v>
      </c>
      <c r="AB124" s="18">
        <f t="shared" si="389"/>
        <v>221</v>
      </c>
      <c r="AC124" s="18">
        <f t="shared" si="389"/>
        <v>0</v>
      </c>
      <c r="AD124" s="18">
        <f t="shared" si="5"/>
        <v>-221</v>
      </c>
      <c r="AE124" s="23">
        <f t="shared" si="6"/>
        <v>0</v>
      </c>
    </row>
    <row r="125" spans="1:31" ht="17.25" customHeight="1">
      <c r="A125" s="921"/>
      <c r="B125" s="17" t="s">
        <v>28</v>
      </c>
      <c r="C125" s="18">
        <v>20569</v>
      </c>
      <c r="D125" s="18">
        <v>10285</v>
      </c>
      <c r="E125" s="18">
        <v>50979</v>
      </c>
      <c r="F125" s="18">
        <v>10000</v>
      </c>
      <c r="G125" s="19">
        <v>8509</v>
      </c>
      <c r="H125" s="20">
        <v>669</v>
      </c>
      <c r="I125" s="20">
        <f t="shared" si="379"/>
        <v>-7840</v>
      </c>
      <c r="J125" s="21">
        <f t="shared" si="386"/>
        <v>7.8622634857210008</v>
      </c>
      <c r="K125" s="18">
        <f t="shared" si="380"/>
        <v>-40979</v>
      </c>
      <c r="L125" s="18">
        <f t="shared" si="381"/>
        <v>-285</v>
      </c>
      <c r="M125" s="921"/>
      <c r="N125" s="17" t="s">
        <v>28</v>
      </c>
      <c r="O125" s="18">
        <v>20569</v>
      </c>
      <c r="P125" s="18">
        <v>10285</v>
      </c>
      <c r="Q125" s="18">
        <v>500</v>
      </c>
      <c r="R125" s="19">
        <v>0</v>
      </c>
      <c r="S125" s="18">
        <v>0</v>
      </c>
      <c r="T125" s="18">
        <f t="shared" si="382"/>
        <v>0</v>
      </c>
      <c r="U125" s="23" t="e">
        <f t="shared" si="387"/>
        <v>#DIV/0!</v>
      </c>
      <c r="V125" s="18">
        <f t="shared" si="383"/>
        <v>-9785</v>
      </c>
      <c r="W125" s="921"/>
      <c r="X125" s="17" t="s">
        <v>28</v>
      </c>
      <c r="Y125" s="18">
        <f t="shared" ref="Y125:Z125" si="390">C125-O125</f>
        <v>0</v>
      </c>
      <c r="Z125" s="18">
        <f t="shared" si="390"/>
        <v>0</v>
      </c>
      <c r="AA125" s="18">
        <f t="shared" ref="AA125:AC125" si="391">F125-Q125</f>
        <v>9500</v>
      </c>
      <c r="AB125" s="18">
        <f t="shared" si="391"/>
        <v>8509</v>
      </c>
      <c r="AC125" s="18">
        <f t="shared" si="391"/>
        <v>669</v>
      </c>
      <c r="AD125" s="18">
        <f t="shared" si="5"/>
        <v>-7840</v>
      </c>
      <c r="AE125" s="23">
        <f t="shared" si="6"/>
        <v>7.8622634857210008</v>
      </c>
    </row>
    <row r="126" spans="1:31" ht="17.25" customHeight="1">
      <c r="A126" s="921"/>
      <c r="B126" s="17" t="s">
        <v>31</v>
      </c>
      <c r="C126" s="18">
        <v>99293</v>
      </c>
      <c r="D126" s="18">
        <v>49647</v>
      </c>
      <c r="E126" s="18">
        <f>1036+62631+286104+2000</f>
        <v>351771</v>
      </c>
      <c r="F126" s="18">
        <v>170050</v>
      </c>
      <c r="G126" s="19">
        <v>190000</v>
      </c>
      <c r="H126" s="20">
        <v>180581</v>
      </c>
      <c r="I126" s="20">
        <f t="shared" si="379"/>
        <v>-9419</v>
      </c>
      <c r="J126" s="21">
        <f t="shared" si="386"/>
        <v>95.042631578947365</v>
      </c>
      <c r="K126" s="18">
        <f t="shared" si="380"/>
        <v>-181721</v>
      </c>
      <c r="L126" s="18">
        <f t="shared" si="381"/>
        <v>120403</v>
      </c>
      <c r="M126" s="921"/>
      <c r="N126" s="17" t="s">
        <v>31</v>
      </c>
      <c r="O126" s="18">
        <v>99293</v>
      </c>
      <c r="P126" s="18">
        <v>49647</v>
      </c>
      <c r="Q126" s="18">
        <v>9000</v>
      </c>
      <c r="R126" s="19">
        <v>20000</v>
      </c>
      <c r="S126" s="18">
        <v>15713</v>
      </c>
      <c r="T126" s="18">
        <f t="shared" si="382"/>
        <v>-4287</v>
      </c>
      <c r="U126" s="23">
        <f t="shared" si="387"/>
        <v>78.564999999999998</v>
      </c>
      <c r="V126" s="18">
        <f t="shared" si="383"/>
        <v>-40647</v>
      </c>
      <c r="W126" s="921"/>
      <c r="X126" s="17" t="s">
        <v>31</v>
      </c>
      <c r="Y126" s="18">
        <f t="shared" ref="Y126:Z126" si="392">C126-O126</f>
        <v>0</v>
      </c>
      <c r="Z126" s="18">
        <f t="shared" si="392"/>
        <v>0</v>
      </c>
      <c r="AA126" s="18">
        <f t="shared" ref="AA126:AC126" si="393">F126-Q126</f>
        <v>161050</v>
      </c>
      <c r="AB126" s="18">
        <f t="shared" si="393"/>
        <v>170000</v>
      </c>
      <c r="AC126" s="18">
        <f t="shared" si="393"/>
        <v>164868</v>
      </c>
      <c r="AD126" s="18">
        <f t="shared" si="5"/>
        <v>-5132</v>
      </c>
      <c r="AE126" s="23">
        <f t="shared" si="6"/>
        <v>96.981176470588238</v>
      </c>
    </row>
    <row r="127" spans="1:31" ht="17.25" customHeight="1">
      <c r="A127" s="921"/>
      <c r="B127" s="17" t="s">
        <v>58</v>
      </c>
      <c r="C127" s="18">
        <v>0</v>
      </c>
      <c r="D127" s="18"/>
      <c r="E127" s="18"/>
      <c r="F127" s="18">
        <v>0</v>
      </c>
      <c r="G127" s="19">
        <v>29</v>
      </c>
      <c r="H127" s="20">
        <v>29</v>
      </c>
      <c r="I127" s="20">
        <f t="shared" si="379"/>
        <v>0</v>
      </c>
      <c r="J127" s="21">
        <f t="shared" si="386"/>
        <v>100</v>
      </c>
      <c r="K127" s="18"/>
      <c r="L127" s="18"/>
      <c r="M127" s="921"/>
      <c r="N127" s="17" t="s">
        <v>58</v>
      </c>
      <c r="O127" s="18"/>
      <c r="P127" s="18"/>
      <c r="Q127" s="18"/>
      <c r="R127" s="19">
        <v>0</v>
      </c>
      <c r="S127" s="18"/>
      <c r="T127" s="18">
        <f t="shared" si="382"/>
        <v>0</v>
      </c>
      <c r="U127" s="23" t="e">
        <f t="shared" si="387"/>
        <v>#DIV/0!</v>
      </c>
      <c r="V127" s="18"/>
      <c r="W127" s="921"/>
      <c r="X127" s="17" t="s">
        <v>58</v>
      </c>
      <c r="Y127" s="18"/>
      <c r="Z127" s="18"/>
      <c r="AA127" s="18">
        <v>0</v>
      </c>
      <c r="AB127" s="18">
        <f t="shared" ref="AB127:AC127" si="394">G127-R127</f>
        <v>29</v>
      </c>
      <c r="AC127" s="18">
        <f t="shared" si="394"/>
        <v>29</v>
      </c>
      <c r="AD127" s="18">
        <f t="shared" si="5"/>
        <v>0</v>
      </c>
      <c r="AE127" s="23">
        <f t="shared" si="6"/>
        <v>100</v>
      </c>
    </row>
    <row r="128" spans="1:31" ht="17.25" customHeight="1">
      <c r="A128" s="921"/>
      <c r="B128" s="39" t="s">
        <v>32</v>
      </c>
      <c r="C128" s="18">
        <v>405239</v>
      </c>
      <c r="D128" s="18">
        <v>303929</v>
      </c>
      <c r="E128" s="18">
        <v>994647</v>
      </c>
      <c r="F128" s="18">
        <v>0</v>
      </c>
      <c r="G128" s="19">
        <v>0</v>
      </c>
      <c r="H128" s="20">
        <v>0</v>
      </c>
      <c r="I128" s="20">
        <f t="shared" si="379"/>
        <v>0</v>
      </c>
      <c r="J128" s="21">
        <v>0</v>
      </c>
      <c r="K128" s="18">
        <f t="shared" ref="K128:K130" si="395">F128-E128</f>
        <v>-994647</v>
      </c>
      <c r="L128" s="18">
        <f t="shared" ref="L128:L130" si="396">F128-D128</f>
        <v>-303929</v>
      </c>
      <c r="M128" s="921"/>
      <c r="N128" s="39" t="s">
        <v>32</v>
      </c>
      <c r="O128" s="18">
        <v>405239</v>
      </c>
      <c r="P128" s="18">
        <v>303929</v>
      </c>
      <c r="Q128" s="18">
        <v>0</v>
      </c>
      <c r="R128" s="19">
        <v>0</v>
      </c>
      <c r="S128" s="18">
        <v>0</v>
      </c>
      <c r="T128" s="18">
        <f t="shared" si="382"/>
        <v>0</v>
      </c>
      <c r="U128" s="23">
        <v>0</v>
      </c>
      <c r="V128" s="18">
        <f t="shared" ref="V128:V130" si="397">Q128-P128</f>
        <v>-303929</v>
      </c>
      <c r="W128" s="921"/>
      <c r="X128" s="39" t="s">
        <v>32</v>
      </c>
      <c r="Y128" s="18">
        <f t="shared" ref="Y128:Z128" si="398">C128-O128</f>
        <v>0</v>
      </c>
      <c r="Z128" s="18">
        <f t="shared" si="398"/>
        <v>0</v>
      </c>
      <c r="AA128" s="18">
        <f t="shared" ref="AA128:AC128" si="399">F128-Q128</f>
        <v>0</v>
      </c>
      <c r="AB128" s="18">
        <f t="shared" si="399"/>
        <v>0</v>
      </c>
      <c r="AC128" s="18">
        <f t="shared" si="399"/>
        <v>0</v>
      </c>
      <c r="AD128" s="18">
        <f t="shared" si="5"/>
        <v>0</v>
      </c>
      <c r="AE128" s="23" t="e">
        <f t="shared" si="6"/>
        <v>#DIV/0!</v>
      </c>
    </row>
    <row r="129" spans="1:31" ht="17.25" customHeight="1">
      <c r="A129" s="921"/>
      <c r="B129" s="17" t="s">
        <v>24</v>
      </c>
      <c r="C129" s="18">
        <v>0</v>
      </c>
      <c r="D129" s="18"/>
      <c r="E129" s="18"/>
      <c r="F129" s="18">
        <v>400800</v>
      </c>
      <c r="G129" s="19">
        <v>427895</v>
      </c>
      <c r="H129" s="20">
        <v>470413</v>
      </c>
      <c r="I129" s="20">
        <f t="shared" si="379"/>
        <v>42518</v>
      </c>
      <c r="J129" s="21">
        <f t="shared" ref="J129:J130" si="400">H129/G129*100</f>
        <v>109.93654985452039</v>
      </c>
      <c r="K129" s="18">
        <f t="shared" si="395"/>
        <v>400800</v>
      </c>
      <c r="L129" s="18">
        <f t="shared" si="396"/>
        <v>400800</v>
      </c>
      <c r="M129" s="921"/>
      <c r="N129" s="17" t="s">
        <v>24</v>
      </c>
      <c r="O129" s="18"/>
      <c r="P129" s="18"/>
      <c r="Q129" s="18">
        <v>4800</v>
      </c>
      <c r="R129" s="19">
        <v>0</v>
      </c>
      <c r="S129" s="18">
        <v>0</v>
      </c>
      <c r="T129" s="18">
        <f t="shared" si="382"/>
        <v>0</v>
      </c>
      <c r="U129" s="23" t="e">
        <f t="shared" ref="U129:U130" si="401">S129/R129*100</f>
        <v>#DIV/0!</v>
      </c>
      <c r="V129" s="18">
        <f t="shared" si="397"/>
        <v>4800</v>
      </c>
      <c r="W129" s="921"/>
      <c r="X129" s="17" t="s">
        <v>24</v>
      </c>
      <c r="Y129" s="18">
        <f t="shared" ref="Y129:Z129" si="402">C129-O129</f>
        <v>0</v>
      </c>
      <c r="Z129" s="18">
        <f t="shared" si="402"/>
        <v>0</v>
      </c>
      <c r="AA129" s="18">
        <f t="shared" ref="AA129:AC129" si="403">F129-Q129</f>
        <v>396000</v>
      </c>
      <c r="AB129" s="18">
        <f t="shared" si="403"/>
        <v>427895</v>
      </c>
      <c r="AC129" s="18">
        <f t="shared" si="403"/>
        <v>470413</v>
      </c>
      <c r="AD129" s="18">
        <f t="shared" si="5"/>
        <v>42518</v>
      </c>
      <c r="AE129" s="23">
        <f t="shared" si="6"/>
        <v>109.93654985452039</v>
      </c>
    </row>
    <row r="130" spans="1:31" ht="17.25" customHeight="1">
      <c r="A130" s="922"/>
      <c r="B130" s="25" t="s">
        <v>25</v>
      </c>
      <c r="C130" s="26">
        <f t="shared" ref="C130:I130" si="404">SUM(C123:C129)</f>
        <v>617486</v>
      </c>
      <c r="D130" s="26">
        <f t="shared" si="404"/>
        <v>456246</v>
      </c>
      <c r="E130" s="26">
        <f t="shared" si="404"/>
        <v>1466268</v>
      </c>
      <c r="F130" s="26">
        <f t="shared" si="404"/>
        <v>643350</v>
      </c>
      <c r="G130" s="27">
        <f t="shared" si="404"/>
        <v>626654</v>
      </c>
      <c r="H130" s="28">
        <f t="shared" si="404"/>
        <v>651692</v>
      </c>
      <c r="I130" s="28">
        <f t="shared" si="404"/>
        <v>25038</v>
      </c>
      <c r="J130" s="23">
        <f t="shared" si="400"/>
        <v>103.99550629214846</v>
      </c>
      <c r="K130" s="26">
        <f t="shared" si="395"/>
        <v>-822918</v>
      </c>
      <c r="L130" s="26">
        <f t="shared" si="396"/>
        <v>187104</v>
      </c>
      <c r="M130" s="922"/>
      <c r="N130" s="25" t="s">
        <v>25</v>
      </c>
      <c r="O130" s="26">
        <f t="shared" ref="O130:T130" si="405">SUM(O123:O129)</f>
        <v>617486</v>
      </c>
      <c r="P130" s="26">
        <f t="shared" si="405"/>
        <v>456246</v>
      </c>
      <c r="Q130" s="26">
        <f t="shared" si="405"/>
        <v>14300</v>
      </c>
      <c r="R130" s="27">
        <f t="shared" si="405"/>
        <v>20000</v>
      </c>
      <c r="S130" s="26">
        <f t="shared" si="405"/>
        <v>15713</v>
      </c>
      <c r="T130" s="26">
        <f t="shared" si="405"/>
        <v>-4287</v>
      </c>
      <c r="U130" s="23">
        <f t="shared" si="401"/>
        <v>78.564999999999998</v>
      </c>
      <c r="V130" s="26">
        <f t="shared" si="397"/>
        <v>-441946</v>
      </c>
      <c r="W130" s="922"/>
      <c r="X130" s="25" t="s">
        <v>25</v>
      </c>
      <c r="Y130" s="26">
        <f t="shared" ref="Y130:AA130" si="406">SUM(Y123:Y129)</f>
        <v>0</v>
      </c>
      <c r="Z130" s="26">
        <f t="shared" si="406"/>
        <v>0</v>
      </c>
      <c r="AA130" s="26">
        <f t="shared" si="406"/>
        <v>629050</v>
      </c>
      <c r="AB130" s="18">
        <f t="shared" ref="AB130:AC130" si="407">G130-R130</f>
        <v>606654</v>
      </c>
      <c r="AC130" s="18">
        <f t="shared" si="407"/>
        <v>635979</v>
      </c>
      <c r="AD130" s="18">
        <f t="shared" si="5"/>
        <v>29325</v>
      </c>
      <c r="AE130" s="23">
        <f t="shared" si="6"/>
        <v>104.83389213620944</v>
      </c>
    </row>
    <row r="131" spans="1:31" ht="9.75" customHeight="1">
      <c r="A131" s="51"/>
      <c r="B131" s="52"/>
      <c r="C131" s="32"/>
      <c r="D131" s="32"/>
      <c r="E131" s="32"/>
      <c r="F131" s="32"/>
      <c r="G131" s="32"/>
      <c r="H131" s="34"/>
      <c r="I131" s="34"/>
      <c r="J131" s="49"/>
      <c r="K131" s="32"/>
      <c r="L131" s="32"/>
      <c r="M131" s="51"/>
      <c r="N131" s="52"/>
      <c r="O131" s="32"/>
      <c r="P131" s="32"/>
      <c r="Q131" s="32"/>
      <c r="R131" s="32"/>
      <c r="S131" s="32"/>
      <c r="T131" s="32"/>
      <c r="U131" s="50"/>
      <c r="V131" s="32"/>
      <c r="W131" s="51"/>
      <c r="X131" s="52"/>
      <c r="Y131" s="32"/>
      <c r="Z131" s="32"/>
      <c r="AA131" s="32"/>
      <c r="AB131" s="18">
        <f t="shared" ref="AB131:AC131" si="408">G131-R131</f>
        <v>0</v>
      </c>
      <c r="AC131" s="18">
        <f t="shared" si="408"/>
        <v>0</v>
      </c>
      <c r="AD131" s="18">
        <f t="shared" si="5"/>
        <v>0</v>
      </c>
      <c r="AE131" s="23" t="e">
        <f t="shared" si="6"/>
        <v>#DIV/0!</v>
      </c>
    </row>
    <row r="132" spans="1:31" ht="17.25" customHeight="1">
      <c r="A132" s="920" t="s">
        <v>59</v>
      </c>
      <c r="B132" s="17" t="s">
        <v>31</v>
      </c>
      <c r="C132" s="18">
        <v>28500</v>
      </c>
      <c r="D132" s="18">
        <v>14250</v>
      </c>
      <c r="E132" s="18">
        <v>19295</v>
      </c>
      <c r="F132" s="18">
        <v>3000</v>
      </c>
      <c r="G132" s="19">
        <v>2500</v>
      </c>
      <c r="H132" s="20">
        <v>2177</v>
      </c>
      <c r="I132" s="20">
        <f t="shared" ref="I132:I134" si="409">H132-G132</f>
        <v>-323</v>
      </c>
      <c r="J132" s="21">
        <f>H132/G132*100</f>
        <v>87.08</v>
      </c>
      <c r="K132" s="18">
        <f t="shared" ref="K132:K135" si="410">F132-E132</f>
        <v>-16295</v>
      </c>
      <c r="L132" s="18">
        <f t="shared" ref="L132:L135" si="411">F132-D132</f>
        <v>-11250</v>
      </c>
      <c r="M132" s="920" t="s">
        <v>59</v>
      </c>
      <c r="N132" s="17" t="s">
        <v>31</v>
      </c>
      <c r="O132" s="18">
        <v>28500</v>
      </c>
      <c r="P132" s="18">
        <v>14250</v>
      </c>
      <c r="Q132" s="18">
        <v>500</v>
      </c>
      <c r="R132" s="19">
        <v>1</v>
      </c>
      <c r="S132" s="18">
        <v>0</v>
      </c>
      <c r="T132" s="18">
        <f t="shared" ref="T132:T134" si="412">S132-R132</f>
        <v>-1</v>
      </c>
      <c r="U132" s="23">
        <f>S132/R132*100</f>
        <v>0</v>
      </c>
      <c r="V132" s="18">
        <f t="shared" ref="V132:V135" si="413">Q132-P132</f>
        <v>-13750</v>
      </c>
      <c r="W132" s="920" t="s">
        <v>59</v>
      </c>
      <c r="X132" s="17" t="s">
        <v>31</v>
      </c>
      <c r="Y132" s="18">
        <f t="shared" ref="Y132:Z132" si="414">C132-O132</f>
        <v>0</v>
      </c>
      <c r="Z132" s="18">
        <f t="shared" si="414"/>
        <v>0</v>
      </c>
      <c r="AA132" s="18">
        <f t="shared" ref="AA132:AC132" si="415">F132-Q132</f>
        <v>2500</v>
      </c>
      <c r="AB132" s="18">
        <f t="shared" si="415"/>
        <v>2499</v>
      </c>
      <c r="AC132" s="18">
        <f t="shared" si="415"/>
        <v>2177</v>
      </c>
      <c r="AD132" s="18">
        <f t="shared" si="5"/>
        <v>-322</v>
      </c>
      <c r="AE132" s="23">
        <f t="shared" si="6"/>
        <v>87.114845938375353</v>
      </c>
    </row>
    <row r="133" spans="1:31" ht="17.25" customHeight="1">
      <c r="A133" s="921"/>
      <c r="B133" s="17" t="s">
        <v>32</v>
      </c>
      <c r="C133" s="18">
        <v>20000</v>
      </c>
      <c r="D133" s="18">
        <v>15000</v>
      </c>
      <c r="E133" s="18">
        <v>16680</v>
      </c>
      <c r="F133" s="18">
        <v>0</v>
      </c>
      <c r="G133" s="19">
        <v>0</v>
      </c>
      <c r="H133" s="20">
        <v>0</v>
      </c>
      <c r="I133" s="20">
        <f t="shared" si="409"/>
        <v>0</v>
      </c>
      <c r="J133" s="21">
        <v>0</v>
      </c>
      <c r="K133" s="18">
        <f t="shared" si="410"/>
        <v>-16680</v>
      </c>
      <c r="L133" s="18">
        <f t="shared" si="411"/>
        <v>-15000</v>
      </c>
      <c r="M133" s="921"/>
      <c r="N133" s="17" t="s">
        <v>32</v>
      </c>
      <c r="O133" s="18">
        <v>20000</v>
      </c>
      <c r="P133" s="18">
        <v>15000</v>
      </c>
      <c r="Q133" s="18">
        <v>0</v>
      </c>
      <c r="R133" s="19">
        <v>0</v>
      </c>
      <c r="S133" s="18">
        <v>0</v>
      </c>
      <c r="T133" s="18">
        <f t="shared" si="412"/>
        <v>0</v>
      </c>
      <c r="U133" s="23">
        <v>0</v>
      </c>
      <c r="V133" s="18">
        <f t="shared" si="413"/>
        <v>-15000</v>
      </c>
      <c r="W133" s="921"/>
      <c r="X133" s="17" t="s">
        <v>32</v>
      </c>
      <c r="Y133" s="18">
        <f t="shared" ref="Y133:Z133" si="416">C133-O133</f>
        <v>0</v>
      </c>
      <c r="Z133" s="18">
        <f t="shared" si="416"/>
        <v>0</v>
      </c>
      <c r="AA133" s="18">
        <f t="shared" ref="AA133:AC133" si="417">F133-Q133</f>
        <v>0</v>
      </c>
      <c r="AB133" s="18">
        <f t="shared" si="417"/>
        <v>0</v>
      </c>
      <c r="AC133" s="18">
        <f t="shared" si="417"/>
        <v>0</v>
      </c>
      <c r="AD133" s="18">
        <f t="shared" si="5"/>
        <v>0</v>
      </c>
      <c r="AE133" s="23" t="e">
        <f t="shared" si="6"/>
        <v>#DIV/0!</v>
      </c>
    </row>
    <row r="134" spans="1:31" ht="17.25" customHeight="1">
      <c r="A134" s="921"/>
      <c r="B134" s="17" t="s">
        <v>24</v>
      </c>
      <c r="C134" s="18">
        <v>0</v>
      </c>
      <c r="D134" s="18">
        <v>0</v>
      </c>
      <c r="E134" s="18">
        <v>0</v>
      </c>
      <c r="F134" s="18">
        <v>16700</v>
      </c>
      <c r="G134" s="19">
        <v>1000</v>
      </c>
      <c r="H134" s="20">
        <v>0</v>
      </c>
      <c r="I134" s="20">
        <f t="shared" si="409"/>
        <v>-1000</v>
      </c>
      <c r="J134" s="21">
        <f t="shared" ref="J134:J135" si="418">H134/G134*100</f>
        <v>0</v>
      </c>
      <c r="K134" s="18">
        <f t="shared" si="410"/>
        <v>16700</v>
      </c>
      <c r="L134" s="18">
        <f t="shared" si="411"/>
        <v>16700</v>
      </c>
      <c r="M134" s="921"/>
      <c r="N134" s="17" t="s">
        <v>24</v>
      </c>
      <c r="O134" s="18">
        <v>0</v>
      </c>
      <c r="P134" s="18">
        <v>0</v>
      </c>
      <c r="Q134" s="18">
        <v>0</v>
      </c>
      <c r="R134" s="19">
        <v>0</v>
      </c>
      <c r="S134" s="18">
        <v>0</v>
      </c>
      <c r="T134" s="18">
        <f t="shared" si="412"/>
        <v>0</v>
      </c>
      <c r="U134" s="23" t="e">
        <f t="shared" ref="U134:U135" si="419">S134/R134*100</f>
        <v>#DIV/0!</v>
      </c>
      <c r="V134" s="18">
        <f t="shared" si="413"/>
        <v>0</v>
      </c>
      <c r="W134" s="921"/>
      <c r="X134" s="17" t="s">
        <v>24</v>
      </c>
      <c r="Y134" s="18">
        <f t="shared" ref="Y134:Z134" si="420">C134-O134</f>
        <v>0</v>
      </c>
      <c r="Z134" s="18">
        <f t="shared" si="420"/>
        <v>0</v>
      </c>
      <c r="AA134" s="18">
        <f t="shared" ref="AA134:AC134" si="421">F134-Q134</f>
        <v>16700</v>
      </c>
      <c r="AB134" s="18">
        <f t="shared" si="421"/>
        <v>1000</v>
      </c>
      <c r="AC134" s="18">
        <f t="shared" si="421"/>
        <v>0</v>
      </c>
      <c r="AD134" s="18">
        <f t="shared" si="5"/>
        <v>-1000</v>
      </c>
      <c r="AE134" s="23">
        <f t="shared" si="6"/>
        <v>0</v>
      </c>
    </row>
    <row r="135" spans="1:31" ht="17.25" customHeight="1">
      <c r="A135" s="922"/>
      <c r="B135" s="25" t="s">
        <v>25</v>
      </c>
      <c r="C135" s="26">
        <f t="shared" ref="C135:I135" si="422">SUM(C132:C134)</f>
        <v>48500</v>
      </c>
      <c r="D135" s="26">
        <f t="shared" si="422"/>
        <v>29250</v>
      </c>
      <c r="E135" s="26">
        <f t="shared" si="422"/>
        <v>35975</v>
      </c>
      <c r="F135" s="26">
        <f t="shared" si="422"/>
        <v>19700</v>
      </c>
      <c r="G135" s="27">
        <f t="shared" si="422"/>
        <v>3500</v>
      </c>
      <c r="H135" s="28">
        <f t="shared" si="422"/>
        <v>2177</v>
      </c>
      <c r="I135" s="28">
        <f t="shared" si="422"/>
        <v>-1323</v>
      </c>
      <c r="J135" s="23">
        <f t="shared" si="418"/>
        <v>62.2</v>
      </c>
      <c r="K135" s="26">
        <f t="shared" si="410"/>
        <v>-16275</v>
      </c>
      <c r="L135" s="26">
        <f t="shared" si="411"/>
        <v>-9550</v>
      </c>
      <c r="M135" s="922"/>
      <c r="N135" s="25" t="s">
        <v>25</v>
      </c>
      <c r="O135" s="26">
        <f t="shared" ref="O135:T135" si="423">SUM(O132:O134)</f>
        <v>48500</v>
      </c>
      <c r="P135" s="26">
        <f t="shared" si="423"/>
        <v>29250</v>
      </c>
      <c r="Q135" s="26">
        <f t="shared" si="423"/>
        <v>500</v>
      </c>
      <c r="R135" s="27">
        <f t="shared" si="423"/>
        <v>1</v>
      </c>
      <c r="S135" s="26">
        <f t="shared" si="423"/>
        <v>0</v>
      </c>
      <c r="T135" s="26">
        <f t="shared" si="423"/>
        <v>-1</v>
      </c>
      <c r="U135" s="23">
        <f t="shared" si="419"/>
        <v>0</v>
      </c>
      <c r="V135" s="26">
        <f t="shared" si="413"/>
        <v>-28750</v>
      </c>
      <c r="W135" s="922"/>
      <c r="X135" s="25" t="s">
        <v>25</v>
      </c>
      <c r="Y135" s="26">
        <f t="shared" ref="Y135:AA135" si="424">SUM(Y132:Y134)</f>
        <v>0</v>
      </c>
      <c r="Z135" s="26">
        <f t="shared" si="424"/>
        <v>0</v>
      </c>
      <c r="AA135" s="26">
        <f t="shared" si="424"/>
        <v>19200</v>
      </c>
      <c r="AB135" s="18">
        <f t="shared" ref="AB135:AC135" si="425">G135-R135</f>
        <v>3499</v>
      </c>
      <c r="AC135" s="18">
        <f t="shared" si="425"/>
        <v>2177</v>
      </c>
      <c r="AD135" s="18">
        <f t="shared" si="5"/>
        <v>-1322</v>
      </c>
      <c r="AE135" s="23">
        <f t="shared" si="6"/>
        <v>62.217776507573596</v>
      </c>
    </row>
    <row r="136" spans="1:31" ht="9" customHeight="1">
      <c r="A136" s="37"/>
      <c r="B136" s="31"/>
      <c r="C136" s="32"/>
      <c r="D136" s="32"/>
      <c r="E136" s="32"/>
      <c r="F136" s="32"/>
      <c r="G136" s="32"/>
      <c r="H136" s="40"/>
      <c r="I136" s="34"/>
      <c r="J136" s="49"/>
      <c r="K136" s="32"/>
      <c r="L136" s="32"/>
      <c r="M136" s="37"/>
      <c r="N136" s="31"/>
      <c r="O136" s="32"/>
      <c r="P136" s="32"/>
      <c r="Q136" s="32"/>
      <c r="R136" s="32"/>
      <c r="S136" s="32"/>
      <c r="T136" s="32"/>
      <c r="U136" s="50"/>
      <c r="V136" s="32"/>
      <c r="W136" s="37"/>
      <c r="X136" s="31"/>
      <c r="Y136" s="32"/>
      <c r="Z136" s="32"/>
      <c r="AA136" s="32"/>
      <c r="AB136" s="18">
        <f t="shared" ref="AB136:AC136" si="426">G136-R136</f>
        <v>0</v>
      </c>
      <c r="AC136" s="18">
        <f t="shared" si="426"/>
        <v>0</v>
      </c>
      <c r="AD136" s="18">
        <f t="shared" si="5"/>
        <v>0</v>
      </c>
      <c r="AE136" s="23" t="e">
        <f t="shared" si="6"/>
        <v>#DIV/0!</v>
      </c>
    </row>
    <row r="137" spans="1:31" ht="17.25" customHeight="1">
      <c r="A137" s="929" t="s">
        <v>60</v>
      </c>
      <c r="B137" s="53" t="s">
        <v>21</v>
      </c>
      <c r="C137" s="54">
        <f t="shared" ref="C137:H137" si="427">C5+C11+C15+C21+C31+C37+C44+C65+C72+C79+C87+C95+C107+C114+C123</f>
        <v>9253311</v>
      </c>
      <c r="D137" s="54">
        <f t="shared" si="427"/>
        <v>9253311</v>
      </c>
      <c r="E137" s="54">
        <f t="shared" si="427"/>
        <v>12698020</v>
      </c>
      <c r="F137" s="54">
        <f t="shared" si="427"/>
        <v>5292600</v>
      </c>
      <c r="G137" s="55">
        <f t="shared" si="427"/>
        <v>5282600</v>
      </c>
      <c r="H137" s="56">
        <f t="shared" si="427"/>
        <v>5708103</v>
      </c>
      <c r="I137" s="56">
        <f t="shared" ref="I137:I150" si="428">H137-G137</f>
        <v>425503</v>
      </c>
      <c r="J137" s="57">
        <f t="shared" ref="J137:J138" si="429">H137/G137*100</f>
        <v>108.05480255934579</v>
      </c>
      <c r="K137" s="18">
        <f t="shared" ref="K137:K151" si="430">F137-E137</f>
        <v>-7405420</v>
      </c>
      <c r="L137" s="18">
        <f t="shared" ref="L137:L151" si="431">F137-D137</f>
        <v>-3960711</v>
      </c>
      <c r="M137" s="926" t="s">
        <v>60</v>
      </c>
      <c r="N137" s="17" t="s">
        <v>21</v>
      </c>
      <c r="O137" s="18">
        <f t="shared" ref="O137:S137" si="432">O5+O11+O15+O21+O31+O37+O44+O65+O72+O79+O87+O95+O107+O114+O123</f>
        <v>9253311</v>
      </c>
      <c r="P137" s="18">
        <f t="shared" si="432"/>
        <v>9253311</v>
      </c>
      <c r="Q137" s="18">
        <f t="shared" si="432"/>
        <v>10000</v>
      </c>
      <c r="R137" s="55">
        <f t="shared" si="432"/>
        <v>0</v>
      </c>
      <c r="S137" s="18">
        <f t="shared" si="432"/>
        <v>425465</v>
      </c>
      <c r="T137" s="18">
        <f t="shared" ref="T137:T150" si="433">S137-R137</f>
        <v>425465</v>
      </c>
      <c r="U137" s="23" t="e">
        <f t="shared" ref="U137:U138" si="434">S137/R137*100</f>
        <v>#DIV/0!</v>
      </c>
      <c r="V137" s="18">
        <f t="shared" ref="V137:V151" si="435">Q137-P137</f>
        <v>-9243311</v>
      </c>
      <c r="W137" s="926" t="s">
        <v>60</v>
      </c>
      <c r="X137" s="17" t="s">
        <v>21</v>
      </c>
      <c r="Y137" s="18">
        <f t="shared" ref="Y137:AA137" si="436">Y5+Y11+Y15+Y21+Y31+Y37+Y44+Y65+Y72+Y79+Y87+Y95+Y107+Y114+Y123</f>
        <v>0</v>
      </c>
      <c r="Z137" s="18">
        <f t="shared" si="436"/>
        <v>0</v>
      </c>
      <c r="AA137" s="18">
        <f t="shared" si="436"/>
        <v>5282600</v>
      </c>
      <c r="AB137" s="18">
        <f t="shared" ref="AB137:AC137" si="437">G137-R137</f>
        <v>5282600</v>
      </c>
      <c r="AC137" s="18">
        <f t="shared" si="437"/>
        <v>5282638</v>
      </c>
      <c r="AD137" s="18">
        <f t="shared" si="5"/>
        <v>38</v>
      </c>
      <c r="AE137" s="23">
        <f t="shared" si="6"/>
        <v>100.00071934274789</v>
      </c>
    </row>
    <row r="138" spans="1:31" ht="17.25" customHeight="1">
      <c r="A138" s="921"/>
      <c r="B138" s="53" t="s">
        <v>22</v>
      </c>
      <c r="C138" s="54">
        <f t="shared" ref="C138:H138" si="438">C6+C96</f>
        <v>20000</v>
      </c>
      <c r="D138" s="54">
        <f t="shared" si="438"/>
        <v>20000</v>
      </c>
      <c r="E138" s="54">
        <f t="shared" si="438"/>
        <v>17769</v>
      </c>
      <c r="F138" s="54">
        <f t="shared" si="438"/>
        <v>17769</v>
      </c>
      <c r="G138" s="55">
        <f t="shared" si="438"/>
        <v>21774</v>
      </c>
      <c r="H138" s="56">
        <f t="shared" si="438"/>
        <v>11774</v>
      </c>
      <c r="I138" s="56">
        <f t="shared" si="428"/>
        <v>-10000</v>
      </c>
      <c r="J138" s="57">
        <f t="shared" si="429"/>
        <v>54.073665839992657</v>
      </c>
      <c r="K138" s="18">
        <f t="shared" si="430"/>
        <v>0</v>
      </c>
      <c r="L138" s="18">
        <f t="shared" si="431"/>
        <v>-2231</v>
      </c>
      <c r="M138" s="921"/>
      <c r="N138" s="17" t="s">
        <v>22</v>
      </c>
      <c r="O138" s="18">
        <f t="shared" ref="O138:S138" si="439">O6+O96</f>
        <v>20000</v>
      </c>
      <c r="P138" s="18">
        <f t="shared" si="439"/>
        <v>20000</v>
      </c>
      <c r="Q138" s="18">
        <f t="shared" si="439"/>
        <v>15000</v>
      </c>
      <c r="R138" s="55">
        <f t="shared" si="439"/>
        <v>21774</v>
      </c>
      <c r="S138" s="18">
        <f t="shared" si="439"/>
        <v>11774</v>
      </c>
      <c r="T138" s="18">
        <f t="shared" si="433"/>
        <v>-10000</v>
      </c>
      <c r="U138" s="23">
        <f t="shared" si="434"/>
        <v>54.073665839992657</v>
      </c>
      <c r="V138" s="18">
        <f t="shared" si="435"/>
        <v>-5000</v>
      </c>
      <c r="W138" s="921"/>
      <c r="X138" s="17" t="s">
        <v>22</v>
      </c>
      <c r="Y138" s="18">
        <f t="shared" ref="Y138:AA138" si="440">Y6+Y96</f>
        <v>0</v>
      </c>
      <c r="Z138" s="18">
        <f t="shared" si="440"/>
        <v>0</v>
      </c>
      <c r="AA138" s="18">
        <f t="shared" si="440"/>
        <v>2769</v>
      </c>
      <c r="AB138" s="18">
        <f t="shared" ref="AB138:AC138" si="441">G138-R138</f>
        <v>0</v>
      </c>
      <c r="AC138" s="18">
        <f t="shared" si="441"/>
        <v>0</v>
      </c>
      <c r="AD138" s="18">
        <f t="shared" si="5"/>
        <v>0</v>
      </c>
      <c r="AE138" s="23" t="e">
        <f t="shared" si="6"/>
        <v>#DIV/0!</v>
      </c>
    </row>
    <row r="139" spans="1:31" ht="17.25" customHeight="1">
      <c r="A139" s="921"/>
      <c r="B139" s="53" t="s">
        <v>46</v>
      </c>
      <c r="C139" s="54">
        <f t="shared" ref="C139:H139" si="442">C88</f>
        <v>0</v>
      </c>
      <c r="D139" s="54">
        <f t="shared" si="442"/>
        <v>0</v>
      </c>
      <c r="E139" s="54">
        <f t="shared" si="442"/>
        <v>0</v>
      </c>
      <c r="F139" s="54">
        <f t="shared" si="442"/>
        <v>40000</v>
      </c>
      <c r="G139" s="55">
        <f t="shared" si="442"/>
        <v>0</v>
      </c>
      <c r="H139" s="56">
        <f t="shared" si="442"/>
        <v>0</v>
      </c>
      <c r="I139" s="56">
        <f t="shared" si="428"/>
        <v>0</v>
      </c>
      <c r="J139" s="57">
        <v>0</v>
      </c>
      <c r="K139" s="18">
        <f t="shared" si="430"/>
        <v>40000</v>
      </c>
      <c r="L139" s="18">
        <f t="shared" si="431"/>
        <v>40000</v>
      </c>
      <c r="M139" s="921"/>
      <c r="N139" s="17" t="s">
        <v>46</v>
      </c>
      <c r="O139" s="18">
        <f t="shared" ref="O139:S139" si="443">O88</f>
        <v>0</v>
      </c>
      <c r="P139" s="18">
        <f t="shared" si="443"/>
        <v>0</v>
      </c>
      <c r="Q139" s="18">
        <f t="shared" si="443"/>
        <v>0</v>
      </c>
      <c r="R139" s="55">
        <f t="shared" si="443"/>
        <v>0</v>
      </c>
      <c r="S139" s="18">
        <f t="shared" si="443"/>
        <v>0</v>
      </c>
      <c r="T139" s="18">
        <f t="shared" si="433"/>
        <v>0</v>
      </c>
      <c r="U139" s="23">
        <v>0</v>
      </c>
      <c r="V139" s="18">
        <f t="shared" si="435"/>
        <v>0</v>
      </c>
      <c r="W139" s="921"/>
      <c r="X139" s="17" t="s">
        <v>46</v>
      </c>
      <c r="Y139" s="18">
        <f t="shared" ref="Y139:AA139" si="444">Y88</f>
        <v>0</v>
      </c>
      <c r="Z139" s="18">
        <f t="shared" si="444"/>
        <v>0</v>
      </c>
      <c r="AA139" s="18">
        <f t="shared" si="444"/>
        <v>40000</v>
      </c>
      <c r="AB139" s="18">
        <f t="shared" ref="AB139:AC139" si="445">G139-R139</f>
        <v>0</v>
      </c>
      <c r="AC139" s="18">
        <f t="shared" si="445"/>
        <v>0</v>
      </c>
      <c r="AD139" s="18">
        <f t="shared" si="5"/>
        <v>0</v>
      </c>
      <c r="AE139" s="23" t="e">
        <f t="shared" si="6"/>
        <v>#DIV/0!</v>
      </c>
    </row>
    <row r="140" spans="1:31" ht="17.25" customHeight="1">
      <c r="A140" s="921"/>
      <c r="B140" s="53" t="s">
        <v>57</v>
      </c>
      <c r="C140" s="54">
        <f t="shared" ref="C140:H140" si="446">C124</f>
        <v>62500</v>
      </c>
      <c r="D140" s="54">
        <f t="shared" si="446"/>
        <v>62500</v>
      </c>
      <c r="E140" s="54">
        <f t="shared" si="446"/>
        <v>22665</v>
      </c>
      <c r="F140" s="54">
        <f t="shared" si="446"/>
        <v>62500</v>
      </c>
      <c r="G140" s="55">
        <f t="shared" si="446"/>
        <v>221</v>
      </c>
      <c r="H140" s="56">
        <f t="shared" si="446"/>
        <v>0</v>
      </c>
      <c r="I140" s="56">
        <f t="shared" si="428"/>
        <v>-221</v>
      </c>
      <c r="J140" s="57">
        <f t="shared" ref="J140:J144" si="447">H140/G140*100</f>
        <v>0</v>
      </c>
      <c r="K140" s="18">
        <f t="shared" si="430"/>
        <v>39835</v>
      </c>
      <c r="L140" s="18">
        <f t="shared" si="431"/>
        <v>0</v>
      </c>
      <c r="M140" s="921"/>
      <c r="N140" s="17" t="s">
        <v>57</v>
      </c>
      <c r="O140" s="18">
        <f t="shared" ref="O140:S140" si="448">O124</f>
        <v>62500</v>
      </c>
      <c r="P140" s="18">
        <f t="shared" si="448"/>
        <v>62500</v>
      </c>
      <c r="Q140" s="18">
        <f t="shared" si="448"/>
        <v>0</v>
      </c>
      <c r="R140" s="55">
        <f t="shared" si="448"/>
        <v>0</v>
      </c>
      <c r="S140" s="18">
        <f t="shared" si="448"/>
        <v>0</v>
      </c>
      <c r="T140" s="18">
        <f t="shared" si="433"/>
        <v>0</v>
      </c>
      <c r="U140" s="23" t="e">
        <f t="shared" ref="U140:U144" si="449">S140/R140*100</f>
        <v>#DIV/0!</v>
      </c>
      <c r="V140" s="18">
        <f t="shared" si="435"/>
        <v>-62500</v>
      </c>
      <c r="W140" s="921"/>
      <c r="X140" s="17" t="s">
        <v>57</v>
      </c>
      <c r="Y140" s="18">
        <f t="shared" ref="Y140:AA140" si="450">Y124</f>
        <v>0</v>
      </c>
      <c r="Z140" s="18">
        <f t="shared" si="450"/>
        <v>0</v>
      </c>
      <c r="AA140" s="18">
        <f t="shared" si="450"/>
        <v>62500</v>
      </c>
      <c r="AB140" s="18">
        <f t="shared" ref="AB140:AC140" si="451">G140-R140</f>
        <v>221</v>
      </c>
      <c r="AC140" s="18">
        <f t="shared" si="451"/>
        <v>0</v>
      </c>
      <c r="AD140" s="18">
        <f t="shared" si="5"/>
        <v>-221</v>
      </c>
      <c r="AE140" s="23">
        <f t="shared" si="6"/>
        <v>0</v>
      </c>
    </row>
    <row r="141" spans="1:31" ht="17.25" customHeight="1">
      <c r="A141" s="921"/>
      <c r="B141" s="53" t="s">
        <v>28</v>
      </c>
      <c r="C141" s="54">
        <f t="shared" ref="C141:H141" si="452">C16+C22+C32+C38+C61+C66+C73+C80+C89+C97+C108+C115+C125</f>
        <v>417676</v>
      </c>
      <c r="D141" s="54">
        <f t="shared" si="452"/>
        <v>208840</v>
      </c>
      <c r="E141" s="54">
        <f t="shared" si="452"/>
        <v>914039</v>
      </c>
      <c r="F141" s="54">
        <f t="shared" si="452"/>
        <v>450851</v>
      </c>
      <c r="G141" s="55">
        <f t="shared" si="452"/>
        <v>444984</v>
      </c>
      <c r="H141" s="56">
        <f t="shared" si="452"/>
        <v>402084</v>
      </c>
      <c r="I141" s="56">
        <f t="shared" si="428"/>
        <v>-42900</v>
      </c>
      <c r="J141" s="57">
        <f t="shared" si="447"/>
        <v>90.35920392643331</v>
      </c>
      <c r="K141" s="18">
        <f t="shared" si="430"/>
        <v>-463188</v>
      </c>
      <c r="L141" s="18">
        <f t="shared" si="431"/>
        <v>242011</v>
      </c>
      <c r="M141" s="921"/>
      <c r="N141" s="17" t="s">
        <v>28</v>
      </c>
      <c r="O141" s="18">
        <f t="shared" ref="O141:S141" si="453">O16+O22+O32+O38+O61+O66+O73+O80+O89+O97+O108+O115+O125</f>
        <v>417676</v>
      </c>
      <c r="P141" s="18">
        <f t="shared" si="453"/>
        <v>208840</v>
      </c>
      <c r="Q141" s="18">
        <f t="shared" si="453"/>
        <v>74700</v>
      </c>
      <c r="R141" s="55">
        <f t="shared" si="453"/>
        <v>79800</v>
      </c>
      <c r="S141" s="18">
        <f t="shared" si="453"/>
        <v>82886</v>
      </c>
      <c r="T141" s="18">
        <f t="shared" si="433"/>
        <v>3086</v>
      </c>
      <c r="U141" s="23">
        <f t="shared" si="449"/>
        <v>103.86716791979951</v>
      </c>
      <c r="V141" s="18">
        <f t="shared" si="435"/>
        <v>-134140</v>
      </c>
      <c r="W141" s="921"/>
      <c r="X141" s="17" t="s">
        <v>28</v>
      </c>
      <c r="Y141" s="18">
        <f t="shared" ref="Y141:AA141" si="454">Y16+Y22+Y32+Y38+Y61+Y66+Y73+Y80+Y89+Y97+Y108+Y115+Y125</f>
        <v>0</v>
      </c>
      <c r="Z141" s="18">
        <f t="shared" si="454"/>
        <v>0</v>
      </c>
      <c r="AA141" s="18">
        <f t="shared" si="454"/>
        <v>376151</v>
      </c>
      <c r="AB141" s="18">
        <f t="shared" ref="AB141:AC141" si="455">G141-R141</f>
        <v>365184</v>
      </c>
      <c r="AC141" s="18">
        <f t="shared" si="455"/>
        <v>319198</v>
      </c>
      <c r="AD141" s="18">
        <f t="shared" si="5"/>
        <v>-45986</v>
      </c>
      <c r="AE141" s="23">
        <f t="shared" si="6"/>
        <v>87.407443918682091</v>
      </c>
    </row>
    <row r="142" spans="1:31" ht="17.25" customHeight="1">
      <c r="A142" s="921"/>
      <c r="B142" s="53" t="s">
        <v>48</v>
      </c>
      <c r="C142" s="54">
        <f t="shared" ref="C142:F142" si="456">C98</f>
        <v>0</v>
      </c>
      <c r="D142" s="54">
        <f t="shared" si="456"/>
        <v>0</v>
      </c>
      <c r="E142" s="54">
        <f t="shared" si="456"/>
        <v>9102</v>
      </c>
      <c r="F142" s="54">
        <f t="shared" si="456"/>
        <v>9102</v>
      </c>
      <c r="G142" s="55">
        <f>G98+G109</f>
        <v>13078</v>
      </c>
      <c r="H142" s="56">
        <f>H109</f>
        <v>2665</v>
      </c>
      <c r="I142" s="56">
        <f t="shared" si="428"/>
        <v>-10413</v>
      </c>
      <c r="J142" s="57">
        <f t="shared" si="447"/>
        <v>20.377733598409542</v>
      </c>
      <c r="K142" s="18">
        <f t="shared" si="430"/>
        <v>0</v>
      </c>
      <c r="L142" s="18">
        <f t="shared" si="431"/>
        <v>9102</v>
      </c>
      <c r="M142" s="921"/>
      <c r="N142" s="17" t="s">
        <v>48</v>
      </c>
      <c r="O142" s="18">
        <f t="shared" ref="O142:Q142" si="457">O98</f>
        <v>0</v>
      </c>
      <c r="P142" s="18">
        <f t="shared" si="457"/>
        <v>0</v>
      </c>
      <c r="Q142" s="18">
        <f t="shared" si="457"/>
        <v>0</v>
      </c>
      <c r="R142" s="55">
        <f>R98+R109</f>
        <v>0</v>
      </c>
      <c r="S142" s="18">
        <f>S54</f>
        <v>3982</v>
      </c>
      <c r="T142" s="18">
        <f t="shared" si="433"/>
        <v>3982</v>
      </c>
      <c r="U142" s="23" t="e">
        <f t="shared" si="449"/>
        <v>#DIV/0!</v>
      </c>
      <c r="V142" s="18">
        <f t="shared" si="435"/>
        <v>0</v>
      </c>
      <c r="W142" s="921"/>
      <c r="X142" s="17" t="s">
        <v>48</v>
      </c>
      <c r="Y142" s="18">
        <f t="shared" ref="Y142:AA142" si="458">Y98</f>
        <v>0</v>
      </c>
      <c r="Z142" s="18">
        <f t="shared" si="458"/>
        <v>0</v>
      </c>
      <c r="AA142" s="18">
        <f t="shared" si="458"/>
        <v>9102</v>
      </c>
      <c r="AB142" s="18">
        <f t="shared" ref="AB142:AC142" si="459">G142-R142</f>
        <v>13078</v>
      </c>
      <c r="AC142" s="18">
        <f t="shared" si="459"/>
        <v>-1317</v>
      </c>
      <c r="AD142" s="18">
        <f t="shared" si="5"/>
        <v>-14395</v>
      </c>
      <c r="AE142" s="23">
        <f t="shared" si="6"/>
        <v>-10.07034714788194</v>
      </c>
    </row>
    <row r="143" spans="1:31" ht="17.25" customHeight="1">
      <c r="A143" s="921"/>
      <c r="B143" s="53" t="s">
        <v>31</v>
      </c>
      <c r="C143" s="54">
        <f t="shared" ref="C143:H143" si="460">C23+C33+C39+C68+C74+C81+C90+C99+C110+C116+C126+C132</f>
        <v>977522</v>
      </c>
      <c r="D143" s="54">
        <f t="shared" si="460"/>
        <v>488764</v>
      </c>
      <c r="E143" s="54">
        <f t="shared" si="460"/>
        <v>2067261</v>
      </c>
      <c r="F143" s="54">
        <f t="shared" si="460"/>
        <v>779606</v>
      </c>
      <c r="G143" s="55">
        <f t="shared" si="460"/>
        <v>889444</v>
      </c>
      <c r="H143" s="56">
        <f t="shared" si="460"/>
        <v>871549</v>
      </c>
      <c r="I143" s="56">
        <f t="shared" si="428"/>
        <v>-17895</v>
      </c>
      <c r="J143" s="57">
        <f t="shared" si="447"/>
        <v>97.988068950940132</v>
      </c>
      <c r="K143" s="18">
        <f t="shared" si="430"/>
        <v>-1287655</v>
      </c>
      <c r="L143" s="18">
        <f t="shared" si="431"/>
        <v>290842</v>
      </c>
      <c r="M143" s="921"/>
      <c r="N143" s="17" t="s">
        <v>31</v>
      </c>
      <c r="O143" s="18">
        <f t="shared" ref="O143:S143" si="461">O23+O33+O39+O68+O74+O81+O90+O99+O110+O116+O126+O132</f>
        <v>977522</v>
      </c>
      <c r="P143" s="18">
        <f t="shared" si="461"/>
        <v>488764</v>
      </c>
      <c r="Q143" s="18">
        <f t="shared" si="461"/>
        <v>271642</v>
      </c>
      <c r="R143" s="55">
        <f t="shared" si="461"/>
        <v>311496</v>
      </c>
      <c r="S143" s="18">
        <f t="shared" si="461"/>
        <v>330723</v>
      </c>
      <c r="T143" s="18">
        <f t="shared" si="433"/>
        <v>19227</v>
      </c>
      <c r="U143" s="23">
        <f t="shared" si="449"/>
        <v>106.17247091455428</v>
      </c>
      <c r="V143" s="18">
        <f t="shared" si="435"/>
        <v>-217122</v>
      </c>
      <c r="W143" s="921"/>
      <c r="X143" s="17" t="s">
        <v>31</v>
      </c>
      <c r="Y143" s="18">
        <f t="shared" ref="Y143:AA143" si="462">Y23+Y33+Y39+Y68+Y74+Y81+Y90+Y99+Y110+Y116+Y126+Y132</f>
        <v>0</v>
      </c>
      <c r="Z143" s="18">
        <f t="shared" si="462"/>
        <v>0</v>
      </c>
      <c r="AA143" s="18">
        <f t="shared" si="462"/>
        <v>507964</v>
      </c>
      <c r="AB143" s="18">
        <f t="shared" ref="AB143:AC143" si="463">G143-R143</f>
        <v>577948</v>
      </c>
      <c r="AC143" s="18">
        <f t="shared" si="463"/>
        <v>540826</v>
      </c>
      <c r="AD143" s="18">
        <f t="shared" si="5"/>
        <v>-37122</v>
      </c>
      <c r="AE143" s="23">
        <f t="shared" si="6"/>
        <v>93.576930796542243</v>
      </c>
    </row>
    <row r="144" spans="1:31" ht="17.25" customHeight="1">
      <c r="A144" s="921"/>
      <c r="B144" s="53" t="s">
        <v>49</v>
      </c>
      <c r="C144" s="54">
        <f t="shared" ref="C144:F144" si="464">C100</f>
        <v>0</v>
      </c>
      <c r="D144" s="54">
        <f t="shared" si="464"/>
        <v>0</v>
      </c>
      <c r="E144" s="54">
        <f t="shared" si="464"/>
        <v>0</v>
      </c>
      <c r="F144" s="54">
        <f t="shared" si="464"/>
        <v>1794</v>
      </c>
      <c r="G144" s="55">
        <f>G100+G127</f>
        <v>1823</v>
      </c>
      <c r="H144" s="56">
        <f>H127</f>
        <v>29</v>
      </c>
      <c r="I144" s="56">
        <f t="shared" si="428"/>
        <v>-1794</v>
      </c>
      <c r="J144" s="57">
        <f t="shared" si="447"/>
        <v>1.5907844212835986</v>
      </c>
      <c r="K144" s="18">
        <f t="shared" si="430"/>
        <v>1794</v>
      </c>
      <c r="L144" s="18">
        <f t="shared" si="431"/>
        <v>1794</v>
      </c>
      <c r="M144" s="921"/>
      <c r="N144" s="17" t="s">
        <v>49</v>
      </c>
      <c r="O144" s="18">
        <f t="shared" ref="O144:Q144" si="465">O100</f>
        <v>0</v>
      </c>
      <c r="P144" s="18">
        <f t="shared" si="465"/>
        <v>0</v>
      </c>
      <c r="Q144" s="18">
        <f t="shared" si="465"/>
        <v>0</v>
      </c>
      <c r="R144" s="55">
        <f>R100+R127</f>
        <v>0</v>
      </c>
      <c r="S144" s="18">
        <f>S100</f>
        <v>0</v>
      </c>
      <c r="T144" s="18">
        <f t="shared" si="433"/>
        <v>0</v>
      </c>
      <c r="U144" s="23" t="e">
        <f t="shared" si="449"/>
        <v>#DIV/0!</v>
      </c>
      <c r="V144" s="18">
        <f t="shared" si="435"/>
        <v>0</v>
      </c>
      <c r="W144" s="921"/>
      <c r="X144" s="17" t="s">
        <v>49</v>
      </c>
      <c r="Y144" s="18">
        <f t="shared" ref="Y144:AA144" si="466">Y100</f>
        <v>0</v>
      </c>
      <c r="Z144" s="18">
        <f t="shared" si="466"/>
        <v>0</v>
      </c>
      <c r="AA144" s="18">
        <f t="shared" si="466"/>
        <v>1794</v>
      </c>
      <c r="AB144" s="18">
        <f t="shared" ref="AB144:AC144" si="467">G144-R144</f>
        <v>1823</v>
      </c>
      <c r="AC144" s="18">
        <f t="shared" si="467"/>
        <v>29</v>
      </c>
      <c r="AD144" s="18">
        <f t="shared" si="5"/>
        <v>-1794</v>
      </c>
      <c r="AE144" s="23">
        <f t="shared" si="6"/>
        <v>1.5907844212835986</v>
      </c>
    </row>
    <row r="145" spans="1:31" ht="17.25" customHeight="1">
      <c r="A145" s="921"/>
      <c r="B145" s="53" t="s">
        <v>40</v>
      </c>
      <c r="C145" s="54">
        <f t="shared" ref="C145:H145" si="468">C52</f>
        <v>1597624</v>
      </c>
      <c r="D145" s="54">
        <f t="shared" si="468"/>
        <v>1597624</v>
      </c>
      <c r="E145" s="54">
        <f t="shared" si="468"/>
        <v>848277</v>
      </c>
      <c r="F145" s="54">
        <f t="shared" si="468"/>
        <v>0</v>
      </c>
      <c r="G145" s="55">
        <f t="shared" si="468"/>
        <v>0</v>
      </c>
      <c r="H145" s="56">
        <f t="shared" si="468"/>
        <v>0</v>
      </c>
      <c r="I145" s="56">
        <f t="shared" si="428"/>
        <v>0</v>
      </c>
      <c r="J145" s="57">
        <v>0</v>
      </c>
      <c r="K145" s="18">
        <f t="shared" si="430"/>
        <v>-848277</v>
      </c>
      <c r="L145" s="18">
        <f t="shared" si="431"/>
        <v>-1597624</v>
      </c>
      <c r="M145" s="921"/>
      <c r="N145" s="17" t="s">
        <v>40</v>
      </c>
      <c r="O145" s="18">
        <f t="shared" ref="O145:S145" si="469">O52</f>
        <v>1597624</v>
      </c>
      <c r="P145" s="18">
        <f t="shared" si="469"/>
        <v>1597624</v>
      </c>
      <c r="Q145" s="18">
        <f t="shared" si="469"/>
        <v>0</v>
      </c>
      <c r="R145" s="55">
        <f t="shared" si="469"/>
        <v>0</v>
      </c>
      <c r="S145" s="18">
        <f t="shared" si="469"/>
        <v>0</v>
      </c>
      <c r="T145" s="18">
        <f t="shared" si="433"/>
        <v>0</v>
      </c>
      <c r="U145" s="23">
        <v>0</v>
      </c>
      <c r="V145" s="18">
        <f t="shared" si="435"/>
        <v>-1597624</v>
      </c>
      <c r="W145" s="921"/>
      <c r="X145" s="17" t="s">
        <v>40</v>
      </c>
      <c r="Y145" s="18">
        <f t="shared" ref="Y145:AA145" si="470">Y52</f>
        <v>0</v>
      </c>
      <c r="Z145" s="18">
        <f t="shared" si="470"/>
        <v>0</v>
      </c>
      <c r="AA145" s="18">
        <f t="shared" si="470"/>
        <v>0</v>
      </c>
      <c r="AB145" s="18">
        <f t="shared" ref="AB145:AC145" si="471">G145-R145</f>
        <v>0</v>
      </c>
      <c r="AC145" s="18">
        <f t="shared" si="471"/>
        <v>0</v>
      </c>
      <c r="AD145" s="18">
        <f t="shared" si="5"/>
        <v>0</v>
      </c>
      <c r="AE145" s="23" t="e">
        <f t="shared" si="6"/>
        <v>#DIV/0!</v>
      </c>
    </row>
    <row r="146" spans="1:31" ht="17.25" customHeight="1">
      <c r="A146" s="921"/>
      <c r="B146" s="58" t="s">
        <v>32</v>
      </c>
      <c r="C146" s="54">
        <f t="shared" ref="C146:H146" si="472">C24+C40+C48+C53+C59+C67+C75+C82+C91+C101+C117+C128+C133</f>
        <v>13850757</v>
      </c>
      <c r="D146" s="54">
        <f t="shared" si="472"/>
        <v>10388069</v>
      </c>
      <c r="E146" s="54">
        <f t="shared" si="472"/>
        <v>17469675</v>
      </c>
      <c r="F146" s="54">
        <f t="shared" si="472"/>
        <v>880000</v>
      </c>
      <c r="G146" s="55">
        <f t="shared" si="472"/>
        <v>938982</v>
      </c>
      <c r="H146" s="56">
        <f t="shared" si="472"/>
        <v>1029446</v>
      </c>
      <c r="I146" s="56">
        <f t="shared" si="428"/>
        <v>90464</v>
      </c>
      <c r="J146" s="57">
        <f t="shared" ref="J146:J151" si="473">H146/G146*100</f>
        <v>109.63426348960897</v>
      </c>
      <c r="K146" s="18">
        <f t="shared" si="430"/>
        <v>-16589675</v>
      </c>
      <c r="L146" s="18">
        <f t="shared" si="431"/>
        <v>-9508069</v>
      </c>
      <c r="M146" s="921"/>
      <c r="N146" s="39" t="s">
        <v>32</v>
      </c>
      <c r="O146" s="18">
        <f t="shared" ref="O146:S146" si="474">O24+O40+O48+O53+O59+O67+O75+O82+O91+O101+O117+O128+O133</f>
        <v>13850757</v>
      </c>
      <c r="P146" s="18">
        <f t="shared" si="474"/>
        <v>10388069</v>
      </c>
      <c r="Q146" s="18">
        <f t="shared" si="474"/>
        <v>0</v>
      </c>
      <c r="R146" s="55">
        <f t="shared" si="474"/>
        <v>0</v>
      </c>
      <c r="S146" s="18">
        <f t="shared" si="474"/>
        <v>0</v>
      </c>
      <c r="T146" s="18">
        <f t="shared" si="433"/>
        <v>0</v>
      </c>
      <c r="U146" s="23" t="e">
        <f t="shared" ref="U146:U151" si="475">S146/R146*100</f>
        <v>#DIV/0!</v>
      </c>
      <c r="V146" s="18">
        <f t="shared" si="435"/>
        <v>-10388069</v>
      </c>
      <c r="W146" s="921"/>
      <c r="X146" s="39" t="s">
        <v>32</v>
      </c>
      <c r="Y146" s="18">
        <f t="shared" ref="Y146:AA146" si="476">Y24+Y40+Y48+Y53+Y59+Y67+Y75+Y82+Y91+Y101+Y117+Y128+Y133</f>
        <v>0</v>
      </c>
      <c r="Z146" s="18">
        <f t="shared" si="476"/>
        <v>0</v>
      </c>
      <c r="AA146" s="18">
        <f t="shared" si="476"/>
        <v>880000</v>
      </c>
      <c r="AB146" s="18">
        <f t="shared" ref="AB146:AC146" si="477">G146-R146</f>
        <v>938982</v>
      </c>
      <c r="AC146" s="18">
        <f t="shared" si="477"/>
        <v>1029446</v>
      </c>
      <c r="AD146" s="18">
        <f t="shared" si="5"/>
        <v>90464</v>
      </c>
      <c r="AE146" s="23">
        <f t="shared" si="6"/>
        <v>109.63426348960897</v>
      </c>
    </row>
    <row r="147" spans="1:31" ht="17.25" customHeight="1">
      <c r="A147" s="921"/>
      <c r="B147" s="58" t="s">
        <v>33</v>
      </c>
      <c r="C147" s="54">
        <f t="shared" ref="C147:F147" si="478">C60</f>
        <v>0</v>
      </c>
      <c r="D147" s="54">
        <f t="shared" si="478"/>
        <v>0</v>
      </c>
      <c r="E147" s="54">
        <f t="shared" si="478"/>
        <v>116</v>
      </c>
      <c r="F147" s="54">
        <f t="shared" si="478"/>
        <v>116</v>
      </c>
      <c r="G147" s="55">
        <f>G60+G118+G54</f>
        <v>6163</v>
      </c>
      <c r="H147" s="56">
        <f>H118+H54</f>
        <v>6047</v>
      </c>
      <c r="I147" s="56">
        <f t="shared" si="428"/>
        <v>-116</v>
      </c>
      <c r="J147" s="57">
        <f t="shared" si="473"/>
        <v>98.117799772837898</v>
      </c>
      <c r="K147" s="18">
        <f t="shared" si="430"/>
        <v>0</v>
      </c>
      <c r="L147" s="18">
        <f t="shared" si="431"/>
        <v>116</v>
      </c>
      <c r="M147" s="921"/>
      <c r="N147" s="39" t="s">
        <v>33</v>
      </c>
      <c r="O147" s="18">
        <f t="shared" ref="O147:Q147" si="479">O60</f>
        <v>0</v>
      </c>
      <c r="P147" s="18">
        <f t="shared" si="479"/>
        <v>0</v>
      </c>
      <c r="Q147" s="18">
        <f t="shared" si="479"/>
        <v>0</v>
      </c>
      <c r="R147" s="55">
        <f>R60+R118+R54</f>
        <v>3982</v>
      </c>
      <c r="S147" s="18">
        <f>S60</f>
        <v>0</v>
      </c>
      <c r="T147" s="18">
        <f t="shared" si="433"/>
        <v>-3982</v>
      </c>
      <c r="U147" s="23">
        <f t="shared" si="475"/>
        <v>0</v>
      </c>
      <c r="V147" s="18">
        <f t="shared" si="435"/>
        <v>0</v>
      </c>
      <c r="W147" s="921"/>
      <c r="X147" s="39" t="s">
        <v>33</v>
      </c>
      <c r="Y147" s="18">
        <f t="shared" ref="Y147:AA147" si="480">Y60</f>
        <v>0</v>
      </c>
      <c r="Z147" s="18">
        <f t="shared" si="480"/>
        <v>0</v>
      </c>
      <c r="AA147" s="18">
        <f t="shared" si="480"/>
        <v>116</v>
      </c>
      <c r="AB147" s="18">
        <f t="shared" ref="AB147:AC147" si="481">G147-R147</f>
        <v>2181</v>
      </c>
      <c r="AC147" s="18">
        <f t="shared" si="481"/>
        <v>6047</v>
      </c>
      <c r="AD147" s="18">
        <f t="shared" si="5"/>
        <v>3866</v>
      </c>
      <c r="AE147" s="23">
        <f t="shared" si="6"/>
        <v>277.25813846859239</v>
      </c>
    </row>
    <row r="148" spans="1:31" ht="17.25" customHeight="1">
      <c r="A148" s="921"/>
      <c r="B148" s="53" t="s">
        <v>24</v>
      </c>
      <c r="C148" s="54">
        <f t="shared" ref="C148:H148" si="482">C8+C12+C17+C26+C34+C41+C49+C55+C62+C69+C76+C83+C92+C103+C111+C119+C129+C134</f>
        <v>0</v>
      </c>
      <c r="D148" s="54">
        <f t="shared" si="482"/>
        <v>0</v>
      </c>
      <c r="E148" s="54">
        <f t="shared" si="482"/>
        <v>0</v>
      </c>
      <c r="F148" s="54">
        <f t="shared" si="482"/>
        <v>18882748</v>
      </c>
      <c r="G148" s="55">
        <f t="shared" si="482"/>
        <v>20742232</v>
      </c>
      <c r="H148" s="56">
        <f t="shared" si="482"/>
        <v>20588659</v>
      </c>
      <c r="I148" s="56">
        <f t="shared" si="428"/>
        <v>-153573</v>
      </c>
      <c r="J148" s="57">
        <f t="shared" si="473"/>
        <v>99.259611983898353</v>
      </c>
      <c r="K148" s="18">
        <f t="shared" si="430"/>
        <v>18882748</v>
      </c>
      <c r="L148" s="18">
        <f t="shared" si="431"/>
        <v>18882748</v>
      </c>
      <c r="M148" s="921"/>
      <c r="N148" s="17" t="s">
        <v>24</v>
      </c>
      <c r="O148" s="18">
        <f t="shared" ref="O148:S148" si="483">O8+O12+O17+O26+O34+O41+O49+O55+O62+O69+O76+O83+O92+O103+O111+O119+O129+O134</f>
        <v>0</v>
      </c>
      <c r="P148" s="18">
        <f t="shared" si="483"/>
        <v>0</v>
      </c>
      <c r="Q148" s="18">
        <f t="shared" si="483"/>
        <v>5652310</v>
      </c>
      <c r="R148" s="55">
        <f t="shared" si="483"/>
        <v>4910402</v>
      </c>
      <c r="S148" s="18">
        <f t="shared" si="483"/>
        <v>4482187</v>
      </c>
      <c r="T148" s="18">
        <f t="shared" si="433"/>
        <v>-428215</v>
      </c>
      <c r="U148" s="23">
        <f t="shared" si="475"/>
        <v>91.279430889772357</v>
      </c>
      <c r="V148" s="18">
        <f t="shared" si="435"/>
        <v>5652310</v>
      </c>
      <c r="W148" s="921"/>
      <c r="X148" s="17" t="s">
        <v>24</v>
      </c>
      <c r="Y148" s="18">
        <f t="shared" ref="Y148:AA148" si="484">Y8+Y12+Y17+Y26+Y34+Y41+Y49+Y55+Y62+Y69+Y76+Y83+Y92+Y103+Y111+Y119+Y129+Y134</f>
        <v>0</v>
      </c>
      <c r="Z148" s="18">
        <f t="shared" si="484"/>
        <v>0</v>
      </c>
      <c r="AA148" s="18">
        <f t="shared" si="484"/>
        <v>13230438</v>
      </c>
      <c r="AB148" s="18">
        <f t="shared" ref="AB148:AC148" si="485">G148-R148</f>
        <v>15831830</v>
      </c>
      <c r="AC148" s="18">
        <f t="shared" si="485"/>
        <v>16106472</v>
      </c>
      <c r="AD148" s="18">
        <f t="shared" si="5"/>
        <v>274642</v>
      </c>
      <c r="AE148" s="23">
        <f t="shared" si="6"/>
        <v>101.73474576217659</v>
      </c>
    </row>
    <row r="149" spans="1:31" ht="17.25" customHeight="1">
      <c r="A149" s="921"/>
      <c r="B149" s="58" t="s">
        <v>29</v>
      </c>
      <c r="C149" s="54">
        <f t="shared" ref="C149:H149" si="486">C18+C27+C104</f>
        <v>15976090</v>
      </c>
      <c r="D149" s="54">
        <f t="shared" si="486"/>
        <v>15976090</v>
      </c>
      <c r="E149" s="54">
        <f t="shared" si="486"/>
        <v>17108896</v>
      </c>
      <c r="F149" s="54">
        <f t="shared" si="486"/>
        <v>13120000</v>
      </c>
      <c r="G149" s="55">
        <f t="shared" si="486"/>
        <v>15203901</v>
      </c>
      <c r="H149" s="56">
        <f t="shared" si="486"/>
        <v>13416972</v>
      </c>
      <c r="I149" s="56">
        <f t="shared" si="428"/>
        <v>-1786929</v>
      </c>
      <c r="J149" s="57">
        <f t="shared" si="473"/>
        <v>88.24690452798923</v>
      </c>
      <c r="K149" s="18">
        <f t="shared" si="430"/>
        <v>-3988896</v>
      </c>
      <c r="L149" s="18">
        <f t="shared" si="431"/>
        <v>-2856090</v>
      </c>
      <c r="M149" s="921"/>
      <c r="N149" s="39" t="s">
        <v>29</v>
      </c>
      <c r="O149" s="18">
        <f t="shared" ref="O149:S149" si="487">O18+O27+O104</f>
        <v>15976090</v>
      </c>
      <c r="P149" s="18">
        <f t="shared" si="487"/>
        <v>15976090</v>
      </c>
      <c r="Q149" s="18">
        <f t="shared" si="487"/>
        <v>12590000</v>
      </c>
      <c r="R149" s="55">
        <f t="shared" si="487"/>
        <v>15090000</v>
      </c>
      <c r="S149" s="18">
        <f t="shared" si="487"/>
        <v>13311620</v>
      </c>
      <c r="T149" s="18">
        <f t="shared" si="433"/>
        <v>-1778380</v>
      </c>
      <c r="U149" s="23">
        <f t="shared" si="475"/>
        <v>88.21484426772696</v>
      </c>
      <c r="V149" s="18">
        <f t="shared" si="435"/>
        <v>-3386090</v>
      </c>
      <c r="W149" s="921"/>
      <c r="X149" s="39" t="s">
        <v>29</v>
      </c>
      <c r="Y149" s="18">
        <f t="shared" ref="Y149:AA149" si="488">Y18+Y27+Y104</f>
        <v>0</v>
      </c>
      <c r="Z149" s="18">
        <f t="shared" si="488"/>
        <v>0</v>
      </c>
      <c r="AA149" s="18">
        <f t="shared" si="488"/>
        <v>530000</v>
      </c>
      <c r="AB149" s="18">
        <f t="shared" ref="AB149:AC149" si="489">G149-R149</f>
        <v>113901</v>
      </c>
      <c r="AC149" s="18">
        <f t="shared" si="489"/>
        <v>105352</v>
      </c>
      <c r="AD149" s="18">
        <f t="shared" si="5"/>
        <v>-8549</v>
      </c>
      <c r="AE149" s="23">
        <f t="shared" si="6"/>
        <v>92.494359136443052</v>
      </c>
    </row>
    <row r="150" spans="1:31" ht="17.25" customHeight="1">
      <c r="A150" s="921"/>
      <c r="B150" s="59" t="s">
        <v>23</v>
      </c>
      <c r="C150" s="60">
        <f t="shared" ref="C150:H150" si="490">C7+C28+C56+C84+C120</f>
        <v>8812500</v>
      </c>
      <c r="D150" s="60">
        <f t="shared" si="490"/>
        <v>8812500</v>
      </c>
      <c r="E150" s="60">
        <f t="shared" si="490"/>
        <v>8812500</v>
      </c>
      <c r="F150" s="60">
        <f t="shared" si="490"/>
        <v>560000</v>
      </c>
      <c r="G150" s="61">
        <f t="shared" si="490"/>
        <v>560000</v>
      </c>
      <c r="H150" s="62">
        <f t="shared" si="490"/>
        <v>0</v>
      </c>
      <c r="I150" s="56">
        <f t="shared" si="428"/>
        <v>-560000</v>
      </c>
      <c r="J150" s="57">
        <f t="shared" si="473"/>
        <v>0</v>
      </c>
      <c r="K150" s="18">
        <f t="shared" si="430"/>
        <v>-8252500</v>
      </c>
      <c r="L150" s="18">
        <f t="shared" si="431"/>
        <v>-8252500</v>
      </c>
      <c r="M150" s="921"/>
      <c r="N150" s="39" t="s">
        <v>23</v>
      </c>
      <c r="O150" s="18">
        <f t="shared" ref="O150:S150" si="491">O7+O28+O56+O84+O120</f>
        <v>0</v>
      </c>
      <c r="P150" s="18">
        <f t="shared" si="491"/>
        <v>0</v>
      </c>
      <c r="Q150" s="18">
        <f t="shared" si="491"/>
        <v>0</v>
      </c>
      <c r="R150" s="61">
        <f t="shared" si="491"/>
        <v>0</v>
      </c>
      <c r="S150" s="18">
        <f t="shared" si="491"/>
        <v>0</v>
      </c>
      <c r="T150" s="18">
        <f t="shared" si="433"/>
        <v>0</v>
      </c>
      <c r="U150" s="23" t="e">
        <f t="shared" si="475"/>
        <v>#DIV/0!</v>
      </c>
      <c r="V150" s="18">
        <f t="shared" si="435"/>
        <v>0</v>
      </c>
      <c r="W150" s="921"/>
      <c r="X150" s="39" t="s">
        <v>23</v>
      </c>
      <c r="Y150" s="18">
        <f t="shared" ref="Y150:AA150" si="492">Y7+Y28+Y56+Y84+Y120</f>
        <v>8812500</v>
      </c>
      <c r="Z150" s="18">
        <f t="shared" si="492"/>
        <v>8812500</v>
      </c>
      <c r="AA150" s="18">
        <f t="shared" si="492"/>
        <v>560000</v>
      </c>
      <c r="AB150" s="18">
        <f t="shared" ref="AB150:AC150" si="493">G150-R150</f>
        <v>560000</v>
      </c>
      <c r="AC150" s="18">
        <f t="shared" si="493"/>
        <v>0</v>
      </c>
      <c r="AD150" s="18">
        <f t="shared" si="5"/>
        <v>-560000</v>
      </c>
      <c r="AE150" s="23">
        <f t="shared" si="6"/>
        <v>0</v>
      </c>
    </row>
    <row r="151" spans="1:31" ht="17.25" customHeight="1">
      <c r="A151" s="922"/>
      <c r="B151" s="54" t="s">
        <v>25</v>
      </c>
      <c r="C151" s="54">
        <f t="shared" ref="C151:I151" si="494">SUM(C137:C150)</f>
        <v>50967980</v>
      </c>
      <c r="D151" s="54">
        <f t="shared" si="494"/>
        <v>46807698</v>
      </c>
      <c r="E151" s="54">
        <f t="shared" si="494"/>
        <v>59968320</v>
      </c>
      <c r="F151" s="54">
        <f t="shared" si="494"/>
        <v>40097086</v>
      </c>
      <c r="G151" s="55">
        <f t="shared" si="494"/>
        <v>44105202</v>
      </c>
      <c r="H151" s="56">
        <f t="shared" si="494"/>
        <v>42037328</v>
      </c>
      <c r="I151" s="56">
        <f t="shared" si="494"/>
        <v>-2067874</v>
      </c>
      <c r="J151" s="57">
        <f t="shared" si="473"/>
        <v>95.311496362719296</v>
      </c>
      <c r="K151" s="29">
        <f t="shared" si="430"/>
        <v>-19871234</v>
      </c>
      <c r="L151" s="26">
        <f t="shared" si="431"/>
        <v>-6710612</v>
      </c>
      <c r="M151" s="922"/>
      <c r="N151" s="25" t="s">
        <v>25</v>
      </c>
      <c r="O151" s="26">
        <f t="shared" ref="O151:T151" si="495">SUM(O137:O150)</f>
        <v>42155480</v>
      </c>
      <c r="P151" s="26">
        <f t="shared" si="495"/>
        <v>37995198</v>
      </c>
      <c r="Q151" s="26">
        <f t="shared" si="495"/>
        <v>18613652</v>
      </c>
      <c r="R151" s="55">
        <f t="shared" si="495"/>
        <v>20417454</v>
      </c>
      <c r="S151" s="26">
        <f t="shared" si="495"/>
        <v>18648637</v>
      </c>
      <c r="T151" s="26">
        <f t="shared" si="495"/>
        <v>-1768817</v>
      </c>
      <c r="U151" s="23">
        <f t="shared" si="475"/>
        <v>91.336740614182361</v>
      </c>
      <c r="V151" s="26">
        <f t="shared" si="435"/>
        <v>-19381546</v>
      </c>
      <c r="W151" s="922"/>
      <c r="X151" s="25" t="s">
        <v>25</v>
      </c>
      <c r="Y151" s="26">
        <f t="shared" ref="Y151:AA151" si="496">SUM(Y137:Y150)</f>
        <v>8812500</v>
      </c>
      <c r="Z151" s="26">
        <f t="shared" si="496"/>
        <v>8812500</v>
      </c>
      <c r="AA151" s="26">
        <f t="shared" si="496"/>
        <v>21483434</v>
      </c>
      <c r="AB151" s="18">
        <f t="shared" ref="AB151:AC151" si="497">G151-R151</f>
        <v>23687748</v>
      </c>
      <c r="AC151" s="18">
        <f t="shared" si="497"/>
        <v>23388691</v>
      </c>
      <c r="AD151" s="18">
        <f t="shared" si="5"/>
        <v>-299057</v>
      </c>
      <c r="AE151" s="23">
        <f t="shared" si="6"/>
        <v>98.737503455372803</v>
      </c>
    </row>
    <row r="152" spans="1:31" ht="17.25" customHeight="1">
      <c r="A152" s="63"/>
      <c r="B152" s="64"/>
      <c r="C152" s="64"/>
      <c r="D152" s="64"/>
      <c r="E152" s="64"/>
      <c r="F152" s="64"/>
      <c r="G152" s="64"/>
      <c r="H152" s="65"/>
      <c r="I152" s="64"/>
      <c r="J152" s="64"/>
      <c r="K152" s="66"/>
      <c r="L152" s="67"/>
      <c r="M152" s="63"/>
      <c r="N152" s="66"/>
      <c r="O152" s="66"/>
      <c r="P152" s="66"/>
      <c r="Q152" s="66"/>
      <c r="R152" s="64"/>
      <c r="S152" s="66"/>
      <c r="T152" s="66"/>
      <c r="U152" s="68"/>
      <c r="V152" s="67"/>
      <c r="W152" s="63"/>
      <c r="X152" s="66"/>
      <c r="Y152" s="66"/>
      <c r="Z152" s="66"/>
      <c r="AA152" s="66"/>
      <c r="AB152" s="64"/>
      <c r="AC152" s="66"/>
      <c r="AD152" s="66"/>
      <c r="AE152" s="66"/>
    </row>
    <row r="153" spans="1:31" ht="17.25" customHeight="1">
      <c r="A153" s="927" t="s">
        <v>61</v>
      </c>
      <c r="B153" s="928"/>
      <c r="C153" s="928"/>
      <c r="D153" s="928"/>
      <c r="E153" s="928"/>
      <c r="F153" s="928"/>
      <c r="G153" s="928"/>
      <c r="H153" s="928"/>
      <c r="I153" s="928"/>
      <c r="J153" s="928"/>
      <c r="K153" s="928"/>
      <c r="L153" s="928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</row>
    <row r="154" spans="1:31" ht="17.25" customHeight="1">
      <c r="A154" s="14" t="s">
        <v>62</v>
      </c>
      <c r="B154" s="14"/>
      <c r="C154" s="14" t="s">
        <v>63</v>
      </c>
      <c r="D154" s="14"/>
      <c r="E154" s="14"/>
      <c r="F154" s="14" t="s">
        <v>64</v>
      </c>
      <c r="G154" s="14" t="s">
        <v>65</v>
      </c>
      <c r="H154" s="14" t="s">
        <v>66</v>
      </c>
      <c r="I154" s="14" t="s">
        <v>67</v>
      </c>
      <c r="J154" s="14" t="s">
        <v>68</v>
      </c>
      <c r="K154" s="70"/>
      <c r="L154" s="70"/>
      <c r="M154" s="71"/>
      <c r="N154" s="71"/>
      <c r="O154" s="71"/>
      <c r="P154" s="71"/>
      <c r="Q154" s="71"/>
      <c r="R154" s="71"/>
      <c r="S154" s="71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</row>
    <row r="155" spans="1:31" ht="17.25" customHeight="1">
      <c r="A155" s="72" t="s">
        <v>69</v>
      </c>
      <c r="B155" s="924" t="s">
        <v>19</v>
      </c>
      <c r="C155" s="20">
        <v>9244097</v>
      </c>
      <c r="D155" s="20">
        <v>6933073</v>
      </c>
      <c r="E155" s="20">
        <v>6378645</v>
      </c>
      <c r="F155" s="20">
        <v>6378645</v>
      </c>
      <c r="G155" s="20">
        <v>6397775</v>
      </c>
      <c r="H155" s="20">
        <v>1987645</v>
      </c>
      <c r="I155" s="20">
        <f t="shared" ref="I155:I157" si="498">H155-F155</f>
        <v>-4391000</v>
      </c>
      <c r="J155" s="20"/>
      <c r="K155" s="73">
        <f t="shared" ref="K155:K157" si="499">F155-E155</f>
        <v>0</v>
      </c>
      <c r="L155" s="74">
        <f t="shared" ref="L155:L157" si="500">F155-D155</f>
        <v>-554428</v>
      </c>
      <c r="M155" s="75"/>
      <c r="N155" s="76"/>
      <c r="O155" s="77"/>
      <c r="P155" s="77"/>
      <c r="Q155" s="20" t="s">
        <v>70</v>
      </c>
      <c r="R155" s="20" t="s">
        <v>71</v>
      </c>
      <c r="S155" s="20">
        <v>210315</v>
      </c>
      <c r="T155" s="64"/>
      <c r="U155" s="78"/>
      <c r="V155" s="64"/>
      <c r="W155" s="79"/>
      <c r="X155" s="80"/>
      <c r="Y155" s="80"/>
      <c r="Z155" s="80"/>
      <c r="AA155" s="80"/>
      <c r="AB155" s="80"/>
      <c r="AC155" s="80"/>
      <c r="AD155" s="64"/>
      <c r="AE155" s="64"/>
    </row>
    <row r="156" spans="1:31" ht="17.25" customHeight="1">
      <c r="A156" s="72" t="s">
        <v>72</v>
      </c>
      <c r="B156" s="921"/>
      <c r="C156" s="20">
        <v>6830990</v>
      </c>
      <c r="D156" s="20">
        <v>6830990</v>
      </c>
      <c r="E156" s="20">
        <v>6539996</v>
      </c>
      <c r="F156" s="20">
        <v>6539996</v>
      </c>
      <c r="G156" s="20">
        <v>6028669</v>
      </c>
      <c r="H156" s="20">
        <v>5767392</v>
      </c>
      <c r="I156" s="20">
        <f t="shared" si="498"/>
        <v>-772604</v>
      </c>
      <c r="J156" s="20"/>
      <c r="K156" s="81">
        <f t="shared" si="499"/>
        <v>0</v>
      </c>
      <c r="L156" s="82">
        <f t="shared" si="500"/>
        <v>-290994</v>
      </c>
      <c r="M156" s="75"/>
      <c r="N156" s="76"/>
      <c r="O156" s="77"/>
      <c r="P156" s="77"/>
      <c r="Q156" s="925" t="s">
        <v>73</v>
      </c>
      <c r="R156" s="20" t="s">
        <v>74</v>
      </c>
      <c r="S156" s="20">
        <v>31256</v>
      </c>
      <c r="T156" s="64"/>
      <c r="U156" s="78"/>
      <c r="V156" s="64"/>
      <c r="W156" s="79"/>
      <c r="X156" s="80"/>
      <c r="Y156" s="80"/>
      <c r="Z156" s="80"/>
      <c r="AA156" s="80"/>
      <c r="AB156" s="80"/>
      <c r="AC156" s="80"/>
      <c r="AD156" s="64"/>
      <c r="AE156" s="64"/>
    </row>
    <row r="157" spans="1:31" ht="17.25" customHeight="1">
      <c r="A157" s="72" t="s">
        <v>75</v>
      </c>
      <c r="B157" s="922"/>
      <c r="C157" s="20">
        <v>20000</v>
      </c>
      <c r="D157" s="20">
        <v>20000</v>
      </c>
      <c r="E157" s="20">
        <v>20000</v>
      </c>
      <c r="F157" s="20">
        <v>20000</v>
      </c>
      <c r="G157" s="20">
        <v>20000</v>
      </c>
      <c r="H157" s="20">
        <v>0</v>
      </c>
      <c r="I157" s="20">
        <f t="shared" si="498"/>
        <v>-20000</v>
      </c>
      <c r="J157" s="20"/>
      <c r="K157" s="81">
        <f t="shared" si="499"/>
        <v>0</v>
      </c>
      <c r="L157" s="82">
        <f t="shared" si="500"/>
        <v>0</v>
      </c>
      <c r="M157" s="75"/>
      <c r="N157" s="76"/>
      <c r="O157" s="76"/>
      <c r="P157" s="76">
        <f>+I151-T151</f>
        <v>-299057</v>
      </c>
      <c r="Q157" s="921"/>
      <c r="R157" s="20" t="s">
        <v>76</v>
      </c>
      <c r="S157" s="20">
        <v>18224</v>
      </c>
      <c r="T157" s="64"/>
      <c r="U157" s="78"/>
      <c r="V157" s="64"/>
      <c r="W157" s="79"/>
      <c r="X157" s="80"/>
      <c r="Y157" s="80"/>
      <c r="Z157" s="80"/>
      <c r="AA157" s="80"/>
      <c r="AB157" s="80"/>
      <c r="AC157" s="80"/>
      <c r="AD157" s="64"/>
      <c r="AE157" s="64"/>
    </row>
    <row r="158" spans="1:31" ht="17.25" customHeight="1">
      <c r="A158" s="72"/>
      <c r="B158" s="83" t="s">
        <v>25</v>
      </c>
      <c r="C158" s="28">
        <f t="shared" ref="C158:I158" si="501">SUM(C155:C157)</f>
        <v>16095087</v>
      </c>
      <c r="D158" s="28">
        <f t="shared" si="501"/>
        <v>13784063</v>
      </c>
      <c r="E158" s="28">
        <f t="shared" si="501"/>
        <v>12938641</v>
      </c>
      <c r="F158" s="28">
        <f t="shared" si="501"/>
        <v>12938641</v>
      </c>
      <c r="G158" s="28">
        <f t="shared" si="501"/>
        <v>12446444</v>
      </c>
      <c r="H158" s="28">
        <f t="shared" si="501"/>
        <v>7755037</v>
      </c>
      <c r="I158" s="28">
        <f t="shared" si="501"/>
        <v>-5183604</v>
      </c>
      <c r="J158" s="20"/>
      <c r="K158" s="81"/>
      <c r="L158" s="82"/>
      <c r="M158" s="75"/>
      <c r="N158" s="84"/>
      <c r="O158" s="77"/>
      <c r="P158" s="77"/>
      <c r="Q158" s="921"/>
      <c r="R158" s="20" t="s">
        <v>77</v>
      </c>
      <c r="S158" s="20">
        <v>160835</v>
      </c>
      <c r="T158" s="64"/>
      <c r="U158" s="78"/>
      <c r="V158" s="64"/>
      <c r="W158" s="79"/>
      <c r="X158" s="80"/>
      <c r="Y158" s="80"/>
      <c r="Z158" s="80"/>
      <c r="AA158" s="80"/>
      <c r="AB158" s="80"/>
      <c r="AC158" s="80"/>
      <c r="AD158" s="64"/>
      <c r="AE158" s="64"/>
    </row>
    <row r="159" spans="1:31" ht="17.25" customHeight="1">
      <c r="A159" s="72" t="s">
        <v>78</v>
      </c>
      <c r="B159" s="924" t="s">
        <v>79</v>
      </c>
      <c r="C159" s="20">
        <v>9384466</v>
      </c>
      <c r="D159" s="20">
        <v>7038350</v>
      </c>
      <c r="E159" s="20">
        <v>6759758</v>
      </c>
      <c r="F159" s="20">
        <v>6759758</v>
      </c>
      <c r="G159" s="20">
        <v>6855311</v>
      </c>
      <c r="H159" s="20">
        <v>3223080</v>
      </c>
      <c r="I159" s="20">
        <f t="shared" ref="I159:I161" si="502">H159-F159</f>
        <v>-3536678</v>
      </c>
      <c r="J159" s="20"/>
      <c r="K159" s="81">
        <f t="shared" ref="K159:K161" si="503">F159-E159</f>
        <v>0</v>
      </c>
      <c r="L159" s="82">
        <f t="shared" ref="L159:L161" si="504">F159-D159</f>
        <v>-278592</v>
      </c>
      <c r="M159" s="75"/>
      <c r="N159" s="76"/>
      <c r="O159" s="77"/>
      <c r="P159" s="77"/>
      <c r="Q159" s="922"/>
      <c r="R159" s="20" t="s">
        <v>80</v>
      </c>
      <c r="S159" s="28">
        <f>SUM(S156:S158)</f>
        <v>210315</v>
      </c>
      <c r="T159" s="64"/>
      <c r="U159" s="78"/>
      <c r="V159" s="64"/>
      <c r="W159" s="79"/>
      <c r="X159" s="80"/>
      <c r="Y159" s="80"/>
      <c r="Z159" s="80"/>
      <c r="AA159" s="80"/>
      <c r="AB159" s="80"/>
      <c r="AC159" s="80"/>
      <c r="AD159" s="64"/>
      <c r="AE159" s="64"/>
    </row>
    <row r="160" spans="1:31" ht="17.25" customHeight="1">
      <c r="A160" s="72" t="s">
        <v>72</v>
      </c>
      <c r="B160" s="921"/>
      <c r="C160" s="20">
        <v>6800513</v>
      </c>
      <c r="D160" s="20">
        <v>6800513</v>
      </c>
      <c r="E160" s="20">
        <v>6606971</v>
      </c>
      <c r="F160" s="20">
        <v>6606971</v>
      </c>
      <c r="G160" s="20">
        <v>5978244</v>
      </c>
      <c r="H160" s="20">
        <v>5441453</v>
      </c>
      <c r="I160" s="20">
        <f t="shared" si="502"/>
        <v>-1165518</v>
      </c>
      <c r="J160" s="20"/>
      <c r="K160" s="81">
        <f t="shared" si="503"/>
        <v>0</v>
      </c>
      <c r="L160" s="82">
        <f t="shared" si="504"/>
        <v>-193542</v>
      </c>
      <c r="M160" s="75"/>
      <c r="N160" s="76"/>
      <c r="O160" s="77"/>
      <c r="P160" s="77"/>
      <c r="Q160" s="77"/>
      <c r="R160" s="77"/>
      <c r="S160" s="77"/>
      <c r="T160" s="64"/>
      <c r="U160" s="78"/>
      <c r="V160" s="64"/>
      <c r="W160" s="79"/>
      <c r="X160" s="80"/>
      <c r="Y160" s="80"/>
      <c r="Z160" s="80"/>
      <c r="AA160" s="80"/>
      <c r="AB160" s="80"/>
      <c r="AC160" s="80"/>
      <c r="AD160" s="64"/>
      <c r="AE160" s="64"/>
    </row>
    <row r="161" spans="1:31" ht="17.25" customHeight="1">
      <c r="A161" s="72" t="s">
        <v>75</v>
      </c>
      <c r="B161" s="922"/>
      <c r="C161" s="20">
        <v>20000</v>
      </c>
      <c r="D161" s="20">
        <v>20000</v>
      </c>
      <c r="E161" s="20">
        <v>20000</v>
      </c>
      <c r="F161" s="20">
        <v>20000</v>
      </c>
      <c r="G161" s="20">
        <v>20000</v>
      </c>
      <c r="H161" s="20">
        <v>0</v>
      </c>
      <c r="I161" s="20">
        <f t="shared" si="502"/>
        <v>-20000</v>
      </c>
      <c r="J161" s="20"/>
      <c r="K161" s="81">
        <f t="shared" si="503"/>
        <v>0</v>
      </c>
      <c r="L161" s="82">
        <f t="shared" si="504"/>
        <v>0</v>
      </c>
      <c r="M161" s="75"/>
      <c r="N161" s="76"/>
      <c r="O161" s="77"/>
      <c r="P161" s="77"/>
      <c r="Q161" s="77"/>
      <c r="R161" s="77"/>
      <c r="S161" s="77"/>
      <c r="T161" s="64"/>
      <c r="U161" s="78"/>
      <c r="V161" s="64"/>
      <c r="W161" s="79"/>
      <c r="X161" s="80"/>
      <c r="Y161" s="80"/>
      <c r="Z161" s="80"/>
      <c r="AA161" s="80"/>
      <c r="AB161" s="80"/>
      <c r="AC161" s="80"/>
      <c r="AD161" s="64"/>
      <c r="AE161" s="64"/>
    </row>
    <row r="162" spans="1:31" ht="17.25" customHeight="1">
      <c r="A162" s="72"/>
      <c r="B162" s="85" t="s">
        <v>25</v>
      </c>
      <c r="C162" s="28">
        <f t="shared" ref="C162:J162" si="505">SUM(C159:C161)</f>
        <v>16204979</v>
      </c>
      <c r="D162" s="28">
        <f t="shared" si="505"/>
        <v>13858863</v>
      </c>
      <c r="E162" s="28">
        <f t="shared" si="505"/>
        <v>13386729</v>
      </c>
      <c r="F162" s="28">
        <f t="shared" si="505"/>
        <v>13386729</v>
      </c>
      <c r="G162" s="28">
        <f t="shared" si="505"/>
        <v>12853555</v>
      </c>
      <c r="H162" s="28">
        <f t="shared" si="505"/>
        <v>8664533</v>
      </c>
      <c r="I162" s="28">
        <f t="shared" si="505"/>
        <v>-4722196</v>
      </c>
      <c r="J162" s="28">
        <f t="shared" si="505"/>
        <v>0</v>
      </c>
      <c r="K162" s="77"/>
      <c r="L162" s="77"/>
      <c r="M162" s="75"/>
      <c r="N162" s="86"/>
      <c r="O162" s="77"/>
      <c r="P162" s="77"/>
      <c r="Q162" s="77"/>
      <c r="R162" s="71"/>
      <c r="S162" s="77"/>
      <c r="T162" s="64"/>
      <c r="U162" s="78"/>
      <c r="V162" s="64"/>
      <c r="W162" s="79"/>
      <c r="X162" s="80"/>
      <c r="Y162" s="80"/>
      <c r="Z162" s="80"/>
      <c r="AA162" s="80"/>
      <c r="AB162" s="80"/>
      <c r="AC162" s="80"/>
      <c r="AD162" s="64"/>
      <c r="AE162" s="64"/>
    </row>
    <row r="163" spans="1:31" ht="17.25" customHeight="1">
      <c r="A163" s="72"/>
      <c r="B163" s="85"/>
      <c r="C163" s="28"/>
      <c r="D163" s="28"/>
      <c r="E163" s="28"/>
      <c r="F163" s="28"/>
      <c r="G163" s="28"/>
      <c r="H163" s="28"/>
      <c r="I163" s="28"/>
      <c r="J163" s="28"/>
      <c r="K163" s="77"/>
      <c r="L163" s="77"/>
      <c r="M163" s="75"/>
      <c r="N163" s="86"/>
      <c r="O163" s="77"/>
      <c r="P163" s="77"/>
      <c r="Q163" s="77"/>
      <c r="R163" s="71"/>
      <c r="S163" s="77"/>
      <c r="T163" s="64"/>
      <c r="U163" s="78"/>
      <c r="V163" s="64"/>
      <c r="W163" s="79"/>
      <c r="X163" s="80"/>
      <c r="Y163" s="80"/>
      <c r="Z163" s="80"/>
      <c r="AA163" s="80"/>
      <c r="AB163" s="80"/>
      <c r="AC163" s="80"/>
      <c r="AD163" s="64"/>
      <c r="AE163" s="64"/>
    </row>
    <row r="164" spans="1:31" ht="17.25" customHeight="1">
      <c r="A164" s="72" t="s">
        <v>78</v>
      </c>
      <c r="B164" s="924" t="s">
        <v>81</v>
      </c>
      <c r="C164" s="20">
        <f t="shared" ref="C164:I164" si="506">C155-C159</f>
        <v>-140369</v>
      </c>
      <c r="D164" s="20">
        <f t="shared" si="506"/>
        <v>-105277</v>
      </c>
      <c r="E164" s="20">
        <f t="shared" si="506"/>
        <v>-381113</v>
      </c>
      <c r="F164" s="20">
        <f t="shared" si="506"/>
        <v>-381113</v>
      </c>
      <c r="G164" s="20">
        <f t="shared" si="506"/>
        <v>-457536</v>
      </c>
      <c r="H164" s="20">
        <f t="shared" si="506"/>
        <v>-1235435</v>
      </c>
      <c r="I164" s="20">
        <f t="shared" si="506"/>
        <v>-854322</v>
      </c>
      <c r="J164" s="20"/>
      <c r="K164" s="77"/>
      <c r="L164" s="77"/>
      <c r="M164" s="75"/>
      <c r="N164" s="77"/>
      <c r="O164" s="77"/>
      <c r="P164" s="77"/>
      <c r="Q164" s="77">
        <f>363744-210315</f>
        <v>153429</v>
      </c>
      <c r="R164" s="77"/>
      <c r="S164" s="77"/>
      <c r="T164" s="64"/>
      <c r="U164" s="78"/>
      <c r="V164" s="64"/>
      <c r="W164" s="79"/>
      <c r="X164" s="80"/>
      <c r="Y164" s="80"/>
      <c r="Z164" s="80"/>
      <c r="AA164" s="80"/>
      <c r="AB164" s="80"/>
      <c r="AC164" s="80"/>
      <c r="AD164" s="64"/>
      <c r="AE164" s="64"/>
    </row>
    <row r="165" spans="1:31" ht="17.25" customHeight="1">
      <c r="A165" s="72" t="s">
        <v>72</v>
      </c>
      <c r="B165" s="921"/>
      <c r="C165" s="20">
        <f t="shared" ref="C165:C166" si="507">C156-C160</f>
        <v>30477</v>
      </c>
      <c r="D165" s="20">
        <v>6800513</v>
      </c>
      <c r="E165" s="20">
        <v>6606971</v>
      </c>
      <c r="F165" s="20">
        <f t="shared" ref="F165:I165" si="508">F156-F160</f>
        <v>-66975</v>
      </c>
      <c r="G165" s="20">
        <f t="shared" si="508"/>
        <v>50425</v>
      </c>
      <c r="H165" s="20">
        <f t="shared" si="508"/>
        <v>325939</v>
      </c>
      <c r="I165" s="20">
        <f t="shared" si="508"/>
        <v>392914</v>
      </c>
      <c r="J165" s="20"/>
      <c r="K165" s="77"/>
      <c r="L165" s="77"/>
      <c r="M165" s="75"/>
      <c r="N165" s="77"/>
      <c r="O165" s="77"/>
      <c r="P165" s="77"/>
      <c r="Q165" s="77"/>
      <c r="R165" s="77"/>
      <c r="S165" s="77"/>
      <c r="T165" s="64"/>
      <c r="U165" s="78"/>
      <c r="V165" s="64"/>
      <c r="W165" s="79"/>
      <c r="X165" s="80"/>
      <c r="Y165" s="80"/>
      <c r="Z165" s="80"/>
      <c r="AA165" s="80"/>
      <c r="AB165" s="80"/>
      <c r="AC165" s="80"/>
      <c r="AD165" s="64"/>
      <c r="AE165" s="64"/>
    </row>
    <row r="166" spans="1:31" ht="17.25" customHeight="1">
      <c r="A166" s="72" t="s">
        <v>75</v>
      </c>
      <c r="B166" s="922"/>
      <c r="C166" s="20">
        <f t="shared" si="507"/>
        <v>0</v>
      </c>
      <c r="D166" s="20">
        <v>20000</v>
      </c>
      <c r="E166" s="20">
        <v>20000</v>
      </c>
      <c r="F166" s="20">
        <f t="shared" ref="F166:I166" si="509">F157-F161</f>
        <v>0</v>
      </c>
      <c r="G166" s="20">
        <f t="shared" si="509"/>
        <v>0</v>
      </c>
      <c r="H166" s="20">
        <f t="shared" si="509"/>
        <v>0</v>
      </c>
      <c r="I166" s="20">
        <f t="shared" si="509"/>
        <v>0</v>
      </c>
      <c r="J166" s="20"/>
      <c r="K166" s="77"/>
      <c r="L166" s="77"/>
      <c r="M166" s="75"/>
      <c r="N166" s="77"/>
      <c r="O166" s="77"/>
      <c r="P166" s="77"/>
      <c r="Q166" s="77"/>
      <c r="R166" s="77"/>
      <c r="S166" s="77"/>
      <c r="T166" s="64"/>
      <c r="U166" s="78"/>
      <c r="V166" s="64"/>
      <c r="W166" s="79"/>
      <c r="X166" s="80"/>
      <c r="Y166" s="80"/>
      <c r="Z166" s="80"/>
      <c r="AA166" s="80"/>
      <c r="AB166" s="80"/>
      <c r="AC166" s="80"/>
      <c r="AD166" s="64"/>
      <c r="AE166" s="64"/>
    </row>
    <row r="167" spans="1:31" ht="17.25" customHeight="1">
      <c r="A167" s="72"/>
      <c r="B167" s="85" t="s">
        <v>25</v>
      </c>
      <c r="C167" s="28">
        <f t="shared" ref="C167:J167" si="510">SUM(C164:C166)</f>
        <v>-109892</v>
      </c>
      <c r="D167" s="28">
        <f t="shared" si="510"/>
        <v>6715236</v>
      </c>
      <c r="E167" s="28">
        <f t="shared" si="510"/>
        <v>6245858</v>
      </c>
      <c r="F167" s="28">
        <f t="shared" si="510"/>
        <v>-448088</v>
      </c>
      <c r="G167" s="28">
        <f t="shared" si="510"/>
        <v>-407111</v>
      </c>
      <c r="H167" s="28">
        <f t="shared" si="510"/>
        <v>-909496</v>
      </c>
      <c r="I167" s="28">
        <f t="shared" si="510"/>
        <v>-461408</v>
      </c>
      <c r="J167" s="28">
        <f t="shared" si="510"/>
        <v>0</v>
      </c>
      <c r="K167" s="77"/>
      <c r="L167" s="77"/>
      <c r="M167" s="75"/>
      <c r="N167" s="77"/>
      <c r="O167" s="77"/>
      <c r="P167" s="77"/>
      <c r="Q167" s="77"/>
      <c r="R167" s="77"/>
      <c r="S167" s="77"/>
      <c r="T167" s="64"/>
      <c r="U167" s="78"/>
      <c r="V167" s="64"/>
      <c r="W167" s="79"/>
      <c r="X167" s="80"/>
      <c r="Y167" s="80"/>
      <c r="Z167" s="80"/>
      <c r="AA167" s="80"/>
      <c r="AB167" s="80"/>
      <c r="AC167" s="80"/>
      <c r="AD167" s="64"/>
      <c r="AE167" s="64"/>
    </row>
    <row r="168" spans="1:31" ht="17.25" customHeight="1">
      <c r="A168" s="72"/>
      <c r="B168" s="20"/>
      <c r="C168" s="20"/>
      <c r="D168" s="20"/>
      <c r="E168" s="20"/>
      <c r="F168" s="20" t="s">
        <v>82</v>
      </c>
      <c r="G168" s="20" t="s">
        <v>82</v>
      </c>
      <c r="H168" s="20">
        <f>H137+H155+H156+H157</f>
        <v>13463140</v>
      </c>
      <c r="I168" s="20"/>
      <c r="J168" s="20"/>
      <c r="K168" s="77"/>
      <c r="L168" s="77"/>
      <c r="M168" s="75"/>
      <c r="N168" s="77"/>
      <c r="O168" s="77"/>
      <c r="P168" s="77"/>
      <c r="Q168" s="77"/>
      <c r="R168" s="77"/>
      <c r="S168" s="77"/>
      <c r="T168" s="64"/>
      <c r="U168" s="78"/>
      <c r="V168" s="64"/>
      <c r="W168" s="79"/>
      <c r="X168" s="80"/>
      <c r="Y168" s="80"/>
      <c r="Z168" s="80"/>
      <c r="AA168" s="80"/>
      <c r="AB168" s="80"/>
      <c r="AC168" s="80"/>
      <c r="AD168" s="64"/>
      <c r="AE168" s="64"/>
    </row>
    <row r="169" spans="1:31" ht="17.25" customHeight="1">
      <c r="A169" s="72"/>
      <c r="B169" s="20"/>
      <c r="C169" s="20"/>
      <c r="D169" s="20"/>
      <c r="E169" s="20"/>
      <c r="F169" s="20" t="s">
        <v>79</v>
      </c>
      <c r="G169" s="20" t="s">
        <v>79</v>
      </c>
      <c r="H169" s="20">
        <f>H159+H160+H161</f>
        <v>8664533</v>
      </c>
      <c r="I169" s="20"/>
      <c r="J169" s="20"/>
      <c r="K169" s="77"/>
      <c r="L169" s="77"/>
      <c r="M169" s="75"/>
      <c r="N169" s="77"/>
      <c r="O169" s="77"/>
      <c r="P169" s="77"/>
      <c r="Q169" s="77"/>
      <c r="R169" s="77"/>
      <c r="S169" s="77"/>
      <c r="T169" s="64"/>
      <c r="U169" s="78"/>
      <c r="V169" s="64"/>
      <c r="W169" s="79"/>
      <c r="X169" s="80"/>
      <c r="Y169" s="80"/>
      <c r="Z169" s="80"/>
      <c r="AA169" s="80"/>
      <c r="AB169" s="80"/>
      <c r="AC169" s="80"/>
      <c r="AD169" s="64"/>
      <c r="AE169" s="64"/>
    </row>
    <row r="170" spans="1:31" ht="17.25" customHeight="1">
      <c r="A170" s="72"/>
      <c r="B170" s="20"/>
      <c r="C170" s="20"/>
      <c r="D170" s="20"/>
      <c r="E170" s="20"/>
      <c r="F170" s="20" t="s">
        <v>83</v>
      </c>
      <c r="G170" s="20" t="s">
        <v>83</v>
      </c>
      <c r="H170" s="20">
        <f>H168-H169</f>
        <v>4798607</v>
      </c>
      <c r="I170" s="20"/>
      <c r="J170" s="20"/>
      <c r="K170" s="77"/>
      <c r="L170" s="77"/>
      <c r="M170" s="75"/>
      <c r="N170" s="77"/>
      <c r="O170" s="77"/>
      <c r="P170" s="77"/>
      <c r="Q170" s="77"/>
      <c r="R170" s="77"/>
      <c r="S170" s="77"/>
      <c r="T170" s="64"/>
      <c r="U170" s="78"/>
      <c r="V170" s="64"/>
      <c r="W170" s="79"/>
      <c r="X170" s="80"/>
      <c r="Y170" s="80"/>
      <c r="Z170" s="80"/>
      <c r="AA170" s="80"/>
      <c r="AB170" s="80"/>
      <c r="AC170" s="80"/>
      <c r="AD170" s="64"/>
      <c r="AE170" s="64"/>
    </row>
    <row r="171" spans="1:31" ht="17.25" customHeight="1">
      <c r="A171" s="72"/>
      <c r="B171" s="20"/>
      <c r="C171" s="20"/>
      <c r="D171" s="20"/>
      <c r="E171" s="20"/>
      <c r="F171" s="20" t="s">
        <v>84</v>
      </c>
      <c r="G171" s="20" t="s">
        <v>84</v>
      </c>
      <c r="H171" s="20">
        <f>H138</f>
        <v>11774</v>
      </c>
      <c r="I171" s="20"/>
      <c r="J171" s="20"/>
      <c r="K171" s="77"/>
      <c r="L171" s="77"/>
      <c r="M171" s="75"/>
      <c r="N171" s="77"/>
      <c r="O171" s="77"/>
      <c r="P171" s="77"/>
      <c r="Q171" s="77"/>
      <c r="R171" s="77"/>
      <c r="S171" s="77"/>
      <c r="T171" s="64"/>
      <c r="U171" s="78"/>
      <c r="V171" s="64"/>
      <c r="W171" s="79"/>
      <c r="X171" s="64"/>
      <c r="Y171" s="64"/>
      <c r="Z171" s="64"/>
      <c r="AA171" s="64"/>
      <c r="AB171" s="64"/>
      <c r="AC171" s="64"/>
      <c r="AD171" s="64"/>
      <c r="AE171" s="64"/>
    </row>
    <row r="172" spans="1:31" ht="17.25" customHeight="1">
      <c r="A172" s="72"/>
      <c r="B172" s="20"/>
      <c r="C172" s="20"/>
      <c r="D172" s="20"/>
      <c r="E172" s="20"/>
      <c r="F172" s="20" t="s">
        <v>70</v>
      </c>
      <c r="G172" s="20" t="s">
        <v>85</v>
      </c>
      <c r="H172" s="20">
        <v>210315</v>
      </c>
      <c r="I172" s="20"/>
      <c r="J172" s="20"/>
      <c r="K172" s="77"/>
      <c r="L172" s="77"/>
      <c r="M172" s="75"/>
      <c r="N172" s="77"/>
      <c r="O172" s="77"/>
      <c r="P172" s="77"/>
      <c r="Q172" s="77"/>
      <c r="R172" s="77"/>
      <c r="S172" s="77"/>
      <c r="T172" s="64"/>
      <c r="U172" s="78"/>
      <c r="V172" s="64"/>
      <c r="W172" s="79"/>
      <c r="X172" s="64"/>
      <c r="Y172" s="64"/>
      <c r="Z172" s="64"/>
      <c r="AA172" s="64"/>
      <c r="AB172" s="64"/>
      <c r="AC172" s="64"/>
      <c r="AD172" s="64"/>
      <c r="AE172" s="64"/>
    </row>
    <row r="173" spans="1:31" ht="17.25" customHeight="1">
      <c r="A173" s="75"/>
      <c r="B173" s="77"/>
      <c r="C173" s="77"/>
      <c r="D173" s="77"/>
      <c r="E173" s="77"/>
      <c r="F173" s="925" t="s">
        <v>73</v>
      </c>
      <c r="G173" s="20" t="s">
        <v>74</v>
      </c>
      <c r="H173" s="20">
        <v>31256</v>
      </c>
      <c r="I173" s="77"/>
      <c r="J173" s="77"/>
      <c r="K173" s="77"/>
      <c r="L173" s="77"/>
      <c r="M173" s="75"/>
      <c r="N173" s="77"/>
      <c r="O173" s="77"/>
      <c r="P173" s="77"/>
      <c r="Q173" s="77"/>
      <c r="R173" s="77"/>
      <c r="S173" s="77"/>
      <c r="T173" s="64"/>
      <c r="U173" s="78"/>
      <c r="V173" s="64"/>
      <c r="W173" s="79"/>
      <c r="X173" s="64"/>
      <c r="Y173" s="64"/>
      <c r="Z173" s="64"/>
      <c r="AA173" s="64"/>
      <c r="AB173" s="64"/>
      <c r="AC173" s="64"/>
      <c r="AD173" s="64"/>
      <c r="AE173" s="64"/>
    </row>
    <row r="174" spans="1:31" ht="17.25" customHeight="1">
      <c r="A174" s="75"/>
      <c r="B174" s="77"/>
      <c r="C174" s="77"/>
      <c r="D174" s="77"/>
      <c r="E174" s="77"/>
      <c r="F174" s="921"/>
      <c r="G174" s="20" t="s">
        <v>76</v>
      </c>
      <c r="H174" s="20">
        <v>18224</v>
      </c>
      <c r="I174" s="77"/>
      <c r="J174" s="77"/>
      <c r="K174" s="77"/>
      <c r="L174" s="77"/>
      <c r="M174" s="75"/>
      <c r="N174" s="77"/>
      <c r="O174" s="77"/>
      <c r="P174" s="77"/>
      <c r="Q174" s="77"/>
      <c r="R174" s="77"/>
      <c r="S174" s="77"/>
      <c r="T174" s="64"/>
      <c r="U174" s="78"/>
      <c r="V174" s="64"/>
      <c r="W174" s="79"/>
      <c r="X174" s="64"/>
      <c r="Y174" s="64"/>
      <c r="Z174" s="64"/>
      <c r="AA174" s="64"/>
      <c r="AB174" s="64"/>
      <c r="AC174" s="64"/>
      <c r="AD174" s="64"/>
      <c r="AE174" s="64"/>
    </row>
    <row r="175" spans="1:31" ht="17.25" customHeight="1">
      <c r="A175" s="75"/>
      <c r="B175" s="77"/>
      <c r="C175" s="77"/>
      <c r="D175" s="77"/>
      <c r="E175" s="77"/>
      <c r="F175" s="921"/>
      <c r="G175" s="20" t="s">
        <v>77</v>
      </c>
      <c r="H175" s="20">
        <v>160835</v>
      </c>
      <c r="I175" s="77"/>
      <c r="J175" s="77"/>
      <c r="K175" s="77"/>
      <c r="L175" s="77"/>
      <c r="M175" s="75"/>
      <c r="N175" s="77"/>
      <c r="O175" s="77"/>
      <c r="P175" s="77"/>
      <c r="Q175" s="77"/>
      <c r="R175" s="77"/>
      <c r="S175" s="77"/>
      <c r="T175" s="64"/>
      <c r="U175" s="78"/>
      <c r="V175" s="64"/>
      <c r="W175" s="79"/>
      <c r="X175" s="64"/>
      <c r="Y175" s="64"/>
      <c r="Z175" s="64"/>
      <c r="AA175" s="64"/>
      <c r="AB175" s="64"/>
      <c r="AC175" s="64"/>
      <c r="AD175" s="64"/>
      <c r="AE175" s="64"/>
    </row>
    <row r="176" spans="1:31" ht="17.25" customHeight="1">
      <c r="A176" s="75"/>
      <c r="B176" s="77"/>
      <c r="C176" s="77"/>
      <c r="D176" s="77"/>
      <c r="E176" s="77"/>
      <c r="F176" s="922"/>
      <c r="G176" s="20" t="s">
        <v>80</v>
      </c>
      <c r="H176" s="28">
        <f>SUM(H173:H175)</f>
        <v>210315</v>
      </c>
      <c r="I176" s="77"/>
      <c r="J176" s="77"/>
      <c r="K176" s="77"/>
      <c r="L176" s="77"/>
      <c r="M176" s="75"/>
      <c r="N176" s="77"/>
      <c r="O176" s="77"/>
      <c r="P176" s="77"/>
      <c r="Q176" s="77"/>
      <c r="R176" s="77"/>
      <c r="S176" s="77"/>
      <c r="T176" s="64"/>
      <c r="U176" s="78"/>
      <c r="V176" s="64"/>
      <c r="W176" s="79"/>
      <c r="X176" s="64"/>
      <c r="Y176" s="64"/>
      <c r="Z176" s="64"/>
      <c r="AA176" s="64"/>
      <c r="AB176" s="64"/>
      <c r="AC176" s="64"/>
      <c r="AD176" s="64"/>
      <c r="AE176" s="64"/>
    </row>
    <row r="177" spans="1:31" ht="17.25" customHeight="1">
      <c r="A177" s="79"/>
      <c r="B177" s="64"/>
      <c r="C177" s="64"/>
      <c r="D177" s="64"/>
      <c r="E177" s="64"/>
      <c r="F177" s="64"/>
      <c r="G177" s="64"/>
      <c r="H177" s="87"/>
      <c r="I177" s="64"/>
      <c r="J177" s="64"/>
      <c r="K177" s="64"/>
      <c r="L177" s="64"/>
      <c r="M177" s="79"/>
      <c r="N177" s="64"/>
      <c r="O177" s="64"/>
      <c r="P177" s="64"/>
      <c r="Q177" s="64"/>
      <c r="R177" s="64"/>
      <c r="S177" s="64"/>
      <c r="T177" s="64"/>
      <c r="U177" s="78"/>
      <c r="V177" s="64"/>
      <c r="W177" s="79"/>
      <c r="X177" s="64"/>
      <c r="Y177" s="64"/>
      <c r="Z177" s="64"/>
      <c r="AA177" s="64"/>
      <c r="AB177" s="64"/>
      <c r="AC177" s="64"/>
      <c r="AD177" s="64"/>
      <c r="AE177" s="64"/>
    </row>
    <row r="178" spans="1:31" ht="17.25" customHeight="1">
      <c r="A178" s="79"/>
      <c r="B178" s="64"/>
      <c r="C178" s="64"/>
      <c r="D178" s="64"/>
      <c r="E178" s="64"/>
      <c r="F178" s="64"/>
      <c r="G178" s="64"/>
      <c r="H178" s="87"/>
      <c r="I178" s="64"/>
      <c r="J178" s="64"/>
      <c r="K178" s="64"/>
      <c r="L178" s="64"/>
      <c r="M178" s="79"/>
      <c r="N178" s="64"/>
      <c r="O178" s="64"/>
      <c r="P178" s="64"/>
      <c r="Q178" s="64"/>
      <c r="R178" s="64"/>
      <c r="S178" s="64"/>
      <c r="T178" s="64"/>
      <c r="U178" s="78"/>
      <c r="V178" s="64"/>
      <c r="W178" s="79"/>
      <c r="X178" s="64"/>
      <c r="Y178" s="64"/>
      <c r="Z178" s="64"/>
      <c r="AA178" s="64"/>
      <c r="AB178" s="64"/>
      <c r="AC178" s="64"/>
      <c r="AD178" s="64"/>
      <c r="AE178" s="64"/>
    </row>
    <row r="179" spans="1:31" ht="17.25" customHeight="1">
      <c r="A179" s="79"/>
      <c r="B179" s="64"/>
      <c r="C179" s="64"/>
      <c r="D179" s="64"/>
      <c r="E179" s="64"/>
      <c r="F179" s="64"/>
      <c r="G179" s="64"/>
      <c r="H179" s="87"/>
      <c r="I179" s="64"/>
      <c r="J179" s="64"/>
      <c r="K179" s="64"/>
      <c r="L179" s="64"/>
      <c r="M179" s="79"/>
      <c r="N179" s="64"/>
      <c r="O179" s="64"/>
      <c r="P179" s="64"/>
      <c r="Q179" s="64"/>
      <c r="R179" s="64"/>
      <c r="S179" s="64"/>
      <c r="T179" s="64"/>
      <c r="U179" s="78"/>
      <c r="V179" s="64"/>
      <c r="W179" s="79"/>
      <c r="X179" s="64"/>
      <c r="Y179" s="64"/>
      <c r="Z179" s="64"/>
      <c r="AA179" s="64"/>
      <c r="AB179" s="64"/>
      <c r="AC179" s="64"/>
      <c r="AD179" s="64"/>
      <c r="AE179" s="64"/>
    </row>
    <row r="180" spans="1:31" ht="17.25" customHeight="1">
      <c r="A180" s="79"/>
      <c r="B180" s="64"/>
      <c r="C180" s="64"/>
      <c r="D180" s="64"/>
      <c r="E180" s="64"/>
      <c r="F180" s="64"/>
      <c r="G180" s="64"/>
      <c r="H180" s="87"/>
      <c r="I180" s="64"/>
      <c r="J180" s="64"/>
      <c r="K180" s="64"/>
      <c r="L180" s="64"/>
      <c r="M180" s="79"/>
      <c r="N180" s="64"/>
      <c r="O180" s="64"/>
      <c r="P180" s="64"/>
      <c r="Q180" s="64"/>
      <c r="R180" s="64"/>
      <c r="S180" s="64"/>
      <c r="T180" s="64"/>
      <c r="U180" s="78"/>
      <c r="V180" s="64"/>
      <c r="W180" s="79"/>
      <c r="X180" s="64"/>
      <c r="Y180" s="64"/>
      <c r="Z180" s="64"/>
      <c r="AA180" s="64"/>
      <c r="AB180" s="64"/>
      <c r="AC180" s="64"/>
      <c r="AD180" s="64"/>
      <c r="AE180" s="64"/>
    </row>
    <row r="181" spans="1:31" ht="17.25" customHeight="1">
      <c r="A181" s="79"/>
      <c r="B181" s="64"/>
      <c r="C181" s="64"/>
      <c r="D181" s="64"/>
      <c r="E181" s="64"/>
      <c r="F181" s="64"/>
      <c r="G181" s="64"/>
      <c r="H181" s="87"/>
      <c r="I181" s="64"/>
      <c r="J181" s="64"/>
      <c r="K181" s="64"/>
      <c r="L181" s="64"/>
      <c r="M181" s="79"/>
      <c r="N181" s="64"/>
      <c r="O181" s="64"/>
      <c r="P181" s="64"/>
      <c r="Q181" s="64"/>
      <c r="R181" s="64"/>
      <c r="S181" s="64"/>
      <c r="T181" s="64"/>
      <c r="U181" s="78"/>
      <c r="V181" s="64"/>
      <c r="W181" s="79"/>
      <c r="X181" s="64"/>
      <c r="Y181" s="64"/>
      <c r="Z181" s="64"/>
      <c r="AA181" s="64"/>
      <c r="AB181" s="64"/>
      <c r="AC181" s="64"/>
      <c r="AD181" s="64"/>
      <c r="AE181" s="64"/>
    </row>
    <row r="182" spans="1:31" ht="17.25" customHeight="1">
      <c r="A182" s="79"/>
      <c r="B182" s="64"/>
      <c r="C182" s="64"/>
      <c r="D182" s="64"/>
      <c r="E182" s="64"/>
      <c r="F182" s="64"/>
      <c r="G182" s="64"/>
      <c r="H182" s="87"/>
      <c r="I182" s="64"/>
      <c r="J182" s="64"/>
      <c r="K182" s="64"/>
      <c r="L182" s="64"/>
      <c r="M182" s="79"/>
      <c r="N182" s="64"/>
      <c r="O182" s="64"/>
      <c r="P182" s="64"/>
      <c r="Q182" s="64"/>
      <c r="R182" s="64"/>
      <c r="S182" s="64"/>
      <c r="T182" s="64"/>
      <c r="U182" s="78"/>
      <c r="V182" s="64"/>
      <c r="W182" s="79"/>
      <c r="X182" s="64"/>
      <c r="Y182" s="64"/>
      <c r="Z182" s="64"/>
      <c r="AA182" s="64"/>
      <c r="AB182" s="64"/>
      <c r="AC182" s="64"/>
      <c r="AD182" s="64"/>
      <c r="AE182" s="64"/>
    </row>
    <row r="183" spans="1:31" ht="17.25" customHeight="1">
      <c r="A183" s="79"/>
      <c r="B183" s="64"/>
      <c r="C183" s="64"/>
      <c r="D183" s="64"/>
      <c r="E183" s="64"/>
      <c r="F183" s="64"/>
      <c r="G183" s="64"/>
      <c r="H183" s="87"/>
      <c r="I183" s="64"/>
      <c r="J183" s="64"/>
      <c r="K183" s="64"/>
      <c r="L183" s="64"/>
      <c r="M183" s="79"/>
      <c r="N183" s="64"/>
      <c r="O183" s="64"/>
      <c r="P183" s="64"/>
      <c r="Q183" s="64"/>
      <c r="R183" s="64"/>
      <c r="S183" s="64"/>
      <c r="T183" s="64"/>
      <c r="U183" s="78"/>
      <c r="V183" s="64"/>
      <c r="W183" s="79"/>
      <c r="X183" s="64"/>
      <c r="Y183" s="64"/>
      <c r="Z183" s="64"/>
      <c r="AA183" s="64"/>
      <c r="AB183" s="64"/>
      <c r="AC183" s="64"/>
      <c r="AD183" s="64"/>
      <c r="AE183" s="64"/>
    </row>
    <row r="184" spans="1:31" ht="17.25" customHeight="1">
      <c r="A184" s="79"/>
      <c r="B184" s="64"/>
      <c r="C184" s="64"/>
      <c r="D184" s="64"/>
      <c r="E184" s="64"/>
      <c r="F184" s="64"/>
      <c r="G184" s="64"/>
      <c r="H184" s="87"/>
      <c r="I184" s="64"/>
      <c r="J184" s="64"/>
      <c r="K184" s="64"/>
      <c r="L184" s="64"/>
      <c r="M184" s="79"/>
      <c r="N184" s="64"/>
      <c r="O184" s="64"/>
      <c r="P184" s="64"/>
      <c r="Q184" s="64"/>
      <c r="R184" s="64"/>
      <c r="S184" s="64"/>
      <c r="T184" s="64"/>
      <c r="U184" s="78"/>
      <c r="V184" s="64"/>
      <c r="W184" s="79"/>
      <c r="X184" s="64"/>
      <c r="Y184" s="64"/>
      <c r="Z184" s="64"/>
      <c r="AA184" s="64"/>
      <c r="AB184" s="64"/>
      <c r="AC184" s="64"/>
      <c r="AD184" s="64"/>
      <c r="AE184" s="64"/>
    </row>
    <row r="185" spans="1:31" ht="17.25" customHeight="1">
      <c r="A185" s="79"/>
      <c r="B185" s="64"/>
      <c r="C185" s="64"/>
      <c r="D185" s="64"/>
      <c r="E185" s="64"/>
      <c r="F185" s="64"/>
      <c r="G185" s="64"/>
      <c r="H185" s="87"/>
      <c r="I185" s="64"/>
      <c r="J185" s="64"/>
      <c r="K185" s="64"/>
      <c r="L185" s="64"/>
      <c r="M185" s="79"/>
      <c r="N185" s="64"/>
      <c r="O185" s="64"/>
      <c r="P185" s="64"/>
      <c r="Q185" s="64"/>
      <c r="R185" s="64"/>
      <c r="S185" s="64"/>
      <c r="T185" s="64"/>
      <c r="U185" s="78"/>
      <c r="V185" s="64"/>
      <c r="W185" s="79"/>
      <c r="X185" s="64"/>
      <c r="Y185" s="64"/>
      <c r="Z185" s="64"/>
      <c r="AA185" s="64"/>
      <c r="AB185" s="64"/>
      <c r="AC185" s="64"/>
      <c r="AD185" s="64"/>
      <c r="AE185" s="64"/>
    </row>
    <row r="186" spans="1:31" ht="17.25" customHeight="1">
      <c r="A186" s="79"/>
      <c r="B186" s="64"/>
      <c r="C186" s="64"/>
      <c r="D186" s="64"/>
      <c r="E186" s="64"/>
      <c r="F186" s="64"/>
      <c r="G186" s="64"/>
      <c r="H186" s="87"/>
      <c r="I186" s="64"/>
      <c r="J186" s="64"/>
      <c r="K186" s="64"/>
      <c r="L186" s="64"/>
      <c r="M186" s="79"/>
      <c r="N186" s="64"/>
      <c r="O186" s="64"/>
      <c r="P186" s="64"/>
      <c r="Q186" s="64"/>
      <c r="R186" s="64"/>
      <c r="S186" s="64"/>
      <c r="T186" s="64"/>
      <c r="U186" s="78"/>
      <c r="V186" s="64"/>
      <c r="W186" s="79"/>
      <c r="X186" s="64"/>
      <c r="Y186" s="64"/>
      <c r="Z186" s="64"/>
      <c r="AA186" s="64"/>
      <c r="AB186" s="64"/>
      <c r="AC186" s="64"/>
      <c r="AD186" s="64"/>
      <c r="AE186" s="64"/>
    </row>
    <row r="187" spans="1:31" ht="17.25" customHeight="1">
      <c r="A187" s="79"/>
      <c r="B187" s="64"/>
      <c r="C187" s="64"/>
      <c r="D187" s="64"/>
      <c r="E187" s="64"/>
      <c r="F187" s="64"/>
      <c r="G187" s="64"/>
      <c r="H187" s="87"/>
      <c r="I187" s="64"/>
      <c r="J187" s="64"/>
      <c r="K187" s="64"/>
      <c r="L187" s="64"/>
      <c r="M187" s="79"/>
      <c r="N187" s="64"/>
      <c r="O187" s="64"/>
      <c r="P187" s="64"/>
      <c r="Q187" s="64"/>
      <c r="R187" s="64"/>
      <c r="S187" s="64"/>
      <c r="T187" s="64"/>
      <c r="U187" s="78"/>
      <c r="V187" s="64"/>
      <c r="W187" s="79"/>
      <c r="X187" s="64"/>
      <c r="Y187" s="64"/>
      <c r="Z187" s="64"/>
      <c r="AA187" s="64"/>
      <c r="AB187" s="64"/>
      <c r="AC187" s="64"/>
      <c r="AD187" s="64"/>
      <c r="AE187" s="64"/>
    </row>
    <row r="188" spans="1:31" ht="17.25" customHeight="1">
      <c r="A188" s="79"/>
      <c r="B188" s="64"/>
      <c r="C188" s="64"/>
      <c r="D188" s="64"/>
      <c r="E188" s="64"/>
      <c r="F188" s="64"/>
      <c r="G188" s="64"/>
      <c r="H188" s="87"/>
      <c r="I188" s="64"/>
      <c r="J188" s="64"/>
      <c r="K188" s="64"/>
      <c r="L188" s="64"/>
      <c r="M188" s="79"/>
      <c r="N188" s="64"/>
      <c r="O188" s="64"/>
      <c r="P188" s="64"/>
      <c r="Q188" s="64"/>
      <c r="R188" s="64"/>
      <c r="S188" s="64"/>
      <c r="T188" s="64"/>
      <c r="U188" s="78"/>
      <c r="V188" s="64"/>
      <c r="W188" s="79"/>
      <c r="X188" s="64"/>
      <c r="Y188" s="64"/>
      <c r="Z188" s="64"/>
      <c r="AA188" s="64"/>
      <c r="AB188" s="64"/>
      <c r="AC188" s="64"/>
      <c r="AD188" s="64"/>
      <c r="AE188" s="64"/>
    </row>
    <row r="189" spans="1:31" ht="17.25" customHeight="1">
      <c r="A189" s="79"/>
      <c r="B189" s="64"/>
      <c r="C189" s="64"/>
      <c r="D189" s="64"/>
      <c r="E189" s="64"/>
      <c r="F189" s="64"/>
      <c r="G189" s="64"/>
      <c r="H189" s="87"/>
      <c r="I189" s="64"/>
      <c r="J189" s="64"/>
      <c r="K189" s="64"/>
      <c r="L189" s="64"/>
      <c r="M189" s="79"/>
      <c r="N189" s="64"/>
      <c r="O189" s="64"/>
      <c r="P189" s="64"/>
      <c r="Q189" s="64"/>
      <c r="R189" s="64"/>
      <c r="S189" s="64"/>
      <c r="T189" s="64"/>
      <c r="U189" s="78"/>
      <c r="V189" s="64"/>
      <c r="W189" s="79"/>
      <c r="X189" s="64"/>
      <c r="Y189" s="64"/>
      <c r="Z189" s="64"/>
      <c r="AA189" s="64"/>
      <c r="AB189" s="64"/>
      <c r="AC189" s="64"/>
      <c r="AD189" s="64"/>
      <c r="AE189" s="64"/>
    </row>
    <row r="190" spans="1:31" ht="17.25" customHeight="1">
      <c r="A190" s="79"/>
      <c r="B190" s="64"/>
      <c r="C190" s="64"/>
      <c r="D190" s="64"/>
      <c r="E190" s="64"/>
      <c r="F190" s="64"/>
      <c r="G190" s="64"/>
      <c r="H190" s="87"/>
      <c r="I190" s="64"/>
      <c r="J190" s="64"/>
      <c r="K190" s="64"/>
      <c r="L190" s="64"/>
      <c r="M190" s="79"/>
      <c r="N190" s="64"/>
      <c r="O190" s="64"/>
      <c r="P190" s="64"/>
      <c r="Q190" s="64"/>
      <c r="R190" s="64"/>
      <c r="S190" s="64"/>
      <c r="T190" s="64"/>
      <c r="U190" s="78"/>
      <c r="V190" s="64"/>
      <c r="W190" s="79"/>
      <c r="X190" s="64"/>
      <c r="Y190" s="64"/>
      <c r="Z190" s="64"/>
      <c r="AA190" s="64"/>
      <c r="AB190" s="64"/>
      <c r="AC190" s="64"/>
      <c r="AD190" s="64"/>
      <c r="AE190" s="64"/>
    </row>
    <row r="191" spans="1:31" ht="17.25" customHeight="1">
      <c r="A191" s="79"/>
      <c r="B191" s="64"/>
      <c r="C191" s="64"/>
      <c r="D191" s="64"/>
      <c r="E191" s="64"/>
      <c r="F191" s="64"/>
      <c r="G191" s="64"/>
      <c r="H191" s="87"/>
      <c r="I191" s="64"/>
      <c r="J191" s="64"/>
      <c r="K191" s="64"/>
      <c r="L191" s="64"/>
      <c r="M191" s="79"/>
      <c r="N191" s="64"/>
      <c r="O191" s="64"/>
      <c r="P191" s="64"/>
      <c r="Q191" s="64"/>
      <c r="R191" s="64"/>
      <c r="S191" s="64"/>
      <c r="T191" s="64"/>
      <c r="U191" s="78"/>
      <c r="V191" s="64"/>
      <c r="W191" s="79"/>
      <c r="X191" s="64"/>
      <c r="Y191" s="64"/>
      <c r="Z191" s="64"/>
      <c r="AA191" s="64"/>
      <c r="AB191" s="64"/>
      <c r="AC191" s="64"/>
      <c r="AD191" s="64"/>
      <c r="AE191" s="64"/>
    </row>
    <row r="192" spans="1:31" ht="17.25" customHeight="1">
      <c r="A192" s="79"/>
      <c r="B192" s="64"/>
      <c r="C192" s="64"/>
      <c r="D192" s="64"/>
      <c r="E192" s="64"/>
      <c r="F192" s="64"/>
      <c r="G192" s="64"/>
      <c r="H192" s="87"/>
      <c r="I192" s="64"/>
      <c r="J192" s="64"/>
      <c r="K192" s="64"/>
      <c r="L192" s="64"/>
      <c r="M192" s="79"/>
      <c r="N192" s="64"/>
      <c r="O192" s="64"/>
      <c r="P192" s="64"/>
      <c r="Q192" s="64"/>
      <c r="R192" s="64"/>
      <c r="S192" s="64"/>
      <c r="T192" s="64"/>
      <c r="U192" s="78"/>
      <c r="V192" s="64"/>
      <c r="W192" s="79"/>
      <c r="X192" s="64"/>
      <c r="Y192" s="64"/>
      <c r="Z192" s="64"/>
      <c r="AA192" s="64"/>
      <c r="AB192" s="64"/>
      <c r="AC192" s="64"/>
      <c r="AD192" s="64"/>
      <c r="AE192" s="64"/>
    </row>
    <row r="193" spans="1:31" ht="17.25" customHeight="1">
      <c r="A193" s="79"/>
      <c r="B193" s="64"/>
      <c r="C193" s="64"/>
      <c r="D193" s="64"/>
      <c r="E193" s="64"/>
      <c r="F193" s="64"/>
      <c r="G193" s="64"/>
      <c r="H193" s="87"/>
      <c r="I193" s="64"/>
      <c r="J193" s="64"/>
      <c r="K193" s="64"/>
      <c r="L193" s="64"/>
      <c r="M193" s="79"/>
      <c r="N193" s="64"/>
      <c r="O193" s="64"/>
      <c r="P193" s="64"/>
      <c r="Q193" s="64"/>
      <c r="R193" s="64"/>
      <c r="S193" s="64"/>
      <c r="T193" s="64"/>
      <c r="U193" s="78"/>
      <c r="V193" s="64"/>
      <c r="W193" s="79"/>
      <c r="X193" s="64"/>
      <c r="Y193" s="64"/>
      <c r="Z193" s="64"/>
      <c r="AA193" s="64"/>
      <c r="AB193" s="64"/>
      <c r="AC193" s="64"/>
      <c r="AD193" s="64"/>
      <c r="AE193" s="64"/>
    </row>
    <row r="194" spans="1:31" ht="17.25" customHeight="1">
      <c r="A194" s="79"/>
      <c r="B194" s="64"/>
      <c r="C194" s="64"/>
      <c r="D194" s="64"/>
      <c r="E194" s="64"/>
      <c r="F194" s="64"/>
      <c r="G194" s="64"/>
      <c r="H194" s="87"/>
      <c r="I194" s="64"/>
      <c r="J194" s="64"/>
      <c r="K194" s="64"/>
      <c r="L194" s="64"/>
      <c r="M194" s="79"/>
      <c r="N194" s="64"/>
      <c r="O194" s="64"/>
      <c r="P194" s="64"/>
      <c r="Q194" s="64"/>
      <c r="R194" s="64"/>
      <c r="S194" s="64"/>
      <c r="T194" s="64"/>
      <c r="U194" s="78"/>
      <c r="V194" s="64"/>
      <c r="W194" s="79"/>
      <c r="X194" s="64"/>
      <c r="Y194" s="64"/>
      <c r="Z194" s="64"/>
      <c r="AA194" s="64"/>
      <c r="AB194" s="64"/>
      <c r="AC194" s="64"/>
      <c r="AD194" s="64"/>
      <c r="AE194" s="64"/>
    </row>
    <row r="195" spans="1:31" ht="17.25" customHeight="1">
      <c r="A195" s="79"/>
      <c r="B195" s="64"/>
      <c r="C195" s="64"/>
      <c r="D195" s="64"/>
      <c r="E195" s="64"/>
      <c r="F195" s="64"/>
      <c r="G195" s="64"/>
      <c r="H195" s="87"/>
      <c r="I195" s="64"/>
      <c r="J195" s="64"/>
      <c r="K195" s="64"/>
      <c r="L195" s="64"/>
      <c r="M195" s="79"/>
      <c r="N195" s="64"/>
      <c r="O195" s="64"/>
      <c r="P195" s="64"/>
      <c r="Q195" s="64"/>
      <c r="R195" s="64"/>
      <c r="S195" s="64"/>
      <c r="T195" s="64"/>
      <c r="U195" s="78"/>
      <c r="V195" s="64"/>
      <c r="W195" s="79"/>
      <c r="X195" s="64"/>
      <c r="Y195" s="64"/>
      <c r="Z195" s="64"/>
      <c r="AA195" s="64"/>
      <c r="AB195" s="64"/>
      <c r="AC195" s="64"/>
      <c r="AD195" s="64"/>
      <c r="AE195" s="64"/>
    </row>
    <row r="196" spans="1:31" ht="17.25" customHeight="1">
      <c r="A196" s="79"/>
      <c r="B196" s="64"/>
      <c r="C196" s="64"/>
      <c r="D196" s="64"/>
      <c r="E196" s="64"/>
      <c r="F196" s="64"/>
      <c r="G196" s="64"/>
      <c r="H196" s="87"/>
      <c r="I196" s="64"/>
      <c r="J196" s="64"/>
      <c r="K196" s="64"/>
      <c r="L196" s="64"/>
      <c r="M196" s="79"/>
      <c r="N196" s="64"/>
      <c r="O196" s="64"/>
      <c r="P196" s="64"/>
      <c r="Q196" s="64"/>
      <c r="R196" s="64"/>
      <c r="S196" s="64"/>
      <c r="T196" s="64"/>
      <c r="U196" s="78"/>
      <c r="V196" s="64"/>
      <c r="W196" s="79"/>
      <c r="X196" s="64"/>
      <c r="Y196" s="64"/>
      <c r="Z196" s="64"/>
      <c r="AA196" s="64"/>
      <c r="AB196" s="64"/>
      <c r="AC196" s="64"/>
      <c r="AD196" s="64"/>
      <c r="AE196" s="64"/>
    </row>
    <row r="197" spans="1:31" ht="17.25" customHeight="1">
      <c r="A197" s="79"/>
      <c r="B197" s="64"/>
      <c r="C197" s="64"/>
      <c r="D197" s="64"/>
      <c r="E197" s="64"/>
      <c r="F197" s="64"/>
      <c r="G197" s="64"/>
      <c r="H197" s="87"/>
      <c r="I197" s="64"/>
      <c r="J197" s="64"/>
      <c r="K197" s="64"/>
      <c r="L197" s="64"/>
      <c r="M197" s="79"/>
      <c r="N197" s="64"/>
      <c r="O197" s="64"/>
      <c r="P197" s="64"/>
      <c r="Q197" s="64"/>
      <c r="R197" s="64"/>
      <c r="S197" s="64"/>
      <c r="T197" s="64"/>
      <c r="U197" s="78"/>
      <c r="V197" s="64"/>
      <c r="W197" s="79"/>
      <c r="X197" s="64"/>
      <c r="Y197" s="64"/>
      <c r="Z197" s="64"/>
      <c r="AA197" s="64"/>
      <c r="AB197" s="64"/>
      <c r="AC197" s="64"/>
      <c r="AD197" s="64"/>
      <c r="AE197" s="64"/>
    </row>
    <row r="198" spans="1:31" ht="17.25" customHeight="1">
      <c r="A198" s="79"/>
      <c r="B198" s="64"/>
      <c r="C198" s="64"/>
      <c r="D198" s="64"/>
      <c r="E198" s="64"/>
      <c r="F198" s="64"/>
      <c r="G198" s="64"/>
      <c r="H198" s="87"/>
      <c r="I198" s="64"/>
      <c r="J198" s="64"/>
      <c r="K198" s="64"/>
      <c r="L198" s="64"/>
      <c r="M198" s="79"/>
      <c r="N198" s="64"/>
      <c r="O198" s="64"/>
      <c r="P198" s="64"/>
      <c r="Q198" s="64"/>
      <c r="R198" s="64"/>
      <c r="S198" s="64"/>
      <c r="T198" s="64"/>
      <c r="U198" s="78"/>
      <c r="V198" s="64"/>
      <c r="W198" s="79"/>
      <c r="X198" s="64"/>
      <c r="Y198" s="64"/>
      <c r="Z198" s="64"/>
      <c r="AA198" s="64"/>
      <c r="AB198" s="64"/>
      <c r="AC198" s="64"/>
      <c r="AD198" s="64"/>
      <c r="AE198" s="64"/>
    </row>
    <row r="199" spans="1:31" ht="17.25" customHeight="1">
      <c r="A199" s="79"/>
      <c r="B199" s="64"/>
      <c r="C199" s="64"/>
      <c r="D199" s="64"/>
      <c r="E199" s="64"/>
      <c r="F199" s="64"/>
      <c r="G199" s="64"/>
      <c r="H199" s="87"/>
      <c r="I199" s="64"/>
      <c r="J199" s="64"/>
      <c r="K199" s="64"/>
      <c r="L199" s="64"/>
      <c r="M199" s="79"/>
      <c r="N199" s="64"/>
      <c r="O199" s="64"/>
      <c r="P199" s="64"/>
      <c r="Q199" s="64"/>
      <c r="R199" s="64"/>
      <c r="S199" s="64"/>
      <c r="T199" s="64"/>
      <c r="U199" s="78"/>
      <c r="V199" s="64"/>
      <c r="W199" s="79"/>
      <c r="X199" s="64"/>
      <c r="Y199" s="64"/>
      <c r="Z199" s="64"/>
      <c r="AA199" s="64"/>
      <c r="AB199" s="64"/>
      <c r="AC199" s="64"/>
      <c r="AD199" s="64"/>
      <c r="AE199" s="64"/>
    </row>
    <row r="200" spans="1:31" ht="17.25" customHeight="1">
      <c r="A200" s="79"/>
      <c r="B200" s="64"/>
      <c r="C200" s="64"/>
      <c r="D200" s="64"/>
      <c r="E200" s="64"/>
      <c r="F200" s="64"/>
      <c r="G200" s="64"/>
      <c r="H200" s="87"/>
      <c r="I200" s="64"/>
      <c r="J200" s="64"/>
      <c r="K200" s="64"/>
      <c r="L200" s="64"/>
      <c r="M200" s="79"/>
      <c r="N200" s="64"/>
      <c r="O200" s="64"/>
      <c r="P200" s="64"/>
      <c r="Q200" s="64"/>
      <c r="R200" s="64"/>
      <c r="S200" s="64"/>
      <c r="T200" s="64"/>
      <c r="U200" s="78"/>
      <c r="V200" s="64"/>
      <c r="W200" s="79"/>
      <c r="X200" s="64"/>
      <c r="Y200" s="64"/>
      <c r="Z200" s="64"/>
      <c r="AA200" s="64"/>
      <c r="AB200" s="64"/>
      <c r="AC200" s="64"/>
      <c r="AD200" s="64"/>
      <c r="AE200" s="64"/>
    </row>
    <row r="201" spans="1:31" ht="17.25" customHeight="1">
      <c r="A201" s="79"/>
      <c r="B201" s="64"/>
      <c r="C201" s="64"/>
      <c r="D201" s="64"/>
      <c r="E201" s="64"/>
      <c r="F201" s="64"/>
      <c r="G201" s="64"/>
      <c r="H201" s="87"/>
      <c r="I201" s="64"/>
      <c r="J201" s="64"/>
      <c r="K201" s="64"/>
      <c r="L201" s="64"/>
      <c r="M201" s="79"/>
      <c r="N201" s="64"/>
      <c r="O201" s="64"/>
      <c r="P201" s="64"/>
      <c r="Q201" s="64"/>
      <c r="R201" s="64"/>
      <c r="S201" s="64"/>
      <c r="T201" s="64"/>
      <c r="U201" s="78"/>
      <c r="V201" s="64"/>
      <c r="W201" s="79"/>
      <c r="X201" s="64"/>
      <c r="Y201" s="64"/>
      <c r="Z201" s="64"/>
      <c r="AA201" s="64"/>
      <c r="AB201" s="64"/>
      <c r="AC201" s="64"/>
      <c r="AD201" s="64"/>
      <c r="AE201" s="64"/>
    </row>
    <row r="202" spans="1:31" ht="17.25" customHeight="1">
      <c r="A202" s="79"/>
      <c r="B202" s="64"/>
      <c r="C202" s="64"/>
      <c r="D202" s="64"/>
      <c r="E202" s="64"/>
      <c r="F202" s="64"/>
      <c r="G202" s="64"/>
      <c r="H202" s="87"/>
      <c r="I202" s="64"/>
      <c r="J202" s="64"/>
      <c r="K202" s="64"/>
      <c r="L202" s="64"/>
      <c r="M202" s="79"/>
      <c r="N202" s="64"/>
      <c r="O202" s="64"/>
      <c r="P202" s="64"/>
      <c r="Q202" s="64"/>
      <c r="R202" s="64"/>
      <c r="S202" s="64"/>
      <c r="T202" s="64"/>
      <c r="U202" s="78"/>
      <c r="V202" s="64"/>
      <c r="W202" s="79"/>
      <c r="X202" s="64"/>
      <c r="Y202" s="64"/>
      <c r="Z202" s="64"/>
      <c r="AA202" s="64"/>
      <c r="AB202" s="64"/>
      <c r="AC202" s="64"/>
      <c r="AD202" s="64"/>
      <c r="AE202" s="64"/>
    </row>
    <row r="203" spans="1:31" ht="17.25" customHeight="1">
      <c r="A203" s="79"/>
      <c r="B203" s="64"/>
      <c r="C203" s="64"/>
      <c r="D203" s="64"/>
      <c r="E203" s="64"/>
      <c r="F203" s="64"/>
      <c r="G203" s="64"/>
      <c r="H203" s="87"/>
      <c r="I203" s="64"/>
      <c r="J203" s="64"/>
      <c r="K203" s="64"/>
      <c r="L203" s="64"/>
      <c r="M203" s="79"/>
      <c r="N203" s="64"/>
      <c r="O203" s="64"/>
      <c r="P203" s="64"/>
      <c r="Q203" s="64"/>
      <c r="R203" s="64"/>
      <c r="S203" s="64"/>
      <c r="T203" s="64"/>
      <c r="U203" s="78"/>
      <c r="V203" s="64"/>
      <c r="W203" s="79"/>
      <c r="X203" s="64"/>
      <c r="Y203" s="64"/>
      <c r="Z203" s="64"/>
      <c r="AA203" s="64"/>
      <c r="AB203" s="64"/>
      <c r="AC203" s="64"/>
      <c r="AD203" s="64"/>
      <c r="AE203" s="64"/>
    </row>
    <row r="204" spans="1:31" ht="17.25" customHeight="1">
      <c r="A204" s="79"/>
      <c r="B204" s="64"/>
      <c r="C204" s="64"/>
      <c r="D204" s="64"/>
      <c r="E204" s="64"/>
      <c r="F204" s="64"/>
      <c r="G204" s="64"/>
      <c r="H204" s="87"/>
      <c r="I204" s="64"/>
      <c r="J204" s="64"/>
      <c r="K204" s="64"/>
      <c r="L204" s="64"/>
      <c r="M204" s="79"/>
      <c r="N204" s="64"/>
      <c r="O204" s="64"/>
      <c r="P204" s="64"/>
      <c r="Q204" s="64"/>
      <c r="R204" s="64"/>
      <c r="S204" s="64"/>
      <c r="T204" s="64"/>
      <c r="U204" s="78"/>
      <c r="V204" s="64"/>
      <c r="W204" s="79"/>
      <c r="X204" s="64"/>
      <c r="Y204" s="64"/>
      <c r="Z204" s="64"/>
      <c r="AA204" s="64"/>
      <c r="AB204" s="64"/>
      <c r="AC204" s="64"/>
      <c r="AD204" s="64"/>
      <c r="AE204" s="64"/>
    </row>
    <row r="205" spans="1:31" ht="17.25" customHeight="1">
      <c r="A205" s="79"/>
      <c r="B205" s="64"/>
      <c r="C205" s="64"/>
      <c r="D205" s="64"/>
      <c r="E205" s="64"/>
      <c r="F205" s="64"/>
      <c r="G205" s="64"/>
      <c r="H205" s="87"/>
      <c r="I205" s="64"/>
      <c r="J205" s="64"/>
      <c r="K205" s="64"/>
      <c r="L205" s="64"/>
      <c r="M205" s="79"/>
      <c r="N205" s="64"/>
      <c r="O205" s="64"/>
      <c r="P205" s="64"/>
      <c r="Q205" s="64"/>
      <c r="R205" s="64"/>
      <c r="S205" s="64"/>
      <c r="T205" s="64"/>
      <c r="U205" s="78"/>
      <c r="V205" s="64"/>
      <c r="W205" s="79"/>
      <c r="X205" s="64"/>
      <c r="Y205" s="64"/>
      <c r="Z205" s="64"/>
      <c r="AA205" s="64"/>
      <c r="AB205" s="64"/>
      <c r="AC205" s="64"/>
      <c r="AD205" s="64"/>
      <c r="AE205" s="64"/>
    </row>
    <row r="206" spans="1:31" ht="17.25" customHeight="1">
      <c r="A206" s="79"/>
      <c r="B206" s="64"/>
      <c r="C206" s="64"/>
      <c r="D206" s="64"/>
      <c r="E206" s="64"/>
      <c r="F206" s="64"/>
      <c r="G206" s="64"/>
      <c r="H206" s="87"/>
      <c r="I206" s="64"/>
      <c r="J206" s="64"/>
      <c r="K206" s="64"/>
      <c r="L206" s="64"/>
      <c r="M206" s="79"/>
      <c r="N206" s="64"/>
      <c r="O206" s="64"/>
      <c r="P206" s="64"/>
      <c r="Q206" s="64"/>
      <c r="R206" s="64"/>
      <c r="S206" s="64"/>
      <c r="T206" s="64"/>
      <c r="U206" s="78"/>
      <c r="V206" s="64"/>
      <c r="W206" s="79"/>
      <c r="X206" s="64"/>
      <c r="Y206" s="64"/>
      <c r="Z206" s="64"/>
      <c r="AA206" s="64"/>
      <c r="AB206" s="64"/>
      <c r="AC206" s="64"/>
      <c r="AD206" s="64"/>
      <c r="AE206" s="64"/>
    </row>
    <row r="207" spans="1:31" ht="17.25" customHeight="1">
      <c r="A207" s="79"/>
      <c r="B207" s="64"/>
      <c r="C207" s="64"/>
      <c r="D207" s="64"/>
      <c r="E207" s="64"/>
      <c r="F207" s="64"/>
      <c r="G207" s="64"/>
      <c r="H207" s="87"/>
      <c r="I207" s="64"/>
      <c r="J207" s="64"/>
      <c r="K207" s="64"/>
      <c r="L207" s="64"/>
      <c r="M207" s="79"/>
      <c r="N207" s="64"/>
      <c r="O207" s="64"/>
      <c r="P207" s="64"/>
      <c r="Q207" s="64"/>
      <c r="R207" s="64"/>
      <c r="S207" s="64"/>
      <c r="T207" s="64"/>
      <c r="U207" s="78"/>
      <c r="V207" s="64"/>
      <c r="W207" s="79"/>
      <c r="X207" s="64"/>
      <c r="Y207" s="64"/>
      <c r="Z207" s="64"/>
      <c r="AA207" s="64"/>
      <c r="AB207" s="64"/>
      <c r="AC207" s="64"/>
      <c r="AD207" s="64"/>
      <c r="AE207" s="64"/>
    </row>
    <row r="208" spans="1:31" ht="17.25" customHeight="1">
      <c r="A208" s="79"/>
      <c r="B208" s="64"/>
      <c r="C208" s="64"/>
      <c r="D208" s="64"/>
      <c r="E208" s="64"/>
      <c r="F208" s="64"/>
      <c r="G208" s="64"/>
      <c r="H208" s="87"/>
      <c r="I208" s="64"/>
      <c r="J208" s="64"/>
      <c r="K208" s="64"/>
      <c r="L208" s="64"/>
      <c r="M208" s="79"/>
      <c r="N208" s="64"/>
      <c r="O208" s="64"/>
      <c r="P208" s="64"/>
      <c r="Q208" s="64"/>
      <c r="R208" s="64"/>
      <c r="S208" s="64"/>
      <c r="T208" s="64"/>
      <c r="U208" s="78"/>
      <c r="V208" s="64"/>
      <c r="W208" s="79"/>
      <c r="X208" s="64"/>
      <c r="Y208" s="64"/>
      <c r="Z208" s="64"/>
      <c r="AA208" s="64"/>
      <c r="AB208" s="64"/>
      <c r="AC208" s="64"/>
      <c r="AD208" s="64"/>
      <c r="AE208" s="64"/>
    </row>
    <row r="209" spans="1:31" ht="17.25" customHeight="1">
      <c r="A209" s="79"/>
      <c r="B209" s="64"/>
      <c r="C209" s="64"/>
      <c r="D209" s="64"/>
      <c r="E209" s="64"/>
      <c r="F209" s="64"/>
      <c r="G209" s="64"/>
      <c r="H209" s="87"/>
      <c r="I209" s="64"/>
      <c r="J209" s="64"/>
      <c r="K209" s="64"/>
      <c r="L209" s="64"/>
      <c r="M209" s="79"/>
      <c r="N209" s="64"/>
      <c r="O209" s="64"/>
      <c r="P209" s="64"/>
      <c r="Q209" s="64"/>
      <c r="R209" s="64"/>
      <c r="S209" s="64"/>
      <c r="T209" s="64"/>
      <c r="U209" s="78"/>
      <c r="V209" s="64"/>
      <c r="W209" s="79"/>
      <c r="X209" s="64"/>
      <c r="Y209" s="64"/>
      <c r="Z209" s="64"/>
      <c r="AA209" s="64"/>
      <c r="AB209" s="64"/>
      <c r="AC209" s="64"/>
      <c r="AD209" s="64"/>
      <c r="AE209" s="64"/>
    </row>
    <row r="210" spans="1:31" ht="17.25" customHeight="1">
      <c r="A210" s="79"/>
      <c r="B210" s="64"/>
      <c r="C210" s="64"/>
      <c r="D210" s="64"/>
      <c r="E210" s="64"/>
      <c r="F210" s="64"/>
      <c r="G210" s="64"/>
      <c r="H210" s="87"/>
      <c r="I210" s="64"/>
      <c r="J210" s="64"/>
      <c r="K210" s="64"/>
      <c r="L210" s="64"/>
      <c r="M210" s="79"/>
      <c r="N210" s="64"/>
      <c r="O210" s="64"/>
      <c r="P210" s="64"/>
      <c r="Q210" s="64"/>
      <c r="R210" s="64"/>
      <c r="S210" s="64"/>
      <c r="T210" s="64"/>
      <c r="U210" s="78"/>
      <c r="V210" s="64"/>
      <c r="W210" s="79"/>
      <c r="X210" s="64"/>
      <c r="Y210" s="64"/>
      <c r="Z210" s="64"/>
      <c r="AA210" s="64"/>
      <c r="AB210" s="64"/>
      <c r="AC210" s="64"/>
      <c r="AD210" s="64"/>
      <c r="AE210" s="64"/>
    </row>
    <row r="211" spans="1:31" ht="17.25" customHeight="1">
      <c r="A211" s="79"/>
      <c r="B211" s="64"/>
      <c r="C211" s="64"/>
      <c r="D211" s="64"/>
      <c r="E211" s="64"/>
      <c r="F211" s="64"/>
      <c r="G211" s="64"/>
      <c r="H211" s="87"/>
      <c r="I211" s="64"/>
      <c r="J211" s="64"/>
      <c r="K211" s="64"/>
      <c r="L211" s="64"/>
      <c r="M211" s="79"/>
      <c r="N211" s="64"/>
      <c r="O211" s="64"/>
      <c r="P211" s="64"/>
      <c r="Q211" s="64"/>
      <c r="R211" s="64"/>
      <c r="S211" s="64"/>
      <c r="T211" s="64"/>
      <c r="U211" s="78"/>
      <c r="V211" s="64"/>
      <c r="W211" s="79"/>
      <c r="X211" s="64"/>
      <c r="Y211" s="64"/>
      <c r="Z211" s="64"/>
      <c r="AA211" s="64"/>
      <c r="AB211" s="64"/>
      <c r="AC211" s="64"/>
      <c r="AD211" s="64"/>
      <c r="AE211" s="64"/>
    </row>
    <row r="212" spans="1:31" ht="17.25" customHeight="1">
      <c r="A212" s="79"/>
      <c r="B212" s="64"/>
      <c r="C212" s="64"/>
      <c r="D212" s="64"/>
      <c r="E212" s="64"/>
      <c r="F212" s="64"/>
      <c r="G212" s="64"/>
      <c r="H212" s="87"/>
      <c r="I212" s="64"/>
      <c r="J212" s="64"/>
      <c r="K212" s="64"/>
      <c r="L212" s="64"/>
      <c r="M212" s="79"/>
      <c r="N212" s="64"/>
      <c r="O212" s="64"/>
      <c r="P212" s="64"/>
      <c r="Q212" s="64"/>
      <c r="R212" s="64"/>
      <c r="S212" s="64"/>
      <c r="T212" s="64"/>
      <c r="U212" s="78"/>
      <c r="V212" s="64"/>
      <c r="W212" s="79"/>
      <c r="X212" s="64"/>
      <c r="Y212" s="64"/>
      <c r="Z212" s="64"/>
      <c r="AA212" s="64"/>
      <c r="AB212" s="64"/>
      <c r="AC212" s="64"/>
      <c r="AD212" s="64"/>
      <c r="AE212" s="64"/>
    </row>
    <row r="213" spans="1:31" ht="17.25" customHeight="1">
      <c r="A213" s="79"/>
      <c r="B213" s="64"/>
      <c r="C213" s="64"/>
      <c r="D213" s="64"/>
      <c r="E213" s="64"/>
      <c r="F213" s="64"/>
      <c r="G213" s="64"/>
      <c r="H213" s="87"/>
      <c r="I213" s="64"/>
      <c r="J213" s="64"/>
      <c r="K213" s="64"/>
      <c r="L213" s="64"/>
      <c r="M213" s="79"/>
      <c r="N213" s="64"/>
      <c r="O213" s="64"/>
      <c r="P213" s="64"/>
      <c r="Q213" s="64"/>
      <c r="R213" s="64"/>
      <c r="S213" s="64"/>
      <c r="T213" s="64"/>
      <c r="U213" s="78"/>
      <c r="V213" s="64"/>
      <c r="W213" s="79"/>
      <c r="X213" s="64"/>
      <c r="Y213" s="64"/>
      <c r="Z213" s="64"/>
      <c r="AA213" s="64"/>
      <c r="AB213" s="64"/>
      <c r="AC213" s="64"/>
      <c r="AD213" s="64"/>
      <c r="AE213" s="64"/>
    </row>
    <row r="214" spans="1:31" ht="17.25" customHeight="1">
      <c r="A214" s="79"/>
      <c r="B214" s="64"/>
      <c r="C214" s="64"/>
      <c r="D214" s="64"/>
      <c r="E214" s="64"/>
      <c r="F214" s="64"/>
      <c r="G214" s="64"/>
      <c r="H214" s="87"/>
      <c r="I214" s="64"/>
      <c r="J214" s="64"/>
      <c r="K214" s="64"/>
      <c r="L214" s="64"/>
      <c r="M214" s="79"/>
      <c r="N214" s="64"/>
      <c r="O214" s="64"/>
      <c r="P214" s="64"/>
      <c r="Q214" s="64"/>
      <c r="R214" s="64"/>
      <c r="S214" s="64"/>
      <c r="T214" s="64"/>
      <c r="U214" s="78"/>
      <c r="V214" s="64"/>
      <c r="W214" s="79"/>
      <c r="X214" s="64"/>
      <c r="Y214" s="64"/>
      <c r="Z214" s="64"/>
      <c r="AA214" s="64"/>
      <c r="AB214" s="64"/>
      <c r="AC214" s="64"/>
      <c r="AD214" s="64"/>
      <c r="AE214" s="64"/>
    </row>
    <row r="215" spans="1:31" ht="17.25" customHeight="1">
      <c r="A215" s="79"/>
      <c r="B215" s="64"/>
      <c r="C215" s="64"/>
      <c r="D215" s="64"/>
      <c r="E215" s="64"/>
      <c r="F215" s="64"/>
      <c r="G215" s="64"/>
      <c r="H215" s="87"/>
      <c r="I215" s="64"/>
      <c r="J215" s="64"/>
      <c r="K215" s="64"/>
      <c r="L215" s="64"/>
      <c r="M215" s="79"/>
      <c r="N215" s="64"/>
      <c r="O215" s="64"/>
      <c r="P215" s="64"/>
      <c r="Q215" s="64"/>
      <c r="R215" s="64"/>
      <c r="S215" s="64"/>
      <c r="T215" s="64"/>
      <c r="U215" s="78"/>
      <c r="V215" s="64"/>
      <c r="W215" s="79"/>
      <c r="X215" s="64"/>
      <c r="Y215" s="64"/>
      <c r="Z215" s="64"/>
      <c r="AA215" s="64"/>
      <c r="AB215" s="64"/>
      <c r="AC215" s="64"/>
      <c r="AD215" s="64"/>
      <c r="AE215" s="64"/>
    </row>
    <row r="216" spans="1:31" ht="17.25" customHeight="1">
      <c r="A216" s="79"/>
      <c r="B216" s="64"/>
      <c r="C216" s="64"/>
      <c r="D216" s="64"/>
      <c r="E216" s="64"/>
      <c r="F216" s="64"/>
      <c r="G216" s="64"/>
      <c r="H216" s="87"/>
      <c r="I216" s="64"/>
      <c r="J216" s="64"/>
      <c r="K216" s="64"/>
      <c r="L216" s="64"/>
      <c r="M216" s="79"/>
      <c r="N216" s="64"/>
      <c r="O216" s="64"/>
      <c r="P216" s="64"/>
      <c r="Q216" s="64"/>
      <c r="R216" s="64"/>
      <c r="S216" s="64"/>
      <c r="T216" s="64"/>
      <c r="U216" s="78"/>
      <c r="V216" s="64"/>
      <c r="W216" s="79"/>
      <c r="X216" s="64"/>
      <c r="Y216" s="64"/>
      <c r="Z216" s="64"/>
      <c r="AA216" s="64"/>
      <c r="AB216" s="64"/>
      <c r="AC216" s="64"/>
      <c r="AD216" s="64"/>
      <c r="AE216" s="64"/>
    </row>
    <row r="217" spans="1:31" ht="17.25" customHeight="1">
      <c r="A217" s="79"/>
      <c r="B217" s="64"/>
      <c r="C217" s="64"/>
      <c r="D217" s="64"/>
      <c r="E217" s="64"/>
      <c r="F217" s="64"/>
      <c r="G217" s="64"/>
      <c r="H217" s="87"/>
      <c r="I217" s="64"/>
      <c r="J217" s="64"/>
      <c r="K217" s="64"/>
      <c r="L217" s="64"/>
      <c r="M217" s="79"/>
      <c r="N217" s="64"/>
      <c r="O217" s="64"/>
      <c r="P217" s="64"/>
      <c r="Q217" s="64"/>
      <c r="R217" s="64"/>
      <c r="S217" s="64"/>
      <c r="T217" s="64"/>
      <c r="U217" s="78"/>
      <c r="V217" s="64"/>
      <c r="W217" s="79"/>
      <c r="X217" s="64"/>
      <c r="Y217" s="64"/>
      <c r="Z217" s="64"/>
      <c r="AA217" s="64"/>
      <c r="AB217" s="64"/>
      <c r="AC217" s="64"/>
      <c r="AD217" s="64"/>
      <c r="AE217" s="64"/>
    </row>
    <row r="218" spans="1:31" ht="17.25" customHeight="1">
      <c r="A218" s="79"/>
      <c r="B218" s="64"/>
      <c r="C218" s="64"/>
      <c r="D218" s="64"/>
      <c r="E218" s="64"/>
      <c r="F218" s="64"/>
      <c r="G218" s="64"/>
      <c r="H218" s="87"/>
      <c r="I218" s="64"/>
      <c r="J218" s="64"/>
      <c r="K218" s="64"/>
      <c r="L218" s="64"/>
      <c r="M218" s="79"/>
      <c r="N218" s="64"/>
      <c r="O218" s="64"/>
      <c r="P218" s="64"/>
      <c r="Q218" s="64"/>
      <c r="R218" s="64"/>
      <c r="S218" s="64"/>
      <c r="T218" s="64"/>
      <c r="U218" s="78"/>
      <c r="V218" s="64"/>
      <c r="W218" s="79"/>
      <c r="X218" s="64"/>
      <c r="Y218" s="64"/>
      <c r="Z218" s="64"/>
      <c r="AA218" s="64"/>
      <c r="AB218" s="64"/>
      <c r="AC218" s="64"/>
      <c r="AD218" s="64"/>
      <c r="AE218" s="64"/>
    </row>
    <row r="219" spans="1:31" ht="17.25" customHeight="1">
      <c r="A219" s="79"/>
      <c r="B219" s="64"/>
      <c r="C219" s="64"/>
      <c r="D219" s="64"/>
      <c r="E219" s="64"/>
      <c r="F219" s="64"/>
      <c r="G219" s="64"/>
      <c r="H219" s="87"/>
      <c r="I219" s="64"/>
      <c r="J219" s="64"/>
      <c r="K219" s="64"/>
      <c r="L219" s="64"/>
      <c r="M219" s="79"/>
      <c r="N219" s="64"/>
      <c r="O219" s="64"/>
      <c r="P219" s="64"/>
      <c r="Q219" s="64"/>
      <c r="R219" s="64"/>
      <c r="S219" s="64"/>
      <c r="T219" s="64"/>
      <c r="U219" s="78"/>
      <c r="V219" s="64"/>
      <c r="W219" s="79"/>
      <c r="X219" s="64"/>
      <c r="Y219" s="64"/>
      <c r="Z219" s="64"/>
      <c r="AA219" s="64"/>
      <c r="AB219" s="64"/>
      <c r="AC219" s="64"/>
      <c r="AD219" s="64"/>
      <c r="AE219" s="64"/>
    </row>
    <row r="220" spans="1:31" ht="17.25" customHeight="1">
      <c r="A220" s="79"/>
      <c r="B220" s="64"/>
      <c r="C220" s="64"/>
      <c r="D220" s="64"/>
      <c r="E220" s="64"/>
      <c r="F220" s="64"/>
      <c r="G220" s="64"/>
      <c r="H220" s="87"/>
      <c r="I220" s="64"/>
      <c r="J220" s="64"/>
      <c r="K220" s="64"/>
      <c r="L220" s="64"/>
      <c r="M220" s="79"/>
      <c r="N220" s="64"/>
      <c r="O220" s="64"/>
      <c r="P220" s="64"/>
      <c r="Q220" s="64"/>
      <c r="R220" s="64"/>
      <c r="S220" s="64"/>
      <c r="T220" s="64"/>
      <c r="U220" s="78"/>
      <c r="V220" s="64"/>
      <c r="W220" s="79"/>
      <c r="X220" s="64"/>
      <c r="Y220" s="64"/>
      <c r="Z220" s="64"/>
      <c r="AA220" s="64"/>
      <c r="AB220" s="64"/>
      <c r="AC220" s="64"/>
      <c r="AD220" s="64"/>
      <c r="AE220" s="64"/>
    </row>
    <row r="221" spans="1:31" ht="17.25" customHeight="1">
      <c r="A221" s="79"/>
      <c r="B221" s="64"/>
      <c r="C221" s="64"/>
      <c r="D221" s="64"/>
      <c r="E221" s="64"/>
      <c r="F221" s="64"/>
      <c r="G221" s="64"/>
      <c r="H221" s="87"/>
      <c r="I221" s="64"/>
      <c r="J221" s="64"/>
      <c r="K221" s="64"/>
      <c r="L221" s="64"/>
      <c r="M221" s="79"/>
      <c r="N221" s="64"/>
      <c r="O221" s="64"/>
      <c r="P221" s="64"/>
      <c r="Q221" s="64"/>
      <c r="R221" s="64"/>
      <c r="S221" s="64"/>
      <c r="T221" s="64"/>
      <c r="U221" s="78"/>
      <c r="V221" s="64"/>
      <c r="W221" s="79"/>
      <c r="X221" s="64"/>
      <c r="Y221" s="64"/>
      <c r="Z221" s="64"/>
      <c r="AA221" s="64"/>
      <c r="AB221" s="64"/>
      <c r="AC221" s="64"/>
      <c r="AD221" s="64"/>
      <c r="AE221" s="64"/>
    </row>
    <row r="222" spans="1:31" ht="17.25" customHeight="1">
      <c r="A222" s="79"/>
      <c r="B222" s="64"/>
      <c r="C222" s="64"/>
      <c r="D222" s="64"/>
      <c r="E222" s="64"/>
      <c r="F222" s="64"/>
      <c r="G222" s="64"/>
      <c r="H222" s="87"/>
      <c r="I222" s="64"/>
      <c r="J222" s="64"/>
      <c r="K222" s="64"/>
      <c r="L222" s="64"/>
      <c r="M222" s="79"/>
      <c r="N222" s="64"/>
      <c r="O222" s="64"/>
      <c r="P222" s="64"/>
      <c r="Q222" s="64"/>
      <c r="R222" s="64"/>
      <c r="S222" s="64"/>
      <c r="T222" s="64"/>
      <c r="U222" s="78"/>
      <c r="V222" s="64"/>
      <c r="W222" s="79"/>
      <c r="X222" s="64"/>
      <c r="Y222" s="64"/>
      <c r="Z222" s="64"/>
      <c r="AA222" s="64"/>
      <c r="AB222" s="64"/>
      <c r="AC222" s="64"/>
      <c r="AD222" s="64"/>
      <c r="AE222" s="64"/>
    </row>
    <row r="223" spans="1:31" ht="17.25" customHeight="1">
      <c r="A223" s="79"/>
      <c r="B223" s="64"/>
      <c r="C223" s="64"/>
      <c r="D223" s="64"/>
      <c r="E223" s="64"/>
      <c r="F223" s="64"/>
      <c r="G223" s="64"/>
      <c r="H223" s="87"/>
      <c r="I223" s="64"/>
      <c r="J223" s="64"/>
      <c r="K223" s="64"/>
      <c r="L223" s="64"/>
      <c r="M223" s="79"/>
      <c r="N223" s="64"/>
      <c r="O223" s="64"/>
      <c r="P223" s="64"/>
      <c r="Q223" s="64"/>
      <c r="R223" s="64"/>
      <c r="S223" s="64"/>
      <c r="T223" s="64"/>
      <c r="U223" s="78"/>
      <c r="V223" s="64"/>
      <c r="W223" s="79"/>
      <c r="X223" s="64"/>
      <c r="Y223" s="64"/>
      <c r="Z223" s="64"/>
      <c r="AA223" s="64"/>
      <c r="AB223" s="64"/>
      <c r="AC223" s="64"/>
      <c r="AD223" s="64"/>
      <c r="AE223" s="64"/>
    </row>
    <row r="224" spans="1:31" ht="17.25" customHeight="1">
      <c r="A224" s="79"/>
      <c r="B224" s="64"/>
      <c r="C224" s="64"/>
      <c r="D224" s="64"/>
      <c r="E224" s="64"/>
      <c r="F224" s="64"/>
      <c r="G224" s="64"/>
      <c r="H224" s="87"/>
      <c r="I224" s="64"/>
      <c r="J224" s="64"/>
      <c r="K224" s="64"/>
      <c r="L224" s="64"/>
      <c r="M224" s="79"/>
      <c r="N224" s="64"/>
      <c r="O224" s="64"/>
      <c r="P224" s="64"/>
      <c r="Q224" s="64"/>
      <c r="R224" s="64"/>
      <c r="S224" s="64"/>
      <c r="T224" s="64"/>
      <c r="U224" s="78"/>
      <c r="V224" s="64"/>
      <c r="W224" s="79"/>
      <c r="X224" s="64"/>
      <c r="Y224" s="64"/>
      <c r="Z224" s="64"/>
      <c r="AA224" s="64"/>
      <c r="AB224" s="64"/>
      <c r="AC224" s="64"/>
      <c r="AD224" s="64"/>
      <c r="AE224" s="64"/>
    </row>
    <row r="225" spans="1:31" ht="17.25" customHeight="1">
      <c r="A225" s="79"/>
      <c r="B225" s="64"/>
      <c r="C225" s="64"/>
      <c r="D225" s="64"/>
      <c r="E225" s="64"/>
      <c r="F225" s="64"/>
      <c r="G225" s="64"/>
      <c r="H225" s="87"/>
      <c r="I225" s="64"/>
      <c r="J225" s="64"/>
      <c r="K225" s="64"/>
      <c r="L225" s="64"/>
      <c r="M225" s="79"/>
      <c r="N225" s="64"/>
      <c r="O225" s="64"/>
      <c r="P225" s="64"/>
      <c r="Q225" s="64"/>
      <c r="R225" s="64"/>
      <c r="S225" s="64"/>
      <c r="T225" s="64"/>
      <c r="U225" s="78"/>
      <c r="V225" s="64"/>
      <c r="W225" s="79"/>
      <c r="X225" s="64"/>
      <c r="Y225" s="64"/>
      <c r="Z225" s="64"/>
      <c r="AA225" s="64"/>
      <c r="AB225" s="64"/>
      <c r="AC225" s="64"/>
      <c r="AD225" s="64"/>
      <c r="AE225" s="64"/>
    </row>
    <row r="226" spans="1:31" ht="17.25" customHeight="1">
      <c r="A226" s="79"/>
      <c r="B226" s="64"/>
      <c r="C226" s="64"/>
      <c r="D226" s="64"/>
      <c r="E226" s="64"/>
      <c r="F226" s="64"/>
      <c r="G226" s="64"/>
      <c r="H226" s="87"/>
      <c r="I226" s="64"/>
      <c r="J226" s="64"/>
      <c r="K226" s="64"/>
      <c r="L226" s="64"/>
      <c r="M226" s="79"/>
      <c r="N226" s="64"/>
      <c r="O226" s="64"/>
      <c r="P226" s="64"/>
      <c r="Q226" s="64"/>
      <c r="R226" s="64"/>
      <c r="S226" s="64"/>
      <c r="T226" s="64"/>
      <c r="U226" s="78"/>
      <c r="V226" s="64"/>
      <c r="W226" s="79"/>
      <c r="X226" s="64"/>
      <c r="Y226" s="64"/>
      <c r="Z226" s="64"/>
      <c r="AA226" s="64"/>
      <c r="AB226" s="64"/>
      <c r="AC226" s="64"/>
      <c r="AD226" s="64"/>
      <c r="AE226" s="64"/>
    </row>
    <row r="227" spans="1:31" ht="17.25" customHeight="1">
      <c r="A227" s="79"/>
      <c r="B227" s="64"/>
      <c r="C227" s="64"/>
      <c r="D227" s="64"/>
      <c r="E227" s="64"/>
      <c r="F227" s="64"/>
      <c r="G227" s="64"/>
      <c r="H227" s="87"/>
      <c r="I227" s="64"/>
      <c r="J227" s="64"/>
      <c r="K227" s="64"/>
      <c r="L227" s="64"/>
      <c r="M227" s="79"/>
      <c r="N227" s="64"/>
      <c r="O227" s="64"/>
      <c r="P227" s="64"/>
      <c r="Q227" s="64"/>
      <c r="R227" s="64"/>
      <c r="S227" s="64"/>
      <c r="T227" s="64"/>
      <c r="U227" s="78"/>
      <c r="V227" s="64"/>
      <c r="W227" s="79"/>
      <c r="X227" s="64"/>
      <c r="Y227" s="64"/>
      <c r="Z227" s="64"/>
      <c r="AA227" s="64"/>
      <c r="AB227" s="64"/>
      <c r="AC227" s="64"/>
      <c r="AD227" s="64"/>
      <c r="AE227" s="64"/>
    </row>
    <row r="228" spans="1:31" ht="17.25" customHeight="1">
      <c r="A228" s="79"/>
      <c r="B228" s="64"/>
      <c r="C228" s="64"/>
      <c r="D228" s="64"/>
      <c r="E228" s="64"/>
      <c r="F228" s="64"/>
      <c r="G228" s="64"/>
      <c r="H228" s="87"/>
      <c r="I228" s="64"/>
      <c r="J228" s="64"/>
      <c r="K228" s="64"/>
      <c r="L228" s="64"/>
      <c r="M228" s="79"/>
      <c r="N228" s="64"/>
      <c r="O228" s="64"/>
      <c r="P228" s="64"/>
      <c r="Q228" s="64"/>
      <c r="R228" s="64"/>
      <c r="S228" s="64"/>
      <c r="T228" s="64"/>
      <c r="U228" s="78"/>
      <c r="V228" s="64"/>
      <c r="W228" s="79"/>
      <c r="X228" s="64"/>
      <c r="Y228" s="64"/>
      <c r="Z228" s="64"/>
      <c r="AA228" s="64"/>
      <c r="AB228" s="64"/>
      <c r="AC228" s="64"/>
      <c r="AD228" s="64"/>
      <c r="AE228" s="64"/>
    </row>
    <row r="229" spans="1:31" ht="17.25" customHeight="1">
      <c r="A229" s="79"/>
      <c r="B229" s="64"/>
      <c r="C229" s="64"/>
      <c r="D229" s="64"/>
      <c r="E229" s="64"/>
      <c r="F229" s="64"/>
      <c r="G229" s="64"/>
      <c r="H229" s="87"/>
      <c r="I229" s="64"/>
      <c r="J229" s="64"/>
      <c r="K229" s="64"/>
      <c r="L229" s="64"/>
      <c r="M229" s="79"/>
      <c r="N229" s="64"/>
      <c r="O229" s="64"/>
      <c r="P229" s="64"/>
      <c r="Q229" s="64"/>
      <c r="R229" s="64"/>
      <c r="S229" s="64"/>
      <c r="T229" s="64"/>
      <c r="U229" s="78"/>
      <c r="V229" s="64"/>
      <c r="W229" s="79"/>
      <c r="X229" s="64"/>
      <c r="Y229" s="64"/>
      <c r="Z229" s="64"/>
      <c r="AA229" s="64"/>
      <c r="AB229" s="64"/>
      <c r="AC229" s="64"/>
      <c r="AD229" s="64"/>
      <c r="AE229" s="64"/>
    </row>
    <row r="230" spans="1:31" ht="17.25" customHeight="1">
      <c r="A230" s="79"/>
      <c r="B230" s="64"/>
      <c r="C230" s="64"/>
      <c r="D230" s="64"/>
      <c r="E230" s="64"/>
      <c r="F230" s="64"/>
      <c r="G230" s="64"/>
      <c r="H230" s="87"/>
      <c r="I230" s="64"/>
      <c r="J230" s="64"/>
      <c r="K230" s="64"/>
      <c r="L230" s="64"/>
      <c r="M230" s="79"/>
      <c r="N230" s="64"/>
      <c r="O230" s="64"/>
      <c r="P230" s="64"/>
      <c r="Q230" s="64"/>
      <c r="R230" s="64"/>
      <c r="S230" s="64"/>
      <c r="T230" s="64"/>
      <c r="U230" s="78"/>
      <c r="V230" s="64"/>
      <c r="W230" s="79"/>
      <c r="X230" s="64"/>
      <c r="Y230" s="64"/>
      <c r="Z230" s="64"/>
      <c r="AA230" s="64"/>
      <c r="AB230" s="64"/>
      <c r="AC230" s="64"/>
      <c r="AD230" s="64"/>
      <c r="AE230" s="64"/>
    </row>
    <row r="231" spans="1:31" ht="17.25" customHeight="1">
      <c r="A231" s="79"/>
      <c r="B231" s="64"/>
      <c r="C231" s="64"/>
      <c r="D231" s="64"/>
      <c r="E231" s="64"/>
      <c r="F231" s="64"/>
      <c r="G231" s="64"/>
      <c r="H231" s="87"/>
      <c r="I231" s="64"/>
      <c r="J231" s="64"/>
      <c r="K231" s="64"/>
      <c r="L231" s="64"/>
      <c r="M231" s="79"/>
      <c r="N231" s="64"/>
      <c r="O231" s="64"/>
      <c r="P231" s="64"/>
      <c r="Q231" s="64"/>
      <c r="R231" s="64"/>
      <c r="S231" s="64"/>
      <c r="T231" s="64"/>
      <c r="U231" s="78"/>
      <c r="V231" s="64"/>
      <c r="W231" s="79"/>
      <c r="X231" s="64"/>
      <c r="Y231" s="64"/>
      <c r="Z231" s="64"/>
      <c r="AA231" s="64"/>
      <c r="AB231" s="64"/>
      <c r="AC231" s="64"/>
      <c r="AD231" s="64"/>
      <c r="AE231" s="64"/>
    </row>
    <row r="232" spans="1:31" ht="17.25" customHeight="1">
      <c r="A232" s="79"/>
      <c r="B232" s="64"/>
      <c r="C232" s="64"/>
      <c r="D232" s="64"/>
      <c r="E232" s="64"/>
      <c r="F232" s="64"/>
      <c r="G232" s="64"/>
      <c r="H232" s="87"/>
      <c r="I232" s="64"/>
      <c r="J232" s="64"/>
      <c r="K232" s="64"/>
      <c r="L232" s="64"/>
      <c r="M232" s="79"/>
      <c r="N232" s="64"/>
      <c r="O232" s="64"/>
      <c r="P232" s="64"/>
      <c r="Q232" s="64"/>
      <c r="R232" s="64"/>
      <c r="S232" s="64"/>
      <c r="T232" s="64"/>
      <c r="U232" s="78"/>
      <c r="V232" s="64"/>
      <c r="W232" s="79"/>
      <c r="X232" s="64"/>
      <c r="Y232" s="64"/>
      <c r="Z232" s="64"/>
      <c r="AA232" s="64"/>
      <c r="AB232" s="64"/>
      <c r="AC232" s="64"/>
      <c r="AD232" s="64"/>
      <c r="AE232" s="64"/>
    </row>
    <row r="233" spans="1:31" ht="17.25" customHeight="1">
      <c r="A233" s="79"/>
      <c r="B233" s="64"/>
      <c r="C233" s="64"/>
      <c r="D233" s="64"/>
      <c r="E233" s="64"/>
      <c r="F233" s="64"/>
      <c r="G233" s="64"/>
      <c r="H233" s="87"/>
      <c r="I233" s="64"/>
      <c r="J233" s="64"/>
      <c r="K233" s="64"/>
      <c r="L233" s="64"/>
      <c r="M233" s="79"/>
      <c r="N233" s="64"/>
      <c r="O233" s="64"/>
      <c r="P233" s="64"/>
      <c r="Q233" s="64"/>
      <c r="R233" s="64"/>
      <c r="S233" s="64"/>
      <c r="T233" s="64"/>
      <c r="U233" s="78"/>
      <c r="V233" s="64"/>
      <c r="W233" s="79"/>
      <c r="X233" s="64"/>
      <c r="Y233" s="64"/>
      <c r="Z233" s="64"/>
      <c r="AA233" s="64"/>
      <c r="AB233" s="64"/>
      <c r="AC233" s="64"/>
      <c r="AD233" s="64"/>
      <c r="AE233" s="64"/>
    </row>
    <row r="234" spans="1:31" ht="17.25" customHeight="1">
      <c r="A234" s="79"/>
      <c r="B234" s="64"/>
      <c r="C234" s="64"/>
      <c r="D234" s="64"/>
      <c r="E234" s="64"/>
      <c r="F234" s="64"/>
      <c r="G234" s="64"/>
      <c r="H234" s="87"/>
      <c r="I234" s="64"/>
      <c r="J234" s="64"/>
      <c r="K234" s="64"/>
      <c r="L234" s="64"/>
      <c r="M234" s="79"/>
      <c r="N234" s="64"/>
      <c r="O234" s="64"/>
      <c r="P234" s="64"/>
      <c r="Q234" s="64"/>
      <c r="R234" s="64"/>
      <c r="S234" s="64"/>
      <c r="T234" s="64"/>
      <c r="U234" s="78"/>
      <c r="V234" s="64"/>
      <c r="W234" s="79"/>
      <c r="X234" s="64"/>
      <c r="Y234" s="64"/>
      <c r="Z234" s="64"/>
      <c r="AA234" s="64"/>
      <c r="AB234" s="64"/>
      <c r="AC234" s="64"/>
      <c r="AD234" s="64"/>
      <c r="AE234" s="64"/>
    </row>
    <row r="235" spans="1:31" ht="17.25" customHeight="1">
      <c r="A235" s="79"/>
      <c r="B235" s="64"/>
      <c r="C235" s="64"/>
      <c r="D235" s="64"/>
      <c r="E235" s="64"/>
      <c r="F235" s="64"/>
      <c r="G235" s="64"/>
      <c r="H235" s="87"/>
      <c r="I235" s="64"/>
      <c r="J235" s="64"/>
      <c r="K235" s="64"/>
      <c r="L235" s="64"/>
      <c r="M235" s="79"/>
      <c r="N235" s="64"/>
      <c r="O235" s="64"/>
      <c r="P235" s="64"/>
      <c r="Q235" s="64"/>
      <c r="R235" s="64"/>
      <c r="S235" s="64"/>
      <c r="T235" s="64"/>
      <c r="U235" s="78"/>
      <c r="V235" s="64"/>
      <c r="W235" s="79"/>
      <c r="X235" s="64"/>
      <c r="Y235" s="64"/>
      <c r="Z235" s="64"/>
      <c r="AA235" s="64"/>
      <c r="AB235" s="64"/>
      <c r="AC235" s="64"/>
      <c r="AD235" s="64"/>
      <c r="AE235" s="64"/>
    </row>
    <row r="236" spans="1:31" ht="17.25" customHeight="1">
      <c r="A236" s="79"/>
      <c r="B236" s="64"/>
      <c r="C236" s="64"/>
      <c r="D236" s="64"/>
      <c r="E236" s="64"/>
      <c r="F236" s="64"/>
      <c r="G236" s="64"/>
      <c r="H236" s="87"/>
      <c r="I236" s="64"/>
      <c r="J236" s="64"/>
      <c r="K236" s="64"/>
      <c r="L236" s="64"/>
      <c r="M236" s="79"/>
      <c r="N236" s="64"/>
      <c r="O236" s="64"/>
      <c r="P236" s="64"/>
      <c r="Q236" s="64"/>
      <c r="R236" s="64"/>
      <c r="S236" s="64"/>
      <c r="T236" s="64"/>
      <c r="U236" s="78"/>
      <c r="V236" s="64"/>
      <c r="W236" s="79"/>
      <c r="X236" s="64"/>
      <c r="Y236" s="64"/>
      <c r="Z236" s="64"/>
      <c r="AA236" s="64"/>
      <c r="AB236" s="64"/>
      <c r="AC236" s="64"/>
      <c r="AD236" s="64"/>
      <c r="AE236" s="64"/>
    </row>
    <row r="237" spans="1:31" ht="17.25" customHeight="1">
      <c r="A237" s="79"/>
      <c r="B237" s="64"/>
      <c r="C237" s="64"/>
      <c r="D237" s="64"/>
      <c r="E237" s="64"/>
      <c r="F237" s="64"/>
      <c r="G237" s="64"/>
      <c r="H237" s="87"/>
      <c r="I237" s="64"/>
      <c r="J237" s="64"/>
      <c r="K237" s="64"/>
      <c r="L237" s="64"/>
      <c r="M237" s="79"/>
      <c r="N237" s="64"/>
      <c r="O237" s="64"/>
      <c r="P237" s="64"/>
      <c r="Q237" s="64"/>
      <c r="R237" s="64"/>
      <c r="S237" s="64"/>
      <c r="T237" s="64"/>
      <c r="U237" s="78"/>
      <c r="V237" s="64"/>
      <c r="W237" s="79"/>
      <c r="X237" s="64"/>
      <c r="Y237" s="64"/>
      <c r="Z237" s="64"/>
      <c r="AA237" s="64"/>
      <c r="AB237" s="64"/>
      <c r="AC237" s="64"/>
      <c r="AD237" s="64"/>
      <c r="AE237" s="64"/>
    </row>
    <row r="238" spans="1:31" ht="17.25" customHeight="1">
      <c r="A238" s="79"/>
      <c r="B238" s="64"/>
      <c r="C238" s="64"/>
      <c r="D238" s="64"/>
      <c r="E238" s="64"/>
      <c r="F238" s="64"/>
      <c r="G238" s="64"/>
      <c r="H238" s="87"/>
      <c r="I238" s="64"/>
      <c r="J238" s="64"/>
      <c r="K238" s="64"/>
      <c r="L238" s="64"/>
      <c r="M238" s="79"/>
      <c r="N238" s="64"/>
      <c r="O238" s="64"/>
      <c r="P238" s="64"/>
      <c r="Q238" s="64"/>
      <c r="R238" s="64"/>
      <c r="S238" s="64"/>
      <c r="T238" s="64"/>
      <c r="U238" s="78"/>
      <c r="V238" s="64"/>
      <c r="W238" s="79"/>
      <c r="X238" s="64"/>
      <c r="Y238" s="64"/>
      <c r="Z238" s="64"/>
      <c r="AA238" s="64"/>
      <c r="AB238" s="64"/>
      <c r="AC238" s="64"/>
      <c r="AD238" s="64"/>
      <c r="AE238" s="64"/>
    </row>
    <row r="239" spans="1:31" ht="17.25" customHeight="1">
      <c r="A239" s="79"/>
      <c r="B239" s="64"/>
      <c r="C239" s="64"/>
      <c r="D239" s="64"/>
      <c r="E239" s="64"/>
      <c r="F239" s="64"/>
      <c r="G239" s="64"/>
      <c r="H239" s="87"/>
      <c r="I239" s="64"/>
      <c r="J239" s="64"/>
      <c r="K239" s="64"/>
      <c r="L239" s="64"/>
      <c r="M239" s="79"/>
      <c r="N239" s="64"/>
      <c r="O239" s="64"/>
      <c r="P239" s="64"/>
      <c r="Q239" s="64"/>
      <c r="R239" s="64"/>
      <c r="S239" s="64"/>
      <c r="T239" s="64"/>
      <c r="U239" s="78"/>
      <c r="V239" s="64"/>
      <c r="W239" s="79"/>
      <c r="X239" s="64"/>
      <c r="Y239" s="64"/>
      <c r="Z239" s="64"/>
      <c r="AA239" s="64"/>
      <c r="AB239" s="64"/>
      <c r="AC239" s="64"/>
      <c r="AD239" s="64"/>
      <c r="AE239" s="64"/>
    </row>
    <row r="240" spans="1:31" ht="17.25" customHeight="1">
      <c r="A240" s="79"/>
      <c r="B240" s="64"/>
      <c r="C240" s="64"/>
      <c r="D240" s="64"/>
      <c r="E240" s="64"/>
      <c r="F240" s="64"/>
      <c r="G240" s="64"/>
      <c r="H240" s="87"/>
      <c r="I240" s="64"/>
      <c r="J240" s="64"/>
      <c r="K240" s="64"/>
      <c r="L240" s="64"/>
      <c r="M240" s="79"/>
      <c r="N240" s="64"/>
      <c r="O240" s="64"/>
      <c r="P240" s="64"/>
      <c r="Q240" s="64"/>
      <c r="R240" s="64"/>
      <c r="S240" s="64"/>
      <c r="T240" s="64"/>
      <c r="U240" s="78"/>
      <c r="V240" s="64"/>
      <c r="W240" s="79"/>
      <c r="X240" s="64"/>
      <c r="Y240" s="64"/>
      <c r="Z240" s="64"/>
      <c r="AA240" s="64"/>
      <c r="AB240" s="64"/>
      <c r="AC240" s="64"/>
      <c r="AD240" s="64"/>
      <c r="AE240" s="64"/>
    </row>
    <row r="241" spans="1:31" ht="17.25" customHeight="1">
      <c r="A241" s="79"/>
      <c r="B241" s="64"/>
      <c r="C241" s="64"/>
      <c r="D241" s="64"/>
      <c r="E241" s="64"/>
      <c r="F241" s="64"/>
      <c r="G241" s="64"/>
      <c r="H241" s="87"/>
      <c r="I241" s="64"/>
      <c r="J241" s="64"/>
      <c r="K241" s="64"/>
      <c r="L241" s="64"/>
      <c r="M241" s="79"/>
      <c r="N241" s="64"/>
      <c r="O241" s="64"/>
      <c r="P241" s="64"/>
      <c r="Q241" s="64"/>
      <c r="R241" s="64"/>
      <c r="S241" s="64"/>
      <c r="T241" s="64"/>
      <c r="U241" s="78"/>
      <c r="V241" s="64"/>
      <c r="W241" s="79"/>
      <c r="X241" s="64"/>
      <c r="Y241" s="64"/>
      <c r="Z241" s="64"/>
      <c r="AA241" s="64"/>
      <c r="AB241" s="64"/>
      <c r="AC241" s="64"/>
      <c r="AD241" s="64"/>
      <c r="AE241" s="64"/>
    </row>
    <row r="242" spans="1:31" ht="17.25" customHeight="1">
      <c r="A242" s="79"/>
      <c r="B242" s="64"/>
      <c r="C242" s="64"/>
      <c r="D242" s="64"/>
      <c r="E242" s="64"/>
      <c r="F242" s="64"/>
      <c r="G242" s="64"/>
      <c r="H242" s="87"/>
      <c r="I242" s="64"/>
      <c r="J242" s="64"/>
      <c r="K242" s="64"/>
      <c r="L242" s="64"/>
      <c r="M242" s="79"/>
      <c r="N242" s="64"/>
      <c r="O242" s="64"/>
      <c r="P242" s="64"/>
      <c r="Q242" s="64"/>
      <c r="R242" s="64"/>
      <c r="S242" s="64"/>
      <c r="T242" s="64"/>
      <c r="U242" s="78"/>
      <c r="V242" s="64"/>
      <c r="W242" s="79"/>
      <c r="X242" s="64"/>
      <c r="Y242" s="64"/>
      <c r="Z242" s="64"/>
      <c r="AA242" s="64"/>
      <c r="AB242" s="64"/>
      <c r="AC242" s="64"/>
      <c r="AD242" s="64"/>
      <c r="AE242" s="64"/>
    </row>
    <row r="243" spans="1:31" ht="17.25" customHeight="1">
      <c r="A243" s="79"/>
      <c r="B243" s="64"/>
      <c r="C243" s="64"/>
      <c r="D243" s="64"/>
      <c r="E243" s="64"/>
      <c r="F243" s="64"/>
      <c r="G243" s="64"/>
      <c r="H243" s="87"/>
      <c r="I243" s="64"/>
      <c r="J243" s="64"/>
      <c r="K243" s="64"/>
      <c r="L243" s="64"/>
      <c r="M243" s="79"/>
      <c r="N243" s="64"/>
      <c r="O243" s="64"/>
      <c r="P243" s="64"/>
      <c r="Q243" s="64"/>
      <c r="R243" s="64"/>
      <c r="S243" s="64"/>
      <c r="T243" s="64"/>
      <c r="U243" s="78"/>
      <c r="V243" s="64"/>
      <c r="W243" s="79"/>
      <c r="X243" s="64"/>
      <c r="Y243" s="64"/>
      <c r="Z243" s="64"/>
      <c r="AA243" s="64"/>
      <c r="AB243" s="64"/>
      <c r="AC243" s="64"/>
      <c r="AD243" s="64"/>
      <c r="AE243" s="64"/>
    </row>
    <row r="244" spans="1:31" ht="17.25" customHeight="1">
      <c r="A244" s="79"/>
      <c r="B244" s="64"/>
      <c r="C244" s="64"/>
      <c r="D244" s="64"/>
      <c r="E244" s="64"/>
      <c r="F244" s="64"/>
      <c r="G244" s="64"/>
      <c r="H244" s="87"/>
      <c r="I244" s="64"/>
      <c r="J244" s="64"/>
      <c r="K244" s="64"/>
      <c r="L244" s="64"/>
      <c r="M244" s="79"/>
      <c r="N244" s="64"/>
      <c r="O244" s="64"/>
      <c r="P244" s="64"/>
      <c r="Q244" s="64"/>
      <c r="R244" s="64"/>
      <c r="S244" s="64"/>
      <c r="T244" s="64"/>
      <c r="U244" s="78"/>
      <c r="V244" s="64"/>
      <c r="W244" s="79"/>
      <c r="X244" s="64"/>
      <c r="Y244" s="64"/>
      <c r="Z244" s="64"/>
      <c r="AA244" s="64"/>
      <c r="AB244" s="64"/>
      <c r="AC244" s="64"/>
      <c r="AD244" s="64"/>
      <c r="AE244" s="64"/>
    </row>
    <row r="245" spans="1:31" ht="17.25" customHeight="1">
      <c r="A245" s="79"/>
      <c r="B245" s="64"/>
      <c r="C245" s="64"/>
      <c r="D245" s="64"/>
      <c r="E245" s="64"/>
      <c r="F245" s="64"/>
      <c r="G245" s="64"/>
      <c r="H245" s="87"/>
      <c r="I245" s="64"/>
      <c r="J245" s="64"/>
      <c r="K245" s="64"/>
      <c r="L245" s="64"/>
      <c r="M245" s="79"/>
      <c r="N245" s="64"/>
      <c r="O245" s="64"/>
      <c r="P245" s="64"/>
      <c r="Q245" s="64"/>
      <c r="R245" s="64"/>
      <c r="S245" s="64"/>
      <c r="T245" s="64"/>
      <c r="U245" s="78"/>
      <c r="V245" s="64"/>
      <c r="W245" s="79"/>
      <c r="X245" s="64"/>
      <c r="Y245" s="64"/>
      <c r="Z245" s="64"/>
      <c r="AA245" s="64"/>
      <c r="AB245" s="64"/>
      <c r="AC245" s="64"/>
      <c r="AD245" s="64"/>
      <c r="AE245" s="64"/>
    </row>
    <row r="246" spans="1:31" ht="17.25" customHeight="1">
      <c r="A246" s="79"/>
      <c r="B246" s="64"/>
      <c r="C246" s="64"/>
      <c r="D246" s="64"/>
      <c r="E246" s="64"/>
      <c r="F246" s="64"/>
      <c r="G246" s="64"/>
      <c r="H246" s="87"/>
      <c r="I246" s="64"/>
      <c r="J246" s="64"/>
      <c r="K246" s="64"/>
      <c r="L246" s="64"/>
      <c r="M246" s="79"/>
      <c r="N246" s="64"/>
      <c r="O246" s="64"/>
      <c r="P246" s="64"/>
      <c r="Q246" s="64"/>
      <c r="R246" s="64"/>
      <c r="S246" s="64"/>
      <c r="T246" s="64"/>
      <c r="U246" s="78"/>
      <c r="V246" s="64"/>
      <c r="W246" s="79"/>
      <c r="X246" s="64"/>
      <c r="Y246" s="64"/>
      <c r="Z246" s="64"/>
      <c r="AA246" s="64"/>
      <c r="AB246" s="64"/>
      <c r="AC246" s="64"/>
      <c r="AD246" s="64"/>
      <c r="AE246" s="64"/>
    </row>
    <row r="247" spans="1:31" ht="17.25" customHeight="1">
      <c r="A247" s="79"/>
      <c r="B247" s="64"/>
      <c r="C247" s="64"/>
      <c r="D247" s="64"/>
      <c r="E247" s="64"/>
      <c r="F247" s="64"/>
      <c r="G247" s="64"/>
      <c r="H247" s="87"/>
      <c r="I247" s="64"/>
      <c r="J247" s="64"/>
      <c r="K247" s="64"/>
      <c r="L247" s="64"/>
      <c r="M247" s="79"/>
      <c r="N247" s="64"/>
      <c r="O247" s="64"/>
      <c r="P247" s="64"/>
      <c r="Q247" s="64"/>
      <c r="R247" s="64"/>
      <c r="S247" s="64"/>
      <c r="T247" s="64"/>
      <c r="U247" s="78"/>
      <c r="V247" s="64"/>
      <c r="W247" s="79"/>
      <c r="X247" s="64"/>
      <c r="Y247" s="64"/>
      <c r="Z247" s="64"/>
      <c r="AA247" s="64"/>
      <c r="AB247" s="64"/>
      <c r="AC247" s="64"/>
      <c r="AD247" s="64"/>
      <c r="AE247" s="64"/>
    </row>
    <row r="248" spans="1:31" ht="17.25" customHeight="1">
      <c r="A248" s="79"/>
      <c r="B248" s="64"/>
      <c r="C248" s="64"/>
      <c r="D248" s="64"/>
      <c r="E248" s="64"/>
      <c r="F248" s="64"/>
      <c r="G248" s="64"/>
      <c r="H248" s="87"/>
      <c r="I248" s="64"/>
      <c r="J248" s="64"/>
      <c r="K248" s="64"/>
      <c r="L248" s="64"/>
      <c r="M248" s="79"/>
      <c r="N248" s="64"/>
      <c r="O248" s="64"/>
      <c r="P248" s="64"/>
      <c r="Q248" s="64"/>
      <c r="R248" s="64"/>
      <c r="S248" s="64"/>
      <c r="T248" s="64"/>
      <c r="U248" s="78"/>
      <c r="V248" s="64"/>
      <c r="W248" s="79"/>
      <c r="X248" s="64"/>
      <c r="Y248" s="64"/>
      <c r="Z248" s="64"/>
      <c r="AA248" s="64"/>
      <c r="AB248" s="64"/>
      <c r="AC248" s="64"/>
      <c r="AD248" s="64"/>
      <c r="AE248" s="64"/>
    </row>
    <row r="249" spans="1:31" ht="17.25" customHeight="1">
      <c r="A249" s="79"/>
      <c r="B249" s="64"/>
      <c r="C249" s="64"/>
      <c r="D249" s="64"/>
      <c r="E249" s="64"/>
      <c r="F249" s="64"/>
      <c r="G249" s="64"/>
      <c r="H249" s="87"/>
      <c r="I249" s="64"/>
      <c r="J249" s="64"/>
      <c r="K249" s="64"/>
      <c r="L249" s="64"/>
      <c r="M249" s="79"/>
      <c r="N249" s="64"/>
      <c r="O249" s="64"/>
      <c r="P249" s="64"/>
      <c r="Q249" s="64"/>
      <c r="R249" s="64"/>
      <c r="S249" s="64"/>
      <c r="T249" s="64"/>
      <c r="U249" s="78"/>
      <c r="V249" s="64"/>
      <c r="W249" s="79"/>
      <c r="X249" s="64"/>
      <c r="Y249" s="64"/>
      <c r="Z249" s="64"/>
      <c r="AA249" s="64"/>
      <c r="AB249" s="64"/>
      <c r="AC249" s="64"/>
      <c r="AD249" s="64"/>
      <c r="AE249" s="64"/>
    </row>
    <row r="250" spans="1:31" ht="17.25" customHeight="1">
      <c r="A250" s="79"/>
      <c r="B250" s="64"/>
      <c r="C250" s="64"/>
      <c r="D250" s="64"/>
      <c r="E250" s="64"/>
      <c r="F250" s="64"/>
      <c r="G250" s="64"/>
      <c r="H250" s="87"/>
      <c r="I250" s="64"/>
      <c r="J250" s="64"/>
      <c r="K250" s="64"/>
      <c r="L250" s="64"/>
      <c r="M250" s="79"/>
      <c r="N250" s="64"/>
      <c r="O250" s="64"/>
      <c r="P250" s="64"/>
      <c r="Q250" s="64"/>
      <c r="R250" s="64"/>
      <c r="S250" s="64"/>
      <c r="T250" s="64"/>
      <c r="U250" s="78"/>
      <c r="V250" s="64"/>
      <c r="W250" s="79"/>
      <c r="X250" s="64"/>
      <c r="Y250" s="64"/>
      <c r="Z250" s="64"/>
      <c r="AA250" s="64"/>
      <c r="AB250" s="64"/>
      <c r="AC250" s="64"/>
      <c r="AD250" s="64"/>
      <c r="AE250" s="64"/>
    </row>
    <row r="251" spans="1:31" ht="17.25" customHeight="1">
      <c r="A251" s="79"/>
      <c r="B251" s="64"/>
      <c r="C251" s="64"/>
      <c r="D251" s="64"/>
      <c r="E251" s="64"/>
      <c r="F251" s="64"/>
      <c r="G251" s="64"/>
      <c r="H251" s="87"/>
      <c r="I251" s="64"/>
      <c r="J251" s="64"/>
      <c r="K251" s="64"/>
      <c r="L251" s="64"/>
      <c r="M251" s="79"/>
      <c r="N251" s="64"/>
      <c r="O251" s="64"/>
      <c r="P251" s="64"/>
      <c r="Q251" s="64"/>
      <c r="R251" s="64"/>
      <c r="S251" s="64"/>
      <c r="T251" s="64"/>
      <c r="U251" s="78"/>
      <c r="V251" s="64"/>
      <c r="W251" s="79"/>
      <c r="X251" s="64"/>
      <c r="Y251" s="64"/>
      <c r="Z251" s="64"/>
      <c r="AA251" s="64"/>
      <c r="AB251" s="64"/>
      <c r="AC251" s="64"/>
      <c r="AD251" s="64"/>
      <c r="AE251" s="64"/>
    </row>
    <row r="252" spans="1:31" ht="17.25" customHeight="1">
      <c r="A252" s="79"/>
      <c r="B252" s="64"/>
      <c r="C252" s="64"/>
      <c r="D252" s="64"/>
      <c r="E252" s="64"/>
      <c r="F252" s="64"/>
      <c r="G252" s="64"/>
      <c r="H252" s="87"/>
      <c r="I252" s="64"/>
      <c r="J252" s="64"/>
      <c r="K252" s="64"/>
      <c r="L252" s="64"/>
      <c r="M252" s="79"/>
      <c r="N252" s="64"/>
      <c r="O252" s="64"/>
      <c r="P252" s="64"/>
      <c r="Q252" s="64"/>
      <c r="R252" s="64"/>
      <c r="S252" s="64"/>
      <c r="T252" s="64"/>
      <c r="U252" s="78"/>
      <c r="V252" s="64"/>
      <c r="W252" s="79"/>
      <c r="X252" s="64"/>
      <c r="Y252" s="64"/>
      <c r="Z252" s="64"/>
      <c r="AA252" s="64"/>
      <c r="AB252" s="64"/>
      <c r="AC252" s="64"/>
      <c r="AD252" s="64"/>
      <c r="AE252" s="64"/>
    </row>
    <row r="253" spans="1:31" ht="17.25" customHeight="1">
      <c r="A253" s="79"/>
      <c r="B253" s="64"/>
      <c r="C253" s="64"/>
      <c r="D253" s="64"/>
      <c r="E253" s="64"/>
      <c r="F253" s="64"/>
      <c r="G253" s="64"/>
      <c r="H253" s="87"/>
      <c r="I253" s="64"/>
      <c r="J253" s="64"/>
      <c r="K253" s="64"/>
      <c r="L253" s="64"/>
      <c r="M253" s="79"/>
      <c r="N253" s="64"/>
      <c r="O253" s="64"/>
      <c r="P253" s="64"/>
      <c r="Q253" s="64"/>
      <c r="R253" s="64"/>
      <c r="S253" s="64"/>
      <c r="T253" s="64"/>
      <c r="U253" s="78"/>
      <c r="V253" s="64"/>
      <c r="W253" s="79"/>
      <c r="X253" s="64"/>
      <c r="Y253" s="64"/>
      <c r="Z253" s="64"/>
      <c r="AA253" s="64"/>
      <c r="AB253" s="64"/>
      <c r="AC253" s="64"/>
      <c r="AD253" s="64"/>
      <c r="AE253" s="64"/>
    </row>
    <row r="254" spans="1:31" ht="17.25" customHeight="1">
      <c r="A254" s="79"/>
      <c r="B254" s="64"/>
      <c r="C254" s="64"/>
      <c r="D254" s="64"/>
      <c r="E254" s="64"/>
      <c r="F254" s="64"/>
      <c r="G254" s="64"/>
      <c r="H254" s="87"/>
      <c r="I254" s="64"/>
      <c r="J254" s="64"/>
      <c r="K254" s="64"/>
      <c r="L254" s="64"/>
      <c r="M254" s="79"/>
      <c r="N254" s="64"/>
      <c r="O254" s="64"/>
      <c r="P254" s="64"/>
      <c r="Q254" s="64"/>
      <c r="R254" s="64"/>
      <c r="S254" s="64"/>
      <c r="T254" s="64"/>
      <c r="U254" s="78"/>
      <c r="V254" s="64"/>
      <c r="W254" s="79"/>
      <c r="X254" s="64"/>
      <c r="Y254" s="64"/>
      <c r="Z254" s="64"/>
      <c r="AA254" s="64"/>
      <c r="AB254" s="64"/>
      <c r="AC254" s="64"/>
      <c r="AD254" s="64"/>
      <c r="AE254" s="64"/>
    </row>
    <row r="255" spans="1:31" ht="17.25" customHeight="1">
      <c r="A255" s="79"/>
      <c r="B255" s="64"/>
      <c r="C255" s="64"/>
      <c r="D255" s="64"/>
      <c r="E255" s="64"/>
      <c r="F255" s="64"/>
      <c r="G255" s="64"/>
      <c r="H255" s="87"/>
      <c r="I255" s="64"/>
      <c r="J255" s="64"/>
      <c r="K255" s="64"/>
      <c r="L255" s="64"/>
      <c r="M255" s="79"/>
      <c r="N255" s="64"/>
      <c r="O255" s="64"/>
      <c r="P255" s="64"/>
      <c r="Q255" s="64"/>
      <c r="R255" s="64"/>
      <c r="S255" s="64"/>
      <c r="T255" s="64"/>
      <c r="U255" s="78"/>
      <c r="V255" s="64"/>
      <c r="W255" s="79"/>
      <c r="X255" s="64"/>
      <c r="Y255" s="64"/>
      <c r="Z255" s="64"/>
      <c r="AA255" s="64"/>
      <c r="AB255" s="64"/>
      <c r="AC255" s="64"/>
      <c r="AD255" s="64"/>
      <c r="AE255" s="64"/>
    </row>
    <row r="256" spans="1:31" ht="17.25" customHeight="1">
      <c r="A256" s="79"/>
      <c r="B256" s="64"/>
      <c r="C256" s="64"/>
      <c r="D256" s="64"/>
      <c r="E256" s="64"/>
      <c r="F256" s="64"/>
      <c r="G256" s="64"/>
      <c r="H256" s="87"/>
      <c r="I256" s="64"/>
      <c r="J256" s="64"/>
      <c r="K256" s="64"/>
      <c r="L256" s="64"/>
      <c r="M256" s="79"/>
      <c r="N256" s="64"/>
      <c r="O256" s="64"/>
      <c r="P256" s="64"/>
      <c r="Q256" s="64"/>
      <c r="R256" s="64"/>
      <c r="S256" s="64"/>
      <c r="T256" s="64"/>
      <c r="U256" s="78"/>
      <c r="V256" s="64"/>
      <c r="W256" s="79"/>
      <c r="X256" s="64"/>
      <c r="Y256" s="64"/>
      <c r="Z256" s="64"/>
      <c r="AA256" s="64"/>
      <c r="AB256" s="64"/>
      <c r="AC256" s="64"/>
      <c r="AD256" s="64"/>
      <c r="AE256" s="64"/>
    </row>
    <row r="257" spans="1:31" ht="17.25" customHeight="1">
      <c r="A257" s="79"/>
      <c r="B257" s="64"/>
      <c r="C257" s="64"/>
      <c r="D257" s="64"/>
      <c r="E257" s="64"/>
      <c r="F257" s="64"/>
      <c r="G257" s="64"/>
      <c r="H257" s="87"/>
      <c r="I257" s="64"/>
      <c r="J257" s="64"/>
      <c r="K257" s="64"/>
      <c r="L257" s="64"/>
      <c r="M257" s="79"/>
      <c r="N257" s="64"/>
      <c r="O257" s="64"/>
      <c r="P257" s="64"/>
      <c r="Q257" s="64"/>
      <c r="R257" s="64"/>
      <c r="S257" s="64"/>
      <c r="T257" s="64"/>
      <c r="U257" s="78"/>
      <c r="V257" s="64"/>
      <c r="W257" s="79"/>
      <c r="X257" s="64"/>
      <c r="Y257" s="64"/>
      <c r="Z257" s="64"/>
      <c r="AA257" s="64"/>
      <c r="AB257" s="64"/>
      <c r="AC257" s="64"/>
      <c r="AD257" s="64"/>
      <c r="AE257" s="64"/>
    </row>
    <row r="258" spans="1:31" ht="17.25" customHeight="1">
      <c r="A258" s="79"/>
      <c r="B258" s="64"/>
      <c r="C258" s="64"/>
      <c r="D258" s="64"/>
      <c r="E258" s="64"/>
      <c r="F258" s="64"/>
      <c r="G258" s="64"/>
      <c r="H258" s="87"/>
      <c r="I258" s="64"/>
      <c r="J258" s="64"/>
      <c r="K258" s="64"/>
      <c r="L258" s="64"/>
      <c r="M258" s="79"/>
      <c r="N258" s="64"/>
      <c r="O258" s="64"/>
      <c r="P258" s="64"/>
      <c r="Q258" s="64"/>
      <c r="R258" s="64"/>
      <c r="S258" s="64"/>
      <c r="T258" s="64"/>
      <c r="U258" s="78"/>
      <c r="V258" s="64"/>
      <c r="W258" s="79"/>
      <c r="X258" s="64"/>
      <c r="Y258" s="64"/>
      <c r="Z258" s="64"/>
      <c r="AA258" s="64"/>
      <c r="AB258" s="64"/>
      <c r="AC258" s="64"/>
      <c r="AD258" s="64"/>
      <c r="AE258" s="64"/>
    </row>
    <row r="259" spans="1:31" ht="17.25" customHeight="1">
      <c r="A259" s="79"/>
      <c r="B259" s="64"/>
      <c r="C259" s="64"/>
      <c r="D259" s="64"/>
      <c r="E259" s="64"/>
      <c r="F259" s="64"/>
      <c r="G259" s="64"/>
      <c r="H259" s="87"/>
      <c r="I259" s="64"/>
      <c r="J259" s="64"/>
      <c r="K259" s="64"/>
      <c r="L259" s="64"/>
      <c r="M259" s="79"/>
      <c r="N259" s="64"/>
      <c r="O259" s="64"/>
      <c r="P259" s="64"/>
      <c r="Q259" s="64"/>
      <c r="R259" s="64"/>
      <c r="S259" s="64"/>
      <c r="T259" s="64"/>
      <c r="U259" s="78"/>
      <c r="V259" s="64"/>
      <c r="W259" s="79"/>
      <c r="X259" s="64"/>
      <c r="Y259" s="64"/>
      <c r="Z259" s="64"/>
      <c r="AA259" s="64"/>
      <c r="AB259" s="64"/>
      <c r="AC259" s="64"/>
      <c r="AD259" s="64"/>
      <c r="AE259" s="64"/>
    </row>
    <row r="260" spans="1:31" ht="17.25" customHeight="1">
      <c r="A260" s="79"/>
      <c r="B260" s="64"/>
      <c r="C260" s="64"/>
      <c r="D260" s="64"/>
      <c r="E260" s="64"/>
      <c r="F260" s="64"/>
      <c r="G260" s="64"/>
      <c r="H260" s="87"/>
      <c r="I260" s="64"/>
      <c r="J260" s="64"/>
      <c r="K260" s="64"/>
      <c r="L260" s="64"/>
      <c r="M260" s="79"/>
      <c r="N260" s="64"/>
      <c r="O260" s="64"/>
      <c r="P260" s="64"/>
      <c r="Q260" s="64"/>
      <c r="R260" s="64"/>
      <c r="S260" s="64"/>
      <c r="T260" s="64"/>
      <c r="U260" s="78"/>
      <c r="V260" s="64"/>
      <c r="W260" s="79"/>
      <c r="X260" s="64"/>
      <c r="Y260" s="64"/>
      <c r="Z260" s="64"/>
      <c r="AA260" s="64"/>
      <c r="AB260" s="64"/>
      <c r="AC260" s="64"/>
      <c r="AD260" s="64"/>
      <c r="AE260" s="64"/>
    </row>
    <row r="261" spans="1:31" ht="17.25" customHeight="1">
      <c r="A261" s="79"/>
      <c r="B261" s="64"/>
      <c r="C261" s="64"/>
      <c r="D261" s="64"/>
      <c r="E261" s="64"/>
      <c r="F261" s="64"/>
      <c r="G261" s="64"/>
      <c r="H261" s="87"/>
      <c r="I261" s="64"/>
      <c r="J261" s="64"/>
      <c r="K261" s="64"/>
      <c r="L261" s="64"/>
      <c r="M261" s="79"/>
      <c r="N261" s="64"/>
      <c r="O261" s="64"/>
      <c r="P261" s="64"/>
      <c r="Q261" s="64"/>
      <c r="R261" s="64"/>
      <c r="S261" s="64"/>
      <c r="T261" s="64"/>
      <c r="U261" s="78"/>
      <c r="V261" s="64"/>
      <c r="W261" s="79"/>
      <c r="X261" s="64"/>
      <c r="Y261" s="64"/>
      <c r="Z261" s="64"/>
      <c r="AA261" s="64"/>
      <c r="AB261" s="64"/>
      <c r="AC261" s="64"/>
      <c r="AD261" s="64"/>
      <c r="AE261" s="64"/>
    </row>
    <row r="262" spans="1:31" ht="17.25" customHeight="1">
      <c r="A262" s="79"/>
      <c r="B262" s="64"/>
      <c r="C262" s="64"/>
      <c r="D262" s="64"/>
      <c r="E262" s="64"/>
      <c r="F262" s="64"/>
      <c r="G262" s="64"/>
      <c r="H262" s="87"/>
      <c r="I262" s="64"/>
      <c r="J262" s="64"/>
      <c r="K262" s="64"/>
      <c r="L262" s="64"/>
      <c r="M262" s="79"/>
      <c r="N262" s="64"/>
      <c r="O262" s="64"/>
      <c r="P262" s="64"/>
      <c r="Q262" s="64"/>
      <c r="R262" s="64"/>
      <c r="S262" s="64"/>
      <c r="T262" s="64"/>
      <c r="U262" s="78"/>
      <c r="V262" s="64"/>
      <c r="W262" s="79"/>
      <c r="X262" s="64"/>
      <c r="Y262" s="64"/>
      <c r="Z262" s="64"/>
      <c r="AA262" s="64"/>
      <c r="AB262" s="64"/>
      <c r="AC262" s="64"/>
      <c r="AD262" s="64"/>
      <c r="AE262" s="64"/>
    </row>
    <row r="263" spans="1:31" ht="17.25" customHeight="1">
      <c r="A263" s="79"/>
      <c r="B263" s="64"/>
      <c r="C263" s="64"/>
      <c r="D263" s="64"/>
      <c r="E263" s="64"/>
      <c r="F263" s="64"/>
      <c r="G263" s="64"/>
      <c r="H263" s="87"/>
      <c r="I263" s="64"/>
      <c r="J263" s="64"/>
      <c r="K263" s="64"/>
      <c r="L263" s="64"/>
      <c r="M263" s="79"/>
      <c r="N263" s="64"/>
      <c r="O263" s="64"/>
      <c r="P263" s="64"/>
      <c r="Q263" s="64"/>
      <c r="R263" s="64"/>
      <c r="S263" s="64"/>
      <c r="T263" s="64"/>
      <c r="U263" s="78"/>
      <c r="V263" s="64"/>
      <c r="W263" s="79"/>
      <c r="X263" s="64"/>
      <c r="Y263" s="64"/>
      <c r="Z263" s="64"/>
      <c r="AA263" s="64"/>
      <c r="AB263" s="64"/>
      <c r="AC263" s="64"/>
      <c r="AD263" s="64"/>
      <c r="AE263" s="64"/>
    </row>
    <row r="264" spans="1:31" ht="17.25" customHeight="1">
      <c r="A264" s="79"/>
      <c r="B264" s="64"/>
      <c r="C264" s="64"/>
      <c r="D264" s="64"/>
      <c r="E264" s="64"/>
      <c r="F264" s="64"/>
      <c r="G264" s="64"/>
      <c r="H264" s="87"/>
      <c r="I264" s="64"/>
      <c r="J264" s="64"/>
      <c r="K264" s="64"/>
      <c r="L264" s="64"/>
      <c r="M264" s="79"/>
      <c r="N264" s="64"/>
      <c r="O264" s="64"/>
      <c r="P264" s="64"/>
      <c r="Q264" s="64"/>
      <c r="R264" s="64"/>
      <c r="S264" s="64"/>
      <c r="T264" s="64"/>
      <c r="U264" s="78"/>
      <c r="V264" s="64"/>
      <c r="W264" s="79"/>
      <c r="X264" s="64"/>
      <c r="Y264" s="64"/>
      <c r="Z264" s="64"/>
      <c r="AA264" s="64"/>
      <c r="AB264" s="64"/>
      <c r="AC264" s="64"/>
      <c r="AD264" s="64"/>
      <c r="AE264" s="64"/>
    </row>
    <row r="265" spans="1:31" ht="17.25" customHeight="1">
      <c r="A265" s="79"/>
      <c r="B265" s="64"/>
      <c r="C265" s="64"/>
      <c r="D265" s="64"/>
      <c r="E265" s="64"/>
      <c r="F265" s="64"/>
      <c r="G265" s="64"/>
      <c r="H265" s="87"/>
      <c r="I265" s="64"/>
      <c r="J265" s="64"/>
      <c r="K265" s="64"/>
      <c r="L265" s="64"/>
      <c r="M265" s="79"/>
      <c r="N265" s="64"/>
      <c r="O265" s="64"/>
      <c r="P265" s="64"/>
      <c r="Q265" s="64"/>
      <c r="R265" s="64"/>
      <c r="S265" s="64"/>
      <c r="T265" s="64"/>
      <c r="U265" s="78"/>
      <c r="V265" s="64"/>
      <c r="W265" s="79"/>
      <c r="X265" s="64"/>
      <c r="Y265" s="64"/>
      <c r="Z265" s="64"/>
      <c r="AA265" s="64"/>
      <c r="AB265" s="64"/>
      <c r="AC265" s="64"/>
      <c r="AD265" s="64"/>
      <c r="AE265" s="64"/>
    </row>
    <row r="266" spans="1:31" ht="17.25" customHeight="1">
      <c r="A266" s="79"/>
      <c r="B266" s="64"/>
      <c r="C266" s="64"/>
      <c r="D266" s="64"/>
      <c r="E266" s="64"/>
      <c r="F266" s="64"/>
      <c r="G266" s="64"/>
      <c r="H266" s="87"/>
      <c r="I266" s="64"/>
      <c r="J266" s="64"/>
      <c r="K266" s="64"/>
      <c r="L266" s="64"/>
      <c r="M266" s="79"/>
      <c r="N266" s="64"/>
      <c r="O266" s="64"/>
      <c r="P266" s="64"/>
      <c r="Q266" s="64"/>
      <c r="R266" s="64"/>
      <c r="S266" s="64"/>
      <c r="T266" s="64"/>
      <c r="U266" s="78"/>
      <c r="V266" s="64"/>
      <c r="W266" s="79"/>
      <c r="X266" s="64"/>
      <c r="Y266" s="64"/>
      <c r="Z266" s="64"/>
      <c r="AA266" s="64"/>
      <c r="AB266" s="64"/>
      <c r="AC266" s="64"/>
      <c r="AD266" s="64"/>
      <c r="AE266" s="64"/>
    </row>
    <row r="267" spans="1:31" ht="17.25" customHeight="1">
      <c r="A267" s="79"/>
      <c r="B267" s="64"/>
      <c r="C267" s="64"/>
      <c r="D267" s="64"/>
      <c r="E267" s="64"/>
      <c r="F267" s="64"/>
      <c r="G267" s="64"/>
      <c r="H267" s="87"/>
      <c r="I267" s="64"/>
      <c r="J267" s="64"/>
      <c r="K267" s="64"/>
      <c r="L267" s="64"/>
      <c r="M267" s="79"/>
      <c r="N267" s="64"/>
      <c r="O267" s="64"/>
      <c r="P267" s="64"/>
      <c r="Q267" s="64"/>
      <c r="R267" s="64"/>
      <c r="S267" s="64"/>
      <c r="T267" s="64"/>
      <c r="U267" s="78"/>
      <c r="V267" s="64"/>
      <c r="W267" s="79"/>
      <c r="X267" s="64"/>
      <c r="Y267" s="64"/>
      <c r="Z267" s="64"/>
      <c r="AA267" s="64"/>
      <c r="AB267" s="64"/>
      <c r="AC267" s="64"/>
      <c r="AD267" s="64"/>
      <c r="AE267" s="64"/>
    </row>
    <row r="268" spans="1:31" ht="17.25" customHeight="1">
      <c r="A268" s="79"/>
      <c r="B268" s="64"/>
      <c r="C268" s="64"/>
      <c r="D268" s="64"/>
      <c r="E268" s="64"/>
      <c r="F268" s="64"/>
      <c r="G268" s="64"/>
      <c r="H268" s="87"/>
      <c r="I268" s="64"/>
      <c r="J268" s="64"/>
      <c r="K268" s="64"/>
      <c r="L268" s="64"/>
      <c r="M268" s="79"/>
      <c r="N268" s="64"/>
      <c r="O268" s="64"/>
      <c r="P268" s="64"/>
      <c r="Q268" s="64"/>
      <c r="R268" s="64"/>
      <c r="S268" s="64"/>
      <c r="T268" s="64"/>
      <c r="U268" s="78"/>
      <c r="V268" s="64"/>
      <c r="W268" s="79"/>
      <c r="X268" s="64"/>
      <c r="Y268" s="64"/>
      <c r="Z268" s="64"/>
      <c r="AA268" s="64"/>
      <c r="AB268" s="64"/>
      <c r="AC268" s="64"/>
      <c r="AD268" s="64"/>
      <c r="AE268" s="64"/>
    </row>
    <row r="269" spans="1:31" ht="17.25" customHeight="1">
      <c r="A269" s="79"/>
      <c r="B269" s="64"/>
      <c r="C269" s="64"/>
      <c r="D269" s="64"/>
      <c r="E269" s="64"/>
      <c r="F269" s="64"/>
      <c r="G269" s="64"/>
      <c r="H269" s="87"/>
      <c r="I269" s="64"/>
      <c r="J269" s="64"/>
      <c r="K269" s="64"/>
      <c r="L269" s="64"/>
      <c r="M269" s="79"/>
      <c r="N269" s="64"/>
      <c r="O269" s="64"/>
      <c r="P269" s="64"/>
      <c r="Q269" s="64"/>
      <c r="R269" s="64"/>
      <c r="S269" s="64"/>
      <c r="T269" s="64"/>
      <c r="U269" s="78"/>
      <c r="V269" s="64"/>
      <c r="W269" s="79"/>
      <c r="X269" s="64"/>
      <c r="Y269" s="64"/>
      <c r="Z269" s="64"/>
      <c r="AA269" s="64"/>
      <c r="AB269" s="64"/>
      <c r="AC269" s="64"/>
      <c r="AD269" s="64"/>
      <c r="AE269" s="64"/>
    </row>
    <row r="270" spans="1:31" ht="17.25" customHeight="1">
      <c r="A270" s="79"/>
      <c r="B270" s="64"/>
      <c r="C270" s="64"/>
      <c r="D270" s="64"/>
      <c r="E270" s="64"/>
      <c r="F270" s="64"/>
      <c r="G270" s="64"/>
      <c r="H270" s="87"/>
      <c r="I270" s="64"/>
      <c r="J270" s="64"/>
      <c r="K270" s="64"/>
      <c r="L270" s="64"/>
      <c r="M270" s="79"/>
      <c r="N270" s="64"/>
      <c r="O270" s="64"/>
      <c r="P270" s="64"/>
      <c r="Q270" s="64"/>
      <c r="R270" s="64"/>
      <c r="S270" s="64"/>
      <c r="T270" s="64"/>
      <c r="U270" s="78"/>
      <c r="V270" s="64"/>
      <c r="W270" s="79"/>
      <c r="X270" s="64"/>
      <c r="Y270" s="64"/>
      <c r="Z270" s="64"/>
      <c r="AA270" s="64"/>
      <c r="AB270" s="64"/>
      <c r="AC270" s="64"/>
      <c r="AD270" s="64"/>
      <c r="AE270" s="64"/>
    </row>
    <row r="271" spans="1:31" ht="17.25" customHeight="1">
      <c r="A271" s="79"/>
      <c r="B271" s="64"/>
      <c r="C271" s="64"/>
      <c r="D271" s="64"/>
      <c r="E271" s="64"/>
      <c r="F271" s="64"/>
      <c r="G271" s="64"/>
      <c r="H271" s="87"/>
      <c r="I271" s="64"/>
      <c r="J271" s="64"/>
      <c r="K271" s="64"/>
      <c r="L271" s="64"/>
      <c r="M271" s="79"/>
      <c r="N271" s="64"/>
      <c r="O271" s="64"/>
      <c r="P271" s="64"/>
      <c r="Q271" s="64"/>
      <c r="R271" s="64"/>
      <c r="S271" s="64"/>
      <c r="T271" s="64"/>
      <c r="U271" s="78"/>
      <c r="V271" s="64"/>
      <c r="W271" s="79"/>
      <c r="X271" s="64"/>
      <c r="Y271" s="64"/>
      <c r="Z271" s="64"/>
      <c r="AA271" s="64"/>
      <c r="AB271" s="64"/>
      <c r="AC271" s="64"/>
      <c r="AD271" s="64"/>
      <c r="AE271" s="64"/>
    </row>
    <row r="272" spans="1:31" ht="17.25" customHeight="1">
      <c r="A272" s="79"/>
      <c r="B272" s="64"/>
      <c r="C272" s="64"/>
      <c r="D272" s="64"/>
      <c r="E272" s="64"/>
      <c r="F272" s="64"/>
      <c r="G272" s="64"/>
      <c r="H272" s="87"/>
      <c r="I272" s="64"/>
      <c r="J272" s="64"/>
      <c r="K272" s="64"/>
      <c r="L272" s="64"/>
      <c r="M272" s="79"/>
      <c r="N272" s="64"/>
      <c r="O272" s="64"/>
      <c r="P272" s="64"/>
      <c r="Q272" s="64"/>
      <c r="R272" s="64"/>
      <c r="S272" s="64"/>
      <c r="T272" s="64"/>
      <c r="U272" s="78"/>
      <c r="V272" s="64"/>
      <c r="W272" s="79"/>
      <c r="X272" s="64"/>
      <c r="Y272" s="64"/>
      <c r="Z272" s="64"/>
      <c r="AA272" s="64"/>
      <c r="AB272" s="64"/>
      <c r="AC272" s="64"/>
      <c r="AD272" s="64"/>
      <c r="AE272" s="64"/>
    </row>
    <row r="273" spans="1:31" ht="17.25" customHeight="1">
      <c r="A273" s="79"/>
      <c r="B273" s="64"/>
      <c r="C273" s="64"/>
      <c r="D273" s="64"/>
      <c r="E273" s="64"/>
      <c r="F273" s="64"/>
      <c r="G273" s="64"/>
      <c r="H273" s="87"/>
      <c r="I273" s="64"/>
      <c r="J273" s="64"/>
      <c r="K273" s="64"/>
      <c r="L273" s="64"/>
      <c r="M273" s="79"/>
      <c r="N273" s="64"/>
      <c r="O273" s="64"/>
      <c r="P273" s="64"/>
      <c r="Q273" s="64"/>
      <c r="R273" s="64"/>
      <c r="S273" s="64"/>
      <c r="T273" s="64"/>
      <c r="U273" s="78"/>
      <c r="V273" s="64"/>
      <c r="W273" s="79"/>
      <c r="X273" s="64"/>
      <c r="Y273" s="64"/>
      <c r="Z273" s="64"/>
      <c r="AA273" s="64"/>
      <c r="AB273" s="64"/>
      <c r="AC273" s="64"/>
      <c r="AD273" s="64"/>
      <c r="AE273" s="64"/>
    </row>
    <row r="274" spans="1:31" ht="17.25" customHeight="1">
      <c r="A274" s="79"/>
      <c r="B274" s="64"/>
      <c r="C274" s="64"/>
      <c r="D274" s="64"/>
      <c r="E274" s="64"/>
      <c r="F274" s="64"/>
      <c r="G274" s="64"/>
      <c r="H274" s="87"/>
      <c r="I274" s="64"/>
      <c r="J274" s="64"/>
      <c r="K274" s="64"/>
      <c r="L274" s="64"/>
      <c r="M274" s="79"/>
      <c r="N274" s="64"/>
      <c r="O274" s="64"/>
      <c r="P274" s="64"/>
      <c r="Q274" s="64"/>
      <c r="R274" s="64"/>
      <c r="S274" s="64"/>
      <c r="T274" s="64"/>
      <c r="U274" s="78"/>
      <c r="V274" s="64"/>
      <c r="W274" s="79"/>
      <c r="X274" s="64"/>
      <c r="Y274" s="64"/>
      <c r="Z274" s="64"/>
      <c r="AA274" s="64"/>
      <c r="AB274" s="64"/>
      <c r="AC274" s="64"/>
      <c r="AD274" s="64"/>
      <c r="AE274" s="64"/>
    </row>
    <row r="275" spans="1:31" ht="17.25" customHeight="1">
      <c r="A275" s="79"/>
      <c r="B275" s="64"/>
      <c r="C275" s="64"/>
      <c r="D275" s="64"/>
      <c r="E275" s="64"/>
      <c r="F275" s="64"/>
      <c r="G275" s="64"/>
      <c r="H275" s="87"/>
      <c r="I275" s="64"/>
      <c r="J275" s="64"/>
      <c r="K275" s="64"/>
      <c r="L275" s="64"/>
      <c r="M275" s="79"/>
      <c r="N275" s="64"/>
      <c r="O275" s="64"/>
      <c r="P275" s="64"/>
      <c r="Q275" s="64"/>
      <c r="R275" s="64"/>
      <c r="S275" s="64"/>
      <c r="T275" s="64"/>
      <c r="U275" s="78"/>
      <c r="V275" s="64"/>
      <c r="W275" s="79"/>
      <c r="X275" s="64"/>
      <c r="Y275" s="64"/>
      <c r="Z275" s="64"/>
      <c r="AA275" s="64"/>
      <c r="AB275" s="64"/>
      <c r="AC275" s="64"/>
      <c r="AD275" s="64"/>
      <c r="AE275" s="64"/>
    </row>
    <row r="276" spans="1:31" ht="17.25" customHeight="1">
      <c r="A276" s="79"/>
      <c r="B276" s="64"/>
      <c r="C276" s="64"/>
      <c r="D276" s="64"/>
      <c r="E276" s="64"/>
      <c r="F276" s="64"/>
      <c r="G276" s="64"/>
      <c r="H276" s="87"/>
      <c r="I276" s="64"/>
      <c r="J276" s="64"/>
      <c r="K276" s="64"/>
      <c r="L276" s="64"/>
      <c r="M276" s="79"/>
      <c r="N276" s="64"/>
      <c r="O276" s="64"/>
      <c r="P276" s="64"/>
      <c r="Q276" s="64"/>
      <c r="R276" s="64"/>
      <c r="S276" s="64"/>
      <c r="T276" s="64"/>
      <c r="U276" s="78"/>
      <c r="V276" s="64"/>
      <c r="W276" s="79"/>
      <c r="X276" s="64"/>
      <c r="Y276" s="64"/>
      <c r="Z276" s="64"/>
      <c r="AA276" s="64"/>
      <c r="AB276" s="64"/>
      <c r="AC276" s="64"/>
      <c r="AD276" s="64"/>
      <c r="AE276" s="64"/>
    </row>
    <row r="277" spans="1:31" ht="17.25" customHeight="1">
      <c r="A277" s="79"/>
      <c r="B277" s="64"/>
      <c r="C277" s="64"/>
      <c r="D277" s="64"/>
      <c r="E277" s="64"/>
      <c r="F277" s="64"/>
      <c r="G277" s="64"/>
      <c r="H277" s="87"/>
      <c r="I277" s="64"/>
      <c r="J277" s="64"/>
      <c r="K277" s="64"/>
      <c r="L277" s="64"/>
      <c r="M277" s="79"/>
      <c r="N277" s="64"/>
      <c r="O277" s="64"/>
      <c r="P277" s="64"/>
      <c r="Q277" s="64"/>
      <c r="R277" s="64"/>
      <c r="S277" s="64"/>
      <c r="T277" s="64"/>
      <c r="U277" s="78"/>
      <c r="V277" s="64"/>
      <c r="W277" s="79"/>
      <c r="X277" s="64"/>
      <c r="Y277" s="64"/>
      <c r="Z277" s="64"/>
      <c r="AA277" s="64"/>
      <c r="AB277" s="64"/>
      <c r="AC277" s="64"/>
      <c r="AD277" s="64"/>
      <c r="AE277" s="64"/>
    </row>
    <row r="278" spans="1:31" ht="17.25" customHeight="1">
      <c r="A278" s="79"/>
      <c r="B278" s="64"/>
      <c r="C278" s="64"/>
      <c r="D278" s="64"/>
      <c r="E278" s="64"/>
      <c r="F278" s="64"/>
      <c r="G278" s="64"/>
      <c r="H278" s="87"/>
      <c r="I278" s="64"/>
      <c r="J278" s="64"/>
      <c r="K278" s="64"/>
      <c r="L278" s="64"/>
      <c r="M278" s="79"/>
      <c r="N278" s="64"/>
      <c r="O278" s="64"/>
      <c r="P278" s="64"/>
      <c r="Q278" s="64"/>
      <c r="R278" s="64"/>
      <c r="S278" s="64"/>
      <c r="T278" s="64"/>
      <c r="U278" s="78"/>
      <c r="V278" s="64"/>
      <c r="W278" s="79"/>
      <c r="X278" s="64"/>
      <c r="Y278" s="64"/>
      <c r="Z278" s="64"/>
      <c r="AA278" s="64"/>
      <c r="AB278" s="64"/>
      <c r="AC278" s="64"/>
      <c r="AD278" s="64"/>
      <c r="AE278" s="64"/>
    </row>
    <row r="279" spans="1:31" ht="17.25" customHeight="1">
      <c r="A279" s="79"/>
      <c r="B279" s="64"/>
      <c r="C279" s="64"/>
      <c r="D279" s="64"/>
      <c r="E279" s="64"/>
      <c r="F279" s="64"/>
      <c r="G279" s="64"/>
      <c r="H279" s="87"/>
      <c r="I279" s="64"/>
      <c r="J279" s="64"/>
      <c r="K279" s="64"/>
      <c r="L279" s="64"/>
      <c r="M279" s="79"/>
      <c r="N279" s="64"/>
      <c r="O279" s="64"/>
      <c r="P279" s="64"/>
      <c r="Q279" s="64"/>
      <c r="R279" s="64"/>
      <c r="S279" s="64"/>
      <c r="T279" s="64"/>
      <c r="U279" s="78"/>
      <c r="V279" s="64"/>
      <c r="W279" s="79"/>
      <c r="X279" s="64"/>
      <c r="Y279" s="64"/>
      <c r="Z279" s="64"/>
      <c r="AA279" s="64"/>
      <c r="AB279" s="64"/>
      <c r="AC279" s="64"/>
      <c r="AD279" s="64"/>
      <c r="AE279" s="64"/>
    </row>
    <row r="280" spans="1:31" ht="17.25" customHeight="1">
      <c r="A280" s="79"/>
      <c r="B280" s="64"/>
      <c r="C280" s="64"/>
      <c r="D280" s="64"/>
      <c r="E280" s="64"/>
      <c r="F280" s="64"/>
      <c r="G280" s="64"/>
      <c r="H280" s="87"/>
      <c r="I280" s="64"/>
      <c r="J280" s="64"/>
      <c r="K280" s="64"/>
      <c r="L280" s="64"/>
      <c r="M280" s="79"/>
      <c r="N280" s="64"/>
      <c r="O280" s="64"/>
      <c r="P280" s="64"/>
      <c r="Q280" s="64"/>
      <c r="R280" s="64"/>
      <c r="S280" s="64"/>
      <c r="T280" s="64"/>
      <c r="U280" s="78"/>
      <c r="V280" s="64"/>
      <c r="W280" s="79"/>
      <c r="X280" s="64"/>
      <c r="Y280" s="64"/>
      <c r="Z280" s="64"/>
      <c r="AA280" s="64"/>
      <c r="AB280" s="64"/>
      <c r="AC280" s="64"/>
      <c r="AD280" s="64"/>
      <c r="AE280" s="64"/>
    </row>
    <row r="281" spans="1:31" ht="17.25" customHeight="1">
      <c r="A281" s="79"/>
      <c r="B281" s="64"/>
      <c r="C281" s="64"/>
      <c r="D281" s="64"/>
      <c r="E281" s="64"/>
      <c r="F281" s="64"/>
      <c r="G281" s="64"/>
      <c r="H281" s="87"/>
      <c r="I281" s="64"/>
      <c r="J281" s="64"/>
      <c r="K281" s="64"/>
      <c r="L281" s="64"/>
      <c r="M281" s="79"/>
      <c r="N281" s="64"/>
      <c r="O281" s="64"/>
      <c r="P281" s="64"/>
      <c r="Q281" s="64"/>
      <c r="R281" s="64"/>
      <c r="S281" s="64"/>
      <c r="T281" s="64"/>
      <c r="U281" s="78"/>
      <c r="V281" s="64"/>
      <c r="W281" s="79"/>
      <c r="X281" s="64"/>
      <c r="Y281" s="64"/>
      <c r="Z281" s="64"/>
      <c r="AA281" s="64"/>
      <c r="AB281" s="64"/>
      <c r="AC281" s="64"/>
      <c r="AD281" s="64"/>
      <c r="AE281" s="64"/>
    </row>
    <row r="282" spans="1:31" ht="17.25" customHeight="1">
      <c r="A282" s="79"/>
      <c r="B282" s="64"/>
      <c r="C282" s="64"/>
      <c r="D282" s="64"/>
      <c r="E282" s="64"/>
      <c r="F282" s="64"/>
      <c r="G282" s="64"/>
      <c r="H282" s="87"/>
      <c r="I282" s="64"/>
      <c r="J282" s="64"/>
      <c r="K282" s="64"/>
      <c r="L282" s="64"/>
      <c r="M282" s="79"/>
      <c r="N282" s="64"/>
      <c r="O282" s="64"/>
      <c r="P282" s="64"/>
      <c r="Q282" s="64"/>
      <c r="R282" s="64"/>
      <c r="S282" s="64"/>
      <c r="T282" s="64"/>
      <c r="U282" s="78"/>
      <c r="V282" s="64"/>
      <c r="W282" s="79"/>
      <c r="X282" s="64"/>
      <c r="Y282" s="64"/>
      <c r="Z282" s="64"/>
      <c r="AA282" s="64"/>
      <c r="AB282" s="64"/>
      <c r="AC282" s="64"/>
      <c r="AD282" s="64"/>
      <c r="AE282" s="64"/>
    </row>
    <row r="283" spans="1:31" ht="17.25" customHeight="1">
      <c r="A283" s="79"/>
      <c r="B283" s="64"/>
      <c r="C283" s="64"/>
      <c r="D283" s="64"/>
      <c r="E283" s="64"/>
      <c r="F283" s="64"/>
      <c r="G283" s="64"/>
      <c r="H283" s="87"/>
      <c r="I283" s="64"/>
      <c r="J283" s="64"/>
      <c r="K283" s="64"/>
      <c r="L283" s="64"/>
      <c r="M283" s="79"/>
      <c r="N283" s="64"/>
      <c r="O283" s="64"/>
      <c r="P283" s="64"/>
      <c r="Q283" s="64"/>
      <c r="R283" s="64"/>
      <c r="S283" s="64"/>
      <c r="T283" s="64"/>
      <c r="U283" s="78"/>
      <c r="V283" s="64"/>
      <c r="W283" s="79"/>
      <c r="X283" s="64"/>
      <c r="Y283" s="64"/>
      <c r="Z283" s="64"/>
      <c r="AA283" s="64"/>
      <c r="AB283" s="64"/>
      <c r="AC283" s="64"/>
      <c r="AD283" s="64"/>
      <c r="AE283" s="64"/>
    </row>
    <row r="284" spans="1:31" ht="17.25" customHeight="1">
      <c r="A284" s="79"/>
      <c r="B284" s="64"/>
      <c r="C284" s="64"/>
      <c r="D284" s="64"/>
      <c r="E284" s="64"/>
      <c r="F284" s="64"/>
      <c r="G284" s="64"/>
      <c r="H284" s="87"/>
      <c r="I284" s="64"/>
      <c r="J284" s="64"/>
      <c r="K284" s="64"/>
      <c r="L284" s="64"/>
      <c r="M284" s="79"/>
      <c r="N284" s="64"/>
      <c r="O284" s="64"/>
      <c r="P284" s="64"/>
      <c r="Q284" s="64"/>
      <c r="R284" s="64"/>
      <c r="S284" s="64"/>
      <c r="T284" s="64"/>
      <c r="U284" s="78"/>
      <c r="V284" s="64"/>
      <c r="W284" s="79"/>
      <c r="X284" s="64"/>
      <c r="Y284" s="64"/>
      <c r="Z284" s="64"/>
      <c r="AA284" s="64"/>
      <c r="AB284" s="64"/>
      <c r="AC284" s="64"/>
      <c r="AD284" s="64"/>
      <c r="AE284" s="64"/>
    </row>
    <row r="285" spans="1:31" ht="17.25" customHeight="1">
      <c r="A285" s="79"/>
      <c r="B285" s="64"/>
      <c r="C285" s="64"/>
      <c r="D285" s="64"/>
      <c r="E285" s="64"/>
      <c r="F285" s="64"/>
      <c r="G285" s="64"/>
      <c r="H285" s="87"/>
      <c r="I285" s="64"/>
      <c r="J285" s="64"/>
      <c r="K285" s="64"/>
      <c r="L285" s="64"/>
      <c r="M285" s="79"/>
      <c r="N285" s="64"/>
      <c r="O285" s="64"/>
      <c r="P285" s="64"/>
      <c r="Q285" s="64"/>
      <c r="R285" s="64"/>
      <c r="S285" s="64"/>
      <c r="T285" s="64"/>
      <c r="U285" s="78"/>
      <c r="V285" s="64"/>
      <c r="W285" s="79"/>
      <c r="X285" s="64"/>
      <c r="Y285" s="64"/>
      <c r="Z285" s="64"/>
      <c r="AA285" s="64"/>
      <c r="AB285" s="64"/>
      <c r="AC285" s="64"/>
      <c r="AD285" s="64"/>
      <c r="AE285" s="64"/>
    </row>
    <row r="286" spans="1:31" ht="17.25" customHeight="1">
      <c r="A286" s="79"/>
      <c r="B286" s="64"/>
      <c r="C286" s="64"/>
      <c r="D286" s="64"/>
      <c r="E286" s="64"/>
      <c r="F286" s="64"/>
      <c r="G286" s="64"/>
      <c r="H286" s="87"/>
      <c r="I286" s="64"/>
      <c r="J286" s="64"/>
      <c r="K286" s="64"/>
      <c r="L286" s="64"/>
      <c r="M286" s="79"/>
      <c r="N286" s="64"/>
      <c r="O286" s="64"/>
      <c r="P286" s="64"/>
      <c r="Q286" s="64"/>
      <c r="R286" s="64"/>
      <c r="S286" s="64"/>
      <c r="T286" s="64"/>
      <c r="U286" s="78"/>
      <c r="V286" s="64"/>
      <c r="W286" s="79"/>
      <c r="X286" s="64"/>
      <c r="Y286" s="64"/>
      <c r="Z286" s="64"/>
      <c r="AA286" s="64"/>
      <c r="AB286" s="64"/>
      <c r="AC286" s="64"/>
      <c r="AD286" s="64"/>
      <c r="AE286" s="64"/>
    </row>
    <row r="287" spans="1:31" ht="17.25" customHeight="1">
      <c r="A287" s="79"/>
      <c r="B287" s="64"/>
      <c r="C287" s="64"/>
      <c r="D287" s="64"/>
      <c r="E287" s="64"/>
      <c r="F287" s="64"/>
      <c r="G287" s="64"/>
      <c r="H287" s="87"/>
      <c r="I287" s="64"/>
      <c r="J287" s="64"/>
      <c r="K287" s="64"/>
      <c r="L287" s="64"/>
      <c r="M287" s="79"/>
      <c r="N287" s="64"/>
      <c r="O287" s="64"/>
      <c r="P287" s="64"/>
      <c r="Q287" s="64"/>
      <c r="R287" s="64"/>
      <c r="S287" s="64"/>
      <c r="T287" s="64"/>
      <c r="U287" s="78"/>
      <c r="V287" s="64"/>
      <c r="W287" s="79"/>
      <c r="X287" s="64"/>
      <c r="Y287" s="64"/>
      <c r="Z287" s="64"/>
      <c r="AA287" s="64"/>
      <c r="AB287" s="64"/>
      <c r="AC287" s="64"/>
      <c r="AD287" s="64"/>
      <c r="AE287" s="64"/>
    </row>
    <row r="288" spans="1:31" ht="17.25" customHeight="1">
      <c r="A288" s="79"/>
      <c r="B288" s="64"/>
      <c r="C288" s="64"/>
      <c r="D288" s="64"/>
      <c r="E288" s="64"/>
      <c r="F288" s="64"/>
      <c r="G288" s="64"/>
      <c r="H288" s="87"/>
      <c r="I288" s="64"/>
      <c r="J288" s="64"/>
      <c r="K288" s="64"/>
      <c r="L288" s="64"/>
      <c r="M288" s="79"/>
      <c r="N288" s="64"/>
      <c r="O288" s="64"/>
      <c r="P288" s="64"/>
      <c r="Q288" s="64"/>
      <c r="R288" s="64"/>
      <c r="S288" s="64"/>
      <c r="T288" s="64"/>
      <c r="U288" s="78"/>
      <c r="V288" s="64"/>
      <c r="W288" s="79"/>
      <c r="X288" s="64"/>
      <c r="Y288" s="64"/>
      <c r="Z288" s="64"/>
      <c r="AA288" s="64"/>
      <c r="AB288" s="64"/>
      <c r="AC288" s="64"/>
      <c r="AD288" s="64"/>
      <c r="AE288" s="64"/>
    </row>
    <row r="289" spans="1:31" ht="17.25" customHeight="1">
      <c r="A289" s="79"/>
      <c r="B289" s="64"/>
      <c r="C289" s="64"/>
      <c r="D289" s="64"/>
      <c r="E289" s="64"/>
      <c r="F289" s="64"/>
      <c r="G289" s="64"/>
      <c r="H289" s="87"/>
      <c r="I289" s="64"/>
      <c r="J289" s="64"/>
      <c r="K289" s="64"/>
      <c r="L289" s="64"/>
      <c r="M289" s="79"/>
      <c r="N289" s="64"/>
      <c r="O289" s="64"/>
      <c r="P289" s="64"/>
      <c r="Q289" s="64"/>
      <c r="R289" s="64"/>
      <c r="S289" s="64"/>
      <c r="T289" s="64"/>
      <c r="U289" s="78"/>
      <c r="V289" s="64"/>
      <c r="W289" s="79"/>
      <c r="X289" s="64"/>
      <c r="Y289" s="64"/>
      <c r="Z289" s="64"/>
      <c r="AA289" s="64"/>
      <c r="AB289" s="64"/>
      <c r="AC289" s="64"/>
      <c r="AD289" s="64"/>
      <c r="AE289" s="64"/>
    </row>
    <row r="290" spans="1:31" ht="17.25" customHeight="1">
      <c r="A290" s="79"/>
      <c r="B290" s="64"/>
      <c r="C290" s="64"/>
      <c r="D290" s="64"/>
      <c r="E290" s="64"/>
      <c r="F290" s="64"/>
      <c r="G290" s="64"/>
      <c r="H290" s="87"/>
      <c r="I290" s="64"/>
      <c r="J290" s="64"/>
      <c r="K290" s="64"/>
      <c r="L290" s="64"/>
      <c r="M290" s="79"/>
      <c r="N290" s="64"/>
      <c r="O290" s="64"/>
      <c r="P290" s="64"/>
      <c r="Q290" s="64"/>
      <c r="R290" s="64"/>
      <c r="S290" s="64"/>
      <c r="T290" s="64"/>
      <c r="U290" s="78"/>
      <c r="V290" s="64"/>
      <c r="W290" s="79"/>
      <c r="X290" s="64"/>
      <c r="Y290" s="64"/>
      <c r="Z290" s="64"/>
      <c r="AA290" s="64"/>
      <c r="AB290" s="64"/>
      <c r="AC290" s="64"/>
      <c r="AD290" s="64"/>
      <c r="AE290" s="64"/>
    </row>
    <row r="291" spans="1:31" ht="17.25" customHeight="1">
      <c r="A291" s="79"/>
      <c r="B291" s="64"/>
      <c r="C291" s="64"/>
      <c r="D291" s="64"/>
      <c r="E291" s="64"/>
      <c r="F291" s="64"/>
      <c r="G291" s="64"/>
      <c r="H291" s="87"/>
      <c r="I291" s="64"/>
      <c r="J291" s="64"/>
      <c r="K291" s="64"/>
      <c r="L291" s="64"/>
      <c r="M291" s="79"/>
      <c r="N291" s="64"/>
      <c r="O291" s="64"/>
      <c r="P291" s="64"/>
      <c r="Q291" s="64"/>
      <c r="R291" s="64"/>
      <c r="S291" s="64"/>
      <c r="T291" s="64"/>
      <c r="U291" s="78"/>
      <c r="V291" s="64"/>
      <c r="W291" s="79"/>
      <c r="X291" s="64"/>
      <c r="Y291" s="64"/>
      <c r="Z291" s="64"/>
      <c r="AA291" s="64"/>
      <c r="AB291" s="64"/>
      <c r="AC291" s="64"/>
      <c r="AD291" s="64"/>
      <c r="AE291" s="64"/>
    </row>
    <row r="292" spans="1:31" ht="17.25" customHeight="1">
      <c r="A292" s="79"/>
      <c r="B292" s="64"/>
      <c r="C292" s="64"/>
      <c r="D292" s="64"/>
      <c r="E292" s="64"/>
      <c r="F292" s="64"/>
      <c r="G292" s="64"/>
      <c r="H292" s="87"/>
      <c r="I292" s="64"/>
      <c r="J292" s="64"/>
      <c r="K292" s="64"/>
      <c r="L292" s="64"/>
      <c r="M292" s="79"/>
      <c r="N292" s="64"/>
      <c r="O292" s="64"/>
      <c r="P292" s="64"/>
      <c r="Q292" s="64"/>
      <c r="R292" s="64"/>
      <c r="S292" s="64"/>
      <c r="T292" s="64"/>
      <c r="U292" s="78"/>
      <c r="V292" s="64"/>
      <c r="W292" s="79"/>
      <c r="X292" s="64"/>
      <c r="Y292" s="64"/>
      <c r="Z292" s="64"/>
      <c r="AA292" s="64"/>
      <c r="AB292" s="64"/>
      <c r="AC292" s="64"/>
      <c r="AD292" s="64"/>
      <c r="AE292" s="64"/>
    </row>
    <row r="293" spans="1:31" ht="17.25" customHeight="1">
      <c r="A293" s="79"/>
      <c r="B293" s="64"/>
      <c r="C293" s="64"/>
      <c r="D293" s="64"/>
      <c r="E293" s="64"/>
      <c r="F293" s="64"/>
      <c r="G293" s="64"/>
      <c r="H293" s="87"/>
      <c r="I293" s="64"/>
      <c r="J293" s="64"/>
      <c r="K293" s="64"/>
      <c r="L293" s="64"/>
      <c r="M293" s="79"/>
      <c r="N293" s="64"/>
      <c r="O293" s="64"/>
      <c r="P293" s="64"/>
      <c r="Q293" s="64"/>
      <c r="R293" s="64"/>
      <c r="S293" s="64"/>
      <c r="T293" s="64"/>
      <c r="U293" s="78"/>
      <c r="V293" s="64"/>
      <c r="W293" s="79"/>
      <c r="X293" s="64"/>
      <c r="Y293" s="64"/>
      <c r="Z293" s="64"/>
      <c r="AA293" s="64"/>
      <c r="AB293" s="64"/>
      <c r="AC293" s="64"/>
      <c r="AD293" s="64"/>
      <c r="AE293" s="64"/>
    </row>
    <row r="294" spans="1:31" ht="17.25" customHeight="1">
      <c r="A294" s="79"/>
      <c r="B294" s="64"/>
      <c r="C294" s="64"/>
      <c r="D294" s="64"/>
      <c r="E294" s="64"/>
      <c r="F294" s="64"/>
      <c r="G294" s="64"/>
      <c r="H294" s="87"/>
      <c r="I294" s="64"/>
      <c r="J294" s="64"/>
      <c r="K294" s="64"/>
      <c r="L294" s="64"/>
      <c r="M294" s="79"/>
      <c r="N294" s="64"/>
      <c r="O294" s="64"/>
      <c r="P294" s="64"/>
      <c r="Q294" s="64"/>
      <c r="R294" s="64"/>
      <c r="S294" s="64"/>
      <c r="T294" s="64"/>
      <c r="U294" s="78"/>
      <c r="V294" s="64"/>
      <c r="W294" s="79"/>
      <c r="X294" s="64"/>
      <c r="Y294" s="64"/>
      <c r="Z294" s="64"/>
      <c r="AA294" s="64"/>
      <c r="AB294" s="64"/>
      <c r="AC294" s="64"/>
      <c r="AD294" s="64"/>
      <c r="AE294" s="64"/>
    </row>
    <row r="295" spans="1:31" ht="17.25" customHeight="1">
      <c r="A295" s="79"/>
      <c r="B295" s="64"/>
      <c r="C295" s="64"/>
      <c r="D295" s="64"/>
      <c r="E295" s="64"/>
      <c r="F295" s="64"/>
      <c r="G295" s="64"/>
      <c r="H295" s="87"/>
      <c r="I295" s="64"/>
      <c r="J295" s="64"/>
      <c r="K295" s="64"/>
      <c r="L295" s="64"/>
      <c r="M295" s="79"/>
      <c r="N295" s="64"/>
      <c r="O295" s="64"/>
      <c r="P295" s="64"/>
      <c r="Q295" s="64"/>
      <c r="R295" s="64"/>
      <c r="S295" s="64"/>
      <c r="T295" s="64"/>
      <c r="U295" s="78"/>
      <c r="V295" s="64"/>
      <c r="W295" s="79"/>
      <c r="X295" s="64"/>
      <c r="Y295" s="64"/>
      <c r="Z295" s="64"/>
      <c r="AA295" s="64"/>
      <c r="AB295" s="64"/>
      <c r="AC295" s="64"/>
      <c r="AD295" s="64"/>
      <c r="AE295" s="64"/>
    </row>
    <row r="296" spans="1:31" ht="17.25" customHeight="1">
      <c r="A296" s="79"/>
      <c r="B296" s="64"/>
      <c r="C296" s="64"/>
      <c r="D296" s="64"/>
      <c r="E296" s="64"/>
      <c r="F296" s="64"/>
      <c r="G296" s="64"/>
      <c r="H296" s="87"/>
      <c r="I296" s="64"/>
      <c r="J296" s="64"/>
      <c r="K296" s="64"/>
      <c r="L296" s="64"/>
      <c r="M296" s="79"/>
      <c r="N296" s="64"/>
      <c r="O296" s="64"/>
      <c r="P296" s="64"/>
      <c r="Q296" s="64"/>
      <c r="R296" s="64"/>
      <c r="S296" s="64"/>
      <c r="T296" s="64"/>
      <c r="U296" s="78"/>
      <c r="V296" s="64"/>
      <c r="W296" s="79"/>
      <c r="X296" s="64"/>
      <c r="Y296" s="64"/>
      <c r="Z296" s="64"/>
      <c r="AA296" s="64"/>
      <c r="AB296" s="64"/>
      <c r="AC296" s="64"/>
      <c r="AD296" s="64"/>
      <c r="AE296" s="64"/>
    </row>
    <row r="297" spans="1:31" ht="17.25" customHeight="1">
      <c r="A297" s="79"/>
      <c r="B297" s="64"/>
      <c r="C297" s="64"/>
      <c r="D297" s="64"/>
      <c r="E297" s="64"/>
      <c r="F297" s="64"/>
      <c r="G297" s="64"/>
      <c r="H297" s="87"/>
      <c r="I297" s="64"/>
      <c r="J297" s="64"/>
      <c r="K297" s="64"/>
      <c r="L297" s="64"/>
      <c r="M297" s="79"/>
      <c r="N297" s="64"/>
      <c r="O297" s="64"/>
      <c r="P297" s="64"/>
      <c r="Q297" s="64"/>
      <c r="R297" s="64"/>
      <c r="S297" s="64"/>
      <c r="T297" s="64"/>
      <c r="U297" s="78"/>
      <c r="V297" s="64"/>
      <c r="W297" s="79"/>
      <c r="X297" s="64"/>
      <c r="Y297" s="64"/>
      <c r="Z297" s="64"/>
      <c r="AA297" s="64"/>
      <c r="AB297" s="64"/>
      <c r="AC297" s="64"/>
      <c r="AD297" s="64"/>
      <c r="AE297" s="64"/>
    </row>
    <row r="298" spans="1:31" ht="17.25" customHeight="1">
      <c r="A298" s="79"/>
      <c r="B298" s="64"/>
      <c r="C298" s="64"/>
      <c r="D298" s="64"/>
      <c r="E298" s="64"/>
      <c r="F298" s="64"/>
      <c r="G298" s="64"/>
      <c r="H298" s="87"/>
      <c r="I298" s="64"/>
      <c r="J298" s="64"/>
      <c r="K298" s="64"/>
      <c r="L298" s="64"/>
      <c r="M298" s="79"/>
      <c r="N298" s="64"/>
      <c r="O298" s="64"/>
      <c r="P298" s="64"/>
      <c r="Q298" s="64"/>
      <c r="R298" s="64"/>
      <c r="S298" s="64"/>
      <c r="T298" s="64"/>
      <c r="U298" s="78"/>
      <c r="V298" s="64"/>
      <c r="W298" s="79"/>
      <c r="X298" s="64"/>
      <c r="Y298" s="64"/>
      <c r="Z298" s="64"/>
      <c r="AA298" s="64"/>
      <c r="AB298" s="64"/>
      <c r="AC298" s="64"/>
      <c r="AD298" s="64"/>
      <c r="AE298" s="64"/>
    </row>
    <row r="299" spans="1:31" ht="17.25" customHeight="1">
      <c r="A299" s="79"/>
      <c r="B299" s="64"/>
      <c r="C299" s="64"/>
      <c r="D299" s="64"/>
      <c r="E299" s="64"/>
      <c r="F299" s="64"/>
      <c r="G299" s="64"/>
      <c r="H299" s="87"/>
      <c r="I299" s="64"/>
      <c r="J299" s="64"/>
      <c r="K299" s="64"/>
      <c r="L299" s="64"/>
      <c r="M299" s="79"/>
      <c r="N299" s="64"/>
      <c r="O299" s="64"/>
      <c r="P299" s="64"/>
      <c r="Q299" s="64"/>
      <c r="R299" s="64"/>
      <c r="S299" s="64"/>
      <c r="T299" s="64"/>
      <c r="U299" s="78"/>
      <c r="V299" s="64"/>
      <c r="W299" s="79"/>
      <c r="X299" s="64"/>
      <c r="Y299" s="64"/>
      <c r="Z299" s="64"/>
      <c r="AA299" s="64"/>
      <c r="AB299" s="64"/>
      <c r="AC299" s="64"/>
      <c r="AD299" s="64"/>
      <c r="AE299" s="64"/>
    </row>
    <row r="300" spans="1:31" ht="17.25" customHeight="1">
      <c r="A300" s="79"/>
      <c r="B300" s="64"/>
      <c r="C300" s="64"/>
      <c r="D300" s="64"/>
      <c r="E300" s="64"/>
      <c r="F300" s="64"/>
      <c r="G300" s="64"/>
      <c r="H300" s="87"/>
      <c r="I300" s="64"/>
      <c r="J300" s="64"/>
      <c r="K300" s="64"/>
      <c r="L300" s="64"/>
      <c r="M300" s="79"/>
      <c r="N300" s="64"/>
      <c r="O300" s="64"/>
      <c r="P300" s="64"/>
      <c r="Q300" s="64"/>
      <c r="R300" s="64"/>
      <c r="S300" s="64"/>
      <c r="T300" s="64"/>
      <c r="U300" s="78"/>
      <c r="V300" s="64"/>
      <c r="W300" s="79"/>
      <c r="X300" s="64"/>
      <c r="Y300" s="64"/>
      <c r="Z300" s="64"/>
      <c r="AA300" s="64"/>
      <c r="AB300" s="64"/>
      <c r="AC300" s="64"/>
      <c r="AD300" s="64"/>
      <c r="AE300" s="64"/>
    </row>
    <row r="301" spans="1:31" ht="17.25" customHeight="1">
      <c r="A301" s="79"/>
      <c r="B301" s="64"/>
      <c r="C301" s="64"/>
      <c r="D301" s="64"/>
      <c r="E301" s="64"/>
      <c r="F301" s="64"/>
      <c r="G301" s="64"/>
      <c r="H301" s="87"/>
      <c r="I301" s="64"/>
      <c r="J301" s="64"/>
      <c r="K301" s="64"/>
      <c r="L301" s="64"/>
      <c r="M301" s="79"/>
      <c r="N301" s="64"/>
      <c r="O301" s="64"/>
      <c r="P301" s="64"/>
      <c r="Q301" s="64"/>
      <c r="R301" s="64"/>
      <c r="S301" s="64"/>
      <c r="T301" s="64"/>
      <c r="U301" s="78"/>
      <c r="V301" s="64"/>
      <c r="W301" s="79"/>
      <c r="X301" s="64"/>
      <c r="Y301" s="64"/>
      <c r="Z301" s="64"/>
      <c r="AA301" s="64"/>
      <c r="AB301" s="64"/>
      <c r="AC301" s="64"/>
      <c r="AD301" s="64"/>
      <c r="AE301" s="64"/>
    </row>
    <row r="302" spans="1:31" ht="17.25" customHeight="1">
      <c r="A302" s="79"/>
      <c r="B302" s="64"/>
      <c r="C302" s="64"/>
      <c r="D302" s="64"/>
      <c r="E302" s="64"/>
      <c r="F302" s="64"/>
      <c r="G302" s="64"/>
      <c r="H302" s="87"/>
      <c r="I302" s="64"/>
      <c r="J302" s="64"/>
      <c r="K302" s="64"/>
      <c r="L302" s="64"/>
      <c r="M302" s="79"/>
      <c r="N302" s="64"/>
      <c r="O302" s="64"/>
      <c r="P302" s="64"/>
      <c r="Q302" s="64"/>
      <c r="R302" s="64"/>
      <c r="S302" s="64"/>
      <c r="T302" s="64"/>
      <c r="U302" s="78"/>
      <c r="V302" s="64"/>
      <c r="W302" s="79"/>
      <c r="X302" s="64"/>
      <c r="Y302" s="64"/>
      <c r="Z302" s="64"/>
      <c r="AA302" s="64"/>
      <c r="AB302" s="64"/>
      <c r="AC302" s="64"/>
      <c r="AD302" s="64"/>
      <c r="AE302" s="64"/>
    </row>
    <row r="303" spans="1:31" ht="17.25" customHeight="1">
      <c r="A303" s="79"/>
      <c r="B303" s="64"/>
      <c r="C303" s="64"/>
      <c r="D303" s="64"/>
      <c r="E303" s="64"/>
      <c r="F303" s="64"/>
      <c r="G303" s="64"/>
      <c r="H303" s="87"/>
      <c r="I303" s="64"/>
      <c r="J303" s="64"/>
      <c r="K303" s="64"/>
      <c r="L303" s="64"/>
      <c r="M303" s="79"/>
      <c r="N303" s="64"/>
      <c r="O303" s="64"/>
      <c r="P303" s="64"/>
      <c r="Q303" s="64"/>
      <c r="R303" s="64"/>
      <c r="S303" s="64"/>
      <c r="T303" s="64"/>
      <c r="U303" s="78"/>
      <c r="V303" s="64"/>
      <c r="W303" s="79"/>
      <c r="X303" s="64"/>
      <c r="Y303" s="64"/>
      <c r="Z303" s="64"/>
      <c r="AA303" s="64"/>
      <c r="AB303" s="64"/>
      <c r="AC303" s="64"/>
      <c r="AD303" s="64"/>
      <c r="AE303" s="64"/>
    </row>
    <row r="304" spans="1:31" ht="17.25" customHeight="1">
      <c r="A304" s="79"/>
      <c r="B304" s="64"/>
      <c r="C304" s="64"/>
      <c r="D304" s="64"/>
      <c r="E304" s="64"/>
      <c r="F304" s="64"/>
      <c r="G304" s="64"/>
      <c r="H304" s="87"/>
      <c r="I304" s="64"/>
      <c r="J304" s="64"/>
      <c r="K304" s="64"/>
      <c r="L304" s="64"/>
      <c r="M304" s="79"/>
      <c r="N304" s="64"/>
      <c r="O304" s="64"/>
      <c r="P304" s="64"/>
      <c r="Q304" s="64"/>
      <c r="R304" s="64"/>
      <c r="S304" s="64"/>
      <c r="T304" s="64"/>
      <c r="U304" s="78"/>
      <c r="V304" s="64"/>
      <c r="W304" s="79"/>
      <c r="X304" s="64"/>
      <c r="Y304" s="64"/>
      <c r="Z304" s="64"/>
      <c r="AA304" s="64"/>
      <c r="AB304" s="64"/>
      <c r="AC304" s="64"/>
      <c r="AD304" s="64"/>
      <c r="AE304" s="64"/>
    </row>
    <row r="305" spans="1:31" ht="17.25" customHeight="1">
      <c r="A305" s="79"/>
      <c r="B305" s="64"/>
      <c r="C305" s="64"/>
      <c r="D305" s="64"/>
      <c r="E305" s="64"/>
      <c r="F305" s="64"/>
      <c r="G305" s="64"/>
      <c r="H305" s="87"/>
      <c r="I305" s="64"/>
      <c r="J305" s="64"/>
      <c r="K305" s="64"/>
      <c r="L305" s="64"/>
      <c r="M305" s="79"/>
      <c r="N305" s="64"/>
      <c r="O305" s="64"/>
      <c r="P305" s="64"/>
      <c r="Q305" s="64"/>
      <c r="R305" s="64"/>
      <c r="S305" s="64"/>
      <c r="T305" s="64"/>
      <c r="U305" s="78"/>
      <c r="V305" s="64"/>
      <c r="W305" s="79"/>
      <c r="X305" s="64"/>
      <c r="Y305" s="64"/>
      <c r="Z305" s="64"/>
      <c r="AA305" s="64"/>
      <c r="AB305" s="64"/>
      <c r="AC305" s="64"/>
      <c r="AD305" s="64"/>
      <c r="AE305" s="64"/>
    </row>
    <row r="306" spans="1:31" ht="17.25" customHeight="1">
      <c r="A306" s="79"/>
      <c r="B306" s="64"/>
      <c r="C306" s="64"/>
      <c r="D306" s="64"/>
      <c r="E306" s="64"/>
      <c r="F306" s="64"/>
      <c r="G306" s="64"/>
      <c r="H306" s="87"/>
      <c r="I306" s="64"/>
      <c r="J306" s="64"/>
      <c r="K306" s="64"/>
      <c r="L306" s="64"/>
      <c r="M306" s="79"/>
      <c r="N306" s="64"/>
      <c r="O306" s="64"/>
      <c r="P306" s="64"/>
      <c r="Q306" s="64"/>
      <c r="R306" s="64"/>
      <c r="S306" s="64"/>
      <c r="T306" s="64"/>
      <c r="U306" s="78"/>
      <c r="V306" s="64"/>
      <c r="W306" s="79"/>
      <c r="X306" s="64"/>
      <c r="Y306" s="64"/>
      <c r="Z306" s="64"/>
      <c r="AA306" s="64"/>
      <c r="AB306" s="64"/>
      <c r="AC306" s="64"/>
      <c r="AD306" s="64"/>
      <c r="AE306" s="64"/>
    </row>
    <row r="307" spans="1:31" ht="17.25" customHeight="1">
      <c r="A307" s="79"/>
      <c r="B307" s="64"/>
      <c r="C307" s="64"/>
      <c r="D307" s="64"/>
      <c r="E307" s="64"/>
      <c r="F307" s="64"/>
      <c r="G307" s="64"/>
      <c r="H307" s="87"/>
      <c r="I307" s="64"/>
      <c r="J307" s="64"/>
      <c r="K307" s="64"/>
      <c r="L307" s="64"/>
      <c r="M307" s="79"/>
      <c r="N307" s="64"/>
      <c r="O307" s="64"/>
      <c r="P307" s="64"/>
      <c r="Q307" s="64"/>
      <c r="R307" s="64"/>
      <c r="S307" s="64"/>
      <c r="T307" s="64"/>
      <c r="U307" s="78"/>
      <c r="V307" s="64"/>
      <c r="W307" s="79"/>
      <c r="X307" s="64"/>
      <c r="Y307" s="64"/>
      <c r="Z307" s="64"/>
      <c r="AA307" s="64"/>
      <c r="AB307" s="64"/>
      <c r="AC307" s="64"/>
      <c r="AD307" s="64"/>
      <c r="AE307" s="64"/>
    </row>
    <row r="308" spans="1:31" ht="17.25" customHeight="1">
      <c r="A308" s="79"/>
      <c r="B308" s="64"/>
      <c r="C308" s="64"/>
      <c r="D308" s="64"/>
      <c r="E308" s="64"/>
      <c r="F308" s="64"/>
      <c r="G308" s="64"/>
      <c r="H308" s="87"/>
      <c r="I308" s="64"/>
      <c r="J308" s="64"/>
      <c r="K308" s="64"/>
      <c r="L308" s="64"/>
      <c r="M308" s="79"/>
      <c r="N308" s="64"/>
      <c r="O308" s="64"/>
      <c r="P308" s="64"/>
      <c r="Q308" s="64"/>
      <c r="R308" s="64"/>
      <c r="S308" s="64"/>
      <c r="T308" s="64"/>
      <c r="U308" s="78"/>
      <c r="V308" s="64"/>
      <c r="W308" s="79"/>
      <c r="X308" s="64"/>
      <c r="Y308" s="64"/>
      <c r="Z308" s="64"/>
      <c r="AA308" s="64"/>
      <c r="AB308" s="64"/>
      <c r="AC308" s="64"/>
      <c r="AD308" s="64"/>
      <c r="AE308" s="64"/>
    </row>
    <row r="309" spans="1:31" ht="17.25" customHeight="1">
      <c r="A309" s="79"/>
      <c r="B309" s="64"/>
      <c r="C309" s="64"/>
      <c r="D309" s="64"/>
      <c r="E309" s="64"/>
      <c r="F309" s="64"/>
      <c r="G309" s="64"/>
      <c r="H309" s="87"/>
      <c r="I309" s="64"/>
      <c r="J309" s="64"/>
      <c r="K309" s="64"/>
      <c r="L309" s="64"/>
      <c r="M309" s="79"/>
      <c r="N309" s="64"/>
      <c r="O309" s="64"/>
      <c r="P309" s="64"/>
      <c r="Q309" s="64"/>
      <c r="R309" s="64"/>
      <c r="S309" s="64"/>
      <c r="T309" s="64"/>
      <c r="U309" s="78"/>
      <c r="V309" s="64"/>
      <c r="W309" s="79"/>
      <c r="X309" s="64"/>
      <c r="Y309" s="64"/>
      <c r="Z309" s="64"/>
      <c r="AA309" s="64"/>
      <c r="AB309" s="64"/>
      <c r="AC309" s="64"/>
      <c r="AD309" s="64"/>
      <c r="AE309" s="64"/>
    </row>
    <row r="310" spans="1:31" ht="17.25" customHeight="1">
      <c r="A310" s="79"/>
      <c r="B310" s="64"/>
      <c r="C310" s="64"/>
      <c r="D310" s="64"/>
      <c r="E310" s="64"/>
      <c r="F310" s="64"/>
      <c r="G310" s="64"/>
      <c r="H310" s="87"/>
      <c r="I310" s="64"/>
      <c r="J310" s="64"/>
      <c r="K310" s="64"/>
      <c r="L310" s="64"/>
      <c r="M310" s="79"/>
      <c r="N310" s="64"/>
      <c r="O310" s="64"/>
      <c r="P310" s="64"/>
      <c r="Q310" s="64"/>
      <c r="R310" s="64"/>
      <c r="S310" s="64"/>
      <c r="T310" s="64"/>
      <c r="U310" s="78"/>
      <c r="V310" s="64"/>
      <c r="W310" s="79"/>
      <c r="X310" s="64"/>
      <c r="Y310" s="64"/>
      <c r="Z310" s="64"/>
      <c r="AA310" s="64"/>
      <c r="AB310" s="64"/>
      <c r="AC310" s="64"/>
      <c r="AD310" s="64"/>
      <c r="AE310" s="64"/>
    </row>
    <row r="311" spans="1:31" ht="17.25" customHeight="1">
      <c r="A311" s="79"/>
      <c r="B311" s="64"/>
      <c r="C311" s="64"/>
      <c r="D311" s="64"/>
      <c r="E311" s="64"/>
      <c r="F311" s="64"/>
      <c r="G311" s="64"/>
      <c r="H311" s="87"/>
      <c r="I311" s="64"/>
      <c r="J311" s="64"/>
      <c r="K311" s="64"/>
      <c r="L311" s="64"/>
      <c r="M311" s="79"/>
      <c r="N311" s="64"/>
      <c r="O311" s="64"/>
      <c r="P311" s="64"/>
      <c r="Q311" s="64"/>
      <c r="R311" s="64"/>
      <c r="S311" s="64"/>
      <c r="T311" s="64"/>
      <c r="U311" s="78"/>
      <c r="V311" s="64"/>
      <c r="W311" s="79"/>
      <c r="X311" s="64"/>
      <c r="Y311" s="64"/>
      <c r="Z311" s="64"/>
      <c r="AA311" s="64"/>
      <c r="AB311" s="64"/>
      <c r="AC311" s="64"/>
      <c r="AD311" s="64"/>
      <c r="AE311" s="64"/>
    </row>
    <row r="312" spans="1:31" ht="17.25" customHeight="1">
      <c r="A312" s="79"/>
      <c r="B312" s="64"/>
      <c r="C312" s="64"/>
      <c r="D312" s="64"/>
      <c r="E312" s="64"/>
      <c r="F312" s="64"/>
      <c r="G312" s="64"/>
      <c r="H312" s="87"/>
      <c r="I312" s="64"/>
      <c r="J312" s="64"/>
      <c r="K312" s="64"/>
      <c r="L312" s="64"/>
      <c r="M312" s="79"/>
      <c r="N312" s="64"/>
      <c r="O312" s="64"/>
      <c r="P312" s="64"/>
      <c r="Q312" s="64"/>
      <c r="R312" s="64"/>
      <c r="S312" s="64"/>
      <c r="T312" s="64"/>
      <c r="U312" s="78"/>
      <c r="V312" s="64"/>
      <c r="W312" s="79"/>
      <c r="X312" s="64"/>
      <c r="Y312" s="64"/>
      <c r="Z312" s="64"/>
      <c r="AA312" s="64"/>
      <c r="AB312" s="64"/>
      <c r="AC312" s="64"/>
      <c r="AD312" s="64"/>
      <c r="AE312" s="64"/>
    </row>
    <row r="313" spans="1:31" ht="17.25" customHeight="1">
      <c r="A313" s="79"/>
      <c r="B313" s="64"/>
      <c r="C313" s="64"/>
      <c r="D313" s="64"/>
      <c r="E313" s="64"/>
      <c r="F313" s="64"/>
      <c r="G313" s="64"/>
      <c r="H313" s="87"/>
      <c r="I313" s="64"/>
      <c r="J313" s="64"/>
      <c r="K313" s="64"/>
      <c r="L313" s="64"/>
      <c r="M313" s="79"/>
      <c r="N313" s="64"/>
      <c r="O313" s="64"/>
      <c r="P313" s="64"/>
      <c r="Q313" s="64"/>
      <c r="R313" s="64"/>
      <c r="S313" s="64"/>
      <c r="T313" s="64"/>
      <c r="U313" s="78"/>
      <c r="V313" s="64"/>
      <c r="W313" s="79"/>
      <c r="X313" s="64"/>
      <c r="Y313" s="64"/>
      <c r="Z313" s="64"/>
      <c r="AA313" s="64"/>
      <c r="AB313" s="64"/>
      <c r="AC313" s="64"/>
      <c r="AD313" s="64"/>
      <c r="AE313" s="64"/>
    </row>
    <row r="314" spans="1:31" ht="17.25" customHeight="1">
      <c r="A314" s="79"/>
      <c r="B314" s="64"/>
      <c r="C314" s="64"/>
      <c r="D314" s="64"/>
      <c r="E314" s="64"/>
      <c r="F314" s="64"/>
      <c r="G314" s="64"/>
      <c r="H314" s="87"/>
      <c r="I314" s="64"/>
      <c r="J314" s="64"/>
      <c r="K314" s="64"/>
      <c r="L314" s="64"/>
      <c r="M314" s="79"/>
      <c r="N314" s="64"/>
      <c r="O314" s="64"/>
      <c r="P314" s="64"/>
      <c r="Q314" s="64"/>
      <c r="R314" s="64"/>
      <c r="S314" s="64"/>
      <c r="T314" s="64"/>
      <c r="U314" s="78"/>
      <c r="V314" s="64"/>
      <c r="W314" s="79"/>
      <c r="X314" s="64"/>
      <c r="Y314" s="64"/>
      <c r="Z314" s="64"/>
      <c r="AA314" s="64"/>
      <c r="AB314" s="64"/>
      <c r="AC314" s="64"/>
      <c r="AD314" s="64"/>
      <c r="AE314" s="64"/>
    </row>
    <row r="315" spans="1:31" ht="17.25" customHeight="1">
      <c r="A315" s="79"/>
      <c r="B315" s="64"/>
      <c r="C315" s="64"/>
      <c r="D315" s="64"/>
      <c r="E315" s="64"/>
      <c r="F315" s="64"/>
      <c r="G315" s="64"/>
      <c r="H315" s="87"/>
      <c r="I315" s="64"/>
      <c r="J315" s="64"/>
      <c r="K315" s="64"/>
      <c r="L315" s="64"/>
      <c r="M315" s="79"/>
      <c r="N315" s="64"/>
      <c r="O315" s="64"/>
      <c r="P315" s="64"/>
      <c r="Q315" s="64"/>
      <c r="R315" s="64"/>
      <c r="S315" s="64"/>
      <c r="T315" s="64"/>
      <c r="U315" s="78"/>
      <c r="V315" s="64"/>
      <c r="W315" s="79"/>
      <c r="X315" s="64"/>
      <c r="Y315" s="64"/>
      <c r="Z315" s="64"/>
      <c r="AA315" s="64"/>
      <c r="AB315" s="64"/>
      <c r="AC315" s="64"/>
      <c r="AD315" s="64"/>
      <c r="AE315" s="64"/>
    </row>
    <row r="316" spans="1:31" ht="17.25" customHeight="1">
      <c r="A316" s="79"/>
      <c r="B316" s="64"/>
      <c r="C316" s="64"/>
      <c r="D316" s="64"/>
      <c r="E316" s="64"/>
      <c r="F316" s="64"/>
      <c r="G316" s="64"/>
      <c r="H316" s="87"/>
      <c r="I316" s="64"/>
      <c r="J316" s="64"/>
      <c r="K316" s="64"/>
      <c r="L316" s="64"/>
      <c r="M316" s="79"/>
      <c r="N316" s="64"/>
      <c r="O316" s="64"/>
      <c r="P316" s="64"/>
      <c r="Q316" s="64"/>
      <c r="R316" s="64"/>
      <c r="S316" s="64"/>
      <c r="T316" s="64"/>
      <c r="U316" s="78"/>
      <c r="V316" s="64"/>
      <c r="W316" s="79"/>
      <c r="X316" s="64"/>
      <c r="Y316" s="64"/>
      <c r="Z316" s="64"/>
      <c r="AA316" s="64"/>
      <c r="AB316" s="64"/>
      <c r="AC316" s="64"/>
      <c r="AD316" s="64"/>
      <c r="AE316" s="64"/>
    </row>
    <row r="317" spans="1:31" ht="17.25" customHeight="1">
      <c r="A317" s="79"/>
      <c r="B317" s="64"/>
      <c r="C317" s="64"/>
      <c r="D317" s="64"/>
      <c r="E317" s="64"/>
      <c r="F317" s="64"/>
      <c r="G317" s="64"/>
      <c r="H317" s="87"/>
      <c r="I317" s="64"/>
      <c r="J317" s="64"/>
      <c r="K317" s="64"/>
      <c r="L317" s="64"/>
      <c r="M317" s="79"/>
      <c r="N317" s="64"/>
      <c r="O317" s="64"/>
      <c r="P317" s="64"/>
      <c r="Q317" s="64"/>
      <c r="R317" s="64"/>
      <c r="S317" s="64"/>
      <c r="T317" s="64"/>
      <c r="U317" s="78"/>
      <c r="V317" s="64"/>
      <c r="W317" s="79"/>
      <c r="X317" s="64"/>
      <c r="Y317" s="64"/>
      <c r="Z317" s="64"/>
      <c r="AA317" s="64"/>
      <c r="AB317" s="64"/>
      <c r="AC317" s="64"/>
      <c r="AD317" s="64"/>
      <c r="AE317" s="64"/>
    </row>
    <row r="318" spans="1:31" ht="17.25" customHeight="1">
      <c r="A318" s="79"/>
      <c r="B318" s="64"/>
      <c r="C318" s="64"/>
      <c r="D318" s="64"/>
      <c r="E318" s="64"/>
      <c r="F318" s="64"/>
      <c r="G318" s="64"/>
      <c r="H318" s="87"/>
      <c r="I318" s="64"/>
      <c r="J318" s="64"/>
      <c r="K318" s="64"/>
      <c r="L318" s="64"/>
      <c r="M318" s="79"/>
      <c r="N318" s="64"/>
      <c r="O318" s="64"/>
      <c r="P318" s="64"/>
      <c r="Q318" s="64"/>
      <c r="R318" s="64"/>
      <c r="S318" s="64"/>
      <c r="T318" s="64"/>
      <c r="U318" s="78"/>
      <c r="V318" s="64"/>
      <c r="W318" s="79"/>
      <c r="X318" s="64"/>
      <c r="Y318" s="64"/>
      <c r="Z318" s="64"/>
      <c r="AA318" s="64"/>
      <c r="AB318" s="64"/>
      <c r="AC318" s="64"/>
      <c r="AD318" s="64"/>
      <c r="AE318" s="64"/>
    </row>
    <row r="319" spans="1:31" ht="17.25" customHeight="1">
      <c r="A319" s="79"/>
      <c r="B319" s="64"/>
      <c r="C319" s="64"/>
      <c r="D319" s="64"/>
      <c r="E319" s="64"/>
      <c r="F319" s="64"/>
      <c r="G319" s="64"/>
      <c r="H319" s="87"/>
      <c r="I319" s="64"/>
      <c r="J319" s="64"/>
      <c r="K319" s="64"/>
      <c r="L319" s="64"/>
      <c r="M319" s="79"/>
      <c r="N319" s="64"/>
      <c r="O319" s="64"/>
      <c r="P319" s="64"/>
      <c r="Q319" s="64"/>
      <c r="R319" s="64"/>
      <c r="S319" s="64"/>
      <c r="T319" s="64"/>
      <c r="U319" s="78"/>
      <c r="V319" s="64"/>
      <c r="W319" s="79"/>
      <c r="X319" s="64"/>
      <c r="Y319" s="64"/>
      <c r="Z319" s="64"/>
      <c r="AA319" s="64"/>
      <c r="AB319" s="64"/>
      <c r="AC319" s="64"/>
      <c r="AD319" s="64"/>
      <c r="AE319" s="64"/>
    </row>
    <row r="320" spans="1:31" ht="17.25" customHeight="1">
      <c r="A320" s="79"/>
      <c r="B320" s="64"/>
      <c r="C320" s="64"/>
      <c r="D320" s="64"/>
      <c r="E320" s="64"/>
      <c r="F320" s="64"/>
      <c r="G320" s="64"/>
      <c r="H320" s="87"/>
      <c r="I320" s="64"/>
      <c r="J320" s="64"/>
      <c r="K320" s="64"/>
      <c r="L320" s="64"/>
      <c r="M320" s="79"/>
      <c r="N320" s="64"/>
      <c r="O320" s="64"/>
      <c r="P320" s="64"/>
      <c r="Q320" s="64"/>
      <c r="R320" s="64"/>
      <c r="S320" s="64"/>
      <c r="T320" s="64"/>
      <c r="U320" s="78"/>
      <c r="V320" s="64"/>
      <c r="W320" s="79"/>
      <c r="X320" s="64"/>
      <c r="Y320" s="64"/>
      <c r="Z320" s="64"/>
      <c r="AA320" s="64"/>
      <c r="AB320" s="64"/>
      <c r="AC320" s="64"/>
      <c r="AD320" s="64"/>
      <c r="AE320" s="64"/>
    </row>
    <row r="321" spans="1:31" ht="17.25" customHeight="1">
      <c r="A321" s="79"/>
      <c r="B321" s="64"/>
      <c r="C321" s="64"/>
      <c r="D321" s="64"/>
      <c r="E321" s="64"/>
      <c r="F321" s="64"/>
      <c r="G321" s="64"/>
      <c r="H321" s="87"/>
      <c r="I321" s="64"/>
      <c r="J321" s="64"/>
      <c r="K321" s="64"/>
      <c r="L321" s="64"/>
      <c r="M321" s="79"/>
      <c r="N321" s="64"/>
      <c r="O321" s="64"/>
      <c r="P321" s="64"/>
      <c r="Q321" s="64"/>
      <c r="R321" s="64"/>
      <c r="S321" s="64"/>
      <c r="T321" s="64"/>
      <c r="U321" s="78"/>
      <c r="V321" s="64"/>
      <c r="W321" s="79"/>
      <c r="X321" s="64"/>
      <c r="Y321" s="64"/>
      <c r="Z321" s="64"/>
      <c r="AA321" s="64"/>
      <c r="AB321" s="64"/>
      <c r="AC321" s="64"/>
      <c r="AD321" s="64"/>
      <c r="AE321" s="64"/>
    </row>
    <row r="322" spans="1:31" ht="17.25" customHeight="1">
      <c r="A322" s="79"/>
      <c r="B322" s="64"/>
      <c r="C322" s="64"/>
      <c r="D322" s="64"/>
      <c r="E322" s="64"/>
      <c r="F322" s="64"/>
      <c r="G322" s="64"/>
      <c r="H322" s="87"/>
      <c r="I322" s="64"/>
      <c r="J322" s="64"/>
      <c r="K322" s="64"/>
      <c r="L322" s="64"/>
      <c r="M322" s="79"/>
      <c r="N322" s="64"/>
      <c r="O322" s="64"/>
      <c r="P322" s="64"/>
      <c r="Q322" s="64"/>
      <c r="R322" s="64"/>
      <c r="S322" s="64"/>
      <c r="T322" s="64"/>
      <c r="U322" s="78"/>
      <c r="V322" s="64"/>
      <c r="W322" s="79"/>
      <c r="X322" s="64"/>
      <c r="Y322" s="64"/>
      <c r="Z322" s="64"/>
      <c r="AA322" s="64"/>
      <c r="AB322" s="64"/>
      <c r="AC322" s="64"/>
      <c r="AD322" s="64"/>
      <c r="AE322" s="64"/>
    </row>
    <row r="323" spans="1:31" ht="17.25" customHeight="1">
      <c r="A323" s="79"/>
      <c r="B323" s="64"/>
      <c r="C323" s="64"/>
      <c r="D323" s="64"/>
      <c r="E323" s="64"/>
      <c r="F323" s="64"/>
      <c r="G323" s="64"/>
      <c r="H323" s="87"/>
      <c r="I323" s="64"/>
      <c r="J323" s="64"/>
      <c r="K323" s="64"/>
      <c r="L323" s="64"/>
      <c r="M323" s="79"/>
      <c r="N323" s="64"/>
      <c r="O323" s="64"/>
      <c r="P323" s="64"/>
      <c r="Q323" s="64"/>
      <c r="R323" s="64"/>
      <c r="S323" s="64"/>
      <c r="T323" s="64"/>
      <c r="U323" s="78"/>
      <c r="V323" s="64"/>
      <c r="W323" s="79"/>
      <c r="X323" s="64"/>
      <c r="Y323" s="64"/>
      <c r="Z323" s="64"/>
      <c r="AA323" s="64"/>
      <c r="AB323" s="64"/>
      <c r="AC323" s="64"/>
      <c r="AD323" s="64"/>
      <c r="AE323" s="64"/>
    </row>
    <row r="324" spans="1:31" ht="17.25" customHeight="1">
      <c r="A324" s="79"/>
      <c r="B324" s="64"/>
      <c r="C324" s="64"/>
      <c r="D324" s="64"/>
      <c r="E324" s="64"/>
      <c r="F324" s="64"/>
      <c r="G324" s="64"/>
      <c r="H324" s="87"/>
      <c r="I324" s="64"/>
      <c r="J324" s="64"/>
      <c r="K324" s="64"/>
      <c r="L324" s="64"/>
      <c r="M324" s="79"/>
      <c r="N324" s="64"/>
      <c r="O324" s="64"/>
      <c r="P324" s="64"/>
      <c r="Q324" s="64"/>
      <c r="R324" s="64"/>
      <c r="S324" s="64"/>
      <c r="T324" s="64"/>
      <c r="U324" s="78"/>
      <c r="V324" s="64"/>
      <c r="W324" s="79"/>
      <c r="X324" s="64"/>
      <c r="Y324" s="64"/>
      <c r="Z324" s="64"/>
      <c r="AA324" s="64"/>
      <c r="AB324" s="64"/>
      <c r="AC324" s="64"/>
      <c r="AD324" s="64"/>
      <c r="AE324" s="64"/>
    </row>
    <row r="325" spans="1:31" ht="17.25" customHeight="1">
      <c r="A325" s="79"/>
      <c r="B325" s="64"/>
      <c r="C325" s="64"/>
      <c r="D325" s="64"/>
      <c r="E325" s="64"/>
      <c r="F325" s="64"/>
      <c r="G325" s="64"/>
      <c r="H325" s="87"/>
      <c r="I325" s="64"/>
      <c r="J325" s="64"/>
      <c r="K325" s="64"/>
      <c r="L325" s="64"/>
      <c r="M325" s="79"/>
      <c r="N325" s="64"/>
      <c r="O325" s="64"/>
      <c r="P325" s="64"/>
      <c r="Q325" s="64"/>
      <c r="R325" s="64"/>
      <c r="S325" s="64"/>
      <c r="T325" s="64"/>
      <c r="U325" s="78"/>
      <c r="V325" s="64"/>
      <c r="W325" s="79"/>
      <c r="X325" s="64"/>
      <c r="Y325" s="64"/>
      <c r="Z325" s="64"/>
      <c r="AA325" s="64"/>
      <c r="AB325" s="64"/>
      <c r="AC325" s="64"/>
      <c r="AD325" s="64"/>
      <c r="AE325" s="64"/>
    </row>
    <row r="326" spans="1:31" ht="17.25" customHeight="1">
      <c r="A326" s="79"/>
      <c r="B326" s="64"/>
      <c r="C326" s="64"/>
      <c r="D326" s="64"/>
      <c r="E326" s="64"/>
      <c r="F326" s="64"/>
      <c r="G326" s="64"/>
      <c r="H326" s="87"/>
      <c r="I326" s="64"/>
      <c r="J326" s="64"/>
      <c r="K326" s="64"/>
      <c r="L326" s="64"/>
      <c r="M326" s="79"/>
      <c r="N326" s="64"/>
      <c r="O326" s="64"/>
      <c r="P326" s="64"/>
      <c r="Q326" s="64"/>
      <c r="R326" s="64"/>
      <c r="S326" s="64"/>
      <c r="T326" s="64"/>
      <c r="U326" s="78"/>
      <c r="V326" s="64"/>
      <c r="W326" s="79"/>
      <c r="X326" s="64"/>
      <c r="Y326" s="64"/>
      <c r="Z326" s="64"/>
      <c r="AA326" s="64"/>
      <c r="AB326" s="64"/>
      <c r="AC326" s="64"/>
      <c r="AD326" s="64"/>
      <c r="AE326" s="64"/>
    </row>
    <row r="327" spans="1:31" ht="17.25" customHeight="1">
      <c r="A327" s="79"/>
      <c r="B327" s="64"/>
      <c r="C327" s="64"/>
      <c r="D327" s="64"/>
      <c r="E327" s="64"/>
      <c r="F327" s="64"/>
      <c r="G327" s="64"/>
      <c r="H327" s="87"/>
      <c r="I327" s="64"/>
      <c r="J327" s="64"/>
      <c r="K327" s="64"/>
      <c r="L327" s="64"/>
      <c r="M327" s="79"/>
      <c r="N327" s="64"/>
      <c r="O327" s="64"/>
      <c r="P327" s="64"/>
      <c r="Q327" s="64"/>
      <c r="R327" s="64"/>
      <c r="S327" s="64"/>
      <c r="T327" s="64"/>
      <c r="U327" s="78"/>
      <c r="V327" s="64"/>
      <c r="W327" s="79"/>
      <c r="X327" s="64"/>
      <c r="Y327" s="64"/>
      <c r="Z327" s="64"/>
      <c r="AA327" s="64"/>
      <c r="AB327" s="64"/>
      <c r="AC327" s="64"/>
      <c r="AD327" s="64"/>
      <c r="AE327" s="64"/>
    </row>
    <row r="328" spans="1:31" ht="17.25" customHeight="1">
      <c r="A328" s="79"/>
      <c r="B328" s="64"/>
      <c r="C328" s="64"/>
      <c r="D328" s="64"/>
      <c r="E328" s="64"/>
      <c r="F328" s="64"/>
      <c r="G328" s="64"/>
      <c r="H328" s="87"/>
      <c r="I328" s="64"/>
      <c r="J328" s="64"/>
      <c r="K328" s="64"/>
      <c r="L328" s="64"/>
      <c r="M328" s="79"/>
      <c r="N328" s="64"/>
      <c r="O328" s="64"/>
      <c r="P328" s="64"/>
      <c r="Q328" s="64"/>
      <c r="R328" s="64"/>
      <c r="S328" s="64"/>
      <c r="T328" s="64"/>
      <c r="U328" s="78"/>
      <c r="V328" s="64"/>
      <c r="W328" s="79"/>
      <c r="X328" s="64"/>
      <c r="Y328" s="64"/>
      <c r="Z328" s="64"/>
      <c r="AA328" s="64"/>
      <c r="AB328" s="64"/>
      <c r="AC328" s="64"/>
      <c r="AD328" s="64"/>
      <c r="AE328" s="64"/>
    </row>
    <row r="329" spans="1:31" ht="17.25" customHeight="1">
      <c r="A329" s="79"/>
      <c r="B329" s="64"/>
      <c r="C329" s="64"/>
      <c r="D329" s="64"/>
      <c r="E329" s="64"/>
      <c r="F329" s="64"/>
      <c r="G329" s="64"/>
      <c r="H329" s="87"/>
      <c r="I329" s="64"/>
      <c r="J329" s="64"/>
      <c r="K329" s="64"/>
      <c r="L329" s="64"/>
      <c r="M329" s="79"/>
      <c r="N329" s="64"/>
      <c r="O329" s="64"/>
      <c r="P329" s="64"/>
      <c r="Q329" s="64"/>
      <c r="R329" s="64"/>
      <c r="S329" s="64"/>
      <c r="T329" s="64"/>
      <c r="U329" s="78"/>
      <c r="V329" s="64"/>
      <c r="W329" s="79"/>
      <c r="X329" s="64"/>
      <c r="Y329" s="64"/>
      <c r="Z329" s="64"/>
      <c r="AA329" s="64"/>
      <c r="AB329" s="64"/>
      <c r="AC329" s="64"/>
      <c r="AD329" s="64"/>
      <c r="AE329" s="64"/>
    </row>
    <row r="330" spans="1:31" ht="17.25" customHeight="1">
      <c r="A330" s="79"/>
      <c r="B330" s="64"/>
      <c r="C330" s="64"/>
      <c r="D330" s="64"/>
      <c r="E330" s="64"/>
      <c r="F330" s="64"/>
      <c r="G330" s="64"/>
      <c r="H330" s="87"/>
      <c r="I330" s="64"/>
      <c r="J330" s="64"/>
      <c r="K330" s="64"/>
      <c r="L330" s="64"/>
      <c r="M330" s="79"/>
      <c r="N330" s="64"/>
      <c r="O330" s="64"/>
      <c r="P330" s="64"/>
      <c r="Q330" s="64"/>
      <c r="R330" s="64"/>
      <c r="S330" s="64"/>
      <c r="T330" s="64"/>
      <c r="U330" s="78"/>
      <c r="V330" s="64"/>
      <c r="W330" s="79"/>
      <c r="X330" s="64"/>
      <c r="Y330" s="64"/>
      <c r="Z330" s="64"/>
      <c r="AA330" s="64"/>
      <c r="AB330" s="64"/>
      <c r="AC330" s="64"/>
      <c r="AD330" s="64"/>
      <c r="AE330" s="64"/>
    </row>
    <row r="331" spans="1:31" ht="17.25" customHeight="1">
      <c r="A331" s="79"/>
      <c r="B331" s="64"/>
      <c r="C331" s="64"/>
      <c r="D331" s="64"/>
      <c r="E331" s="64"/>
      <c r="F331" s="64"/>
      <c r="G331" s="64"/>
      <c r="H331" s="87"/>
      <c r="I331" s="64"/>
      <c r="J331" s="64"/>
      <c r="K331" s="64"/>
      <c r="L331" s="64"/>
      <c r="M331" s="79"/>
      <c r="N331" s="64"/>
      <c r="O331" s="64"/>
      <c r="P331" s="64"/>
      <c r="Q331" s="64"/>
      <c r="R331" s="64"/>
      <c r="S331" s="64"/>
      <c r="T331" s="64"/>
      <c r="U331" s="78"/>
      <c r="V331" s="64"/>
      <c r="W331" s="79"/>
      <c r="X331" s="64"/>
      <c r="Y331" s="64"/>
      <c r="Z331" s="64"/>
      <c r="AA331" s="64"/>
      <c r="AB331" s="64"/>
      <c r="AC331" s="64"/>
      <c r="AD331" s="64"/>
      <c r="AE331" s="64"/>
    </row>
    <row r="332" spans="1:31" ht="17.25" customHeight="1">
      <c r="A332" s="79"/>
      <c r="B332" s="64"/>
      <c r="C332" s="64"/>
      <c r="D332" s="64"/>
      <c r="E332" s="64"/>
      <c r="F332" s="64"/>
      <c r="G332" s="64"/>
      <c r="H332" s="87"/>
      <c r="I332" s="64"/>
      <c r="J332" s="64"/>
      <c r="K332" s="64"/>
      <c r="L332" s="64"/>
      <c r="M332" s="79"/>
      <c r="N332" s="64"/>
      <c r="O332" s="64"/>
      <c r="P332" s="64"/>
      <c r="Q332" s="64"/>
      <c r="R332" s="64"/>
      <c r="S332" s="64"/>
      <c r="T332" s="64"/>
      <c r="U332" s="78"/>
      <c r="V332" s="64"/>
      <c r="W332" s="79"/>
      <c r="X332" s="64"/>
      <c r="Y332" s="64"/>
      <c r="Z332" s="64"/>
      <c r="AA332" s="64"/>
      <c r="AB332" s="64"/>
      <c r="AC332" s="64"/>
      <c r="AD332" s="64"/>
      <c r="AE332" s="64"/>
    </row>
    <row r="333" spans="1:31" ht="17.25" customHeight="1">
      <c r="A333" s="79"/>
      <c r="B333" s="64"/>
      <c r="C333" s="64"/>
      <c r="D333" s="64"/>
      <c r="E333" s="64"/>
      <c r="F333" s="64"/>
      <c r="G333" s="64"/>
      <c r="H333" s="87"/>
      <c r="I333" s="64"/>
      <c r="J333" s="64"/>
      <c r="K333" s="64"/>
      <c r="L333" s="64"/>
      <c r="M333" s="79"/>
      <c r="N333" s="64"/>
      <c r="O333" s="64"/>
      <c r="P333" s="64"/>
      <c r="Q333" s="64"/>
      <c r="R333" s="64"/>
      <c r="S333" s="64"/>
      <c r="T333" s="64"/>
      <c r="U333" s="78"/>
      <c r="V333" s="64"/>
      <c r="W333" s="79"/>
      <c r="X333" s="64"/>
      <c r="Y333" s="64"/>
      <c r="Z333" s="64"/>
      <c r="AA333" s="64"/>
      <c r="AB333" s="64"/>
      <c r="AC333" s="64"/>
      <c r="AD333" s="64"/>
      <c r="AE333" s="64"/>
    </row>
    <row r="334" spans="1:31" ht="17.25" customHeight="1">
      <c r="A334" s="79"/>
      <c r="B334" s="64"/>
      <c r="C334" s="64"/>
      <c r="D334" s="64"/>
      <c r="E334" s="64"/>
      <c r="F334" s="64"/>
      <c r="G334" s="64"/>
      <c r="H334" s="87"/>
      <c r="I334" s="64"/>
      <c r="J334" s="64"/>
      <c r="K334" s="64"/>
      <c r="L334" s="64"/>
      <c r="M334" s="79"/>
      <c r="N334" s="64"/>
      <c r="O334" s="64"/>
      <c r="P334" s="64"/>
      <c r="Q334" s="64"/>
      <c r="R334" s="64"/>
      <c r="S334" s="64"/>
      <c r="T334" s="64"/>
      <c r="U334" s="78"/>
      <c r="V334" s="64"/>
      <c r="W334" s="79"/>
      <c r="X334" s="64"/>
      <c r="Y334" s="64"/>
      <c r="Z334" s="64"/>
      <c r="AA334" s="64"/>
      <c r="AB334" s="64"/>
      <c r="AC334" s="64"/>
      <c r="AD334" s="64"/>
      <c r="AE334" s="64"/>
    </row>
    <row r="335" spans="1:31" ht="17.25" customHeight="1">
      <c r="A335" s="79"/>
      <c r="B335" s="64"/>
      <c r="C335" s="64"/>
      <c r="D335" s="64"/>
      <c r="E335" s="64"/>
      <c r="F335" s="64"/>
      <c r="G335" s="64"/>
      <c r="H335" s="87"/>
      <c r="I335" s="64"/>
      <c r="J335" s="64"/>
      <c r="K335" s="64"/>
      <c r="L335" s="64"/>
      <c r="M335" s="79"/>
      <c r="N335" s="64"/>
      <c r="O335" s="64"/>
      <c r="P335" s="64"/>
      <c r="Q335" s="64"/>
      <c r="R335" s="64"/>
      <c r="S335" s="64"/>
      <c r="T335" s="64"/>
      <c r="U335" s="78"/>
      <c r="V335" s="64"/>
      <c r="W335" s="79"/>
      <c r="X335" s="64"/>
      <c r="Y335" s="64"/>
      <c r="Z335" s="64"/>
      <c r="AA335" s="64"/>
      <c r="AB335" s="64"/>
      <c r="AC335" s="64"/>
      <c r="AD335" s="64"/>
      <c r="AE335" s="64"/>
    </row>
    <row r="336" spans="1:31" ht="17.25" customHeight="1">
      <c r="A336" s="79"/>
      <c r="B336" s="64"/>
      <c r="C336" s="64"/>
      <c r="D336" s="64"/>
      <c r="E336" s="64"/>
      <c r="F336" s="64"/>
      <c r="G336" s="64"/>
      <c r="H336" s="87"/>
      <c r="I336" s="64"/>
      <c r="J336" s="64"/>
      <c r="K336" s="64"/>
      <c r="L336" s="64"/>
      <c r="M336" s="79"/>
      <c r="N336" s="64"/>
      <c r="O336" s="64"/>
      <c r="P336" s="64"/>
      <c r="Q336" s="64"/>
      <c r="R336" s="64"/>
      <c r="S336" s="64"/>
      <c r="T336" s="64"/>
      <c r="U336" s="78"/>
      <c r="V336" s="64"/>
      <c r="W336" s="79"/>
      <c r="X336" s="64"/>
      <c r="Y336" s="64"/>
      <c r="Z336" s="64"/>
      <c r="AA336" s="64"/>
      <c r="AB336" s="64"/>
      <c r="AC336" s="64"/>
      <c r="AD336" s="64"/>
      <c r="AE336" s="64"/>
    </row>
    <row r="337" spans="1:31" ht="17.25" customHeight="1">
      <c r="A337" s="79"/>
      <c r="B337" s="64"/>
      <c r="C337" s="64"/>
      <c r="D337" s="64"/>
      <c r="E337" s="64"/>
      <c r="F337" s="64"/>
      <c r="G337" s="64"/>
      <c r="H337" s="87"/>
      <c r="I337" s="64"/>
      <c r="J337" s="64"/>
      <c r="K337" s="64"/>
      <c r="L337" s="64"/>
      <c r="M337" s="79"/>
      <c r="N337" s="64"/>
      <c r="O337" s="64"/>
      <c r="P337" s="64"/>
      <c r="Q337" s="64"/>
      <c r="R337" s="64"/>
      <c r="S337" s="64"/>
      <c r="T337" s="64"/>
      <c r="U337" s="78"/>
      <c r="V337" s="64"/>
      <c r="W337" s="79"/>
      <c r="X337" s="64"/>
      <c r="Y337" s="64"/>
      <c r="Z337" s="64"/>
      <c r="AA337" s="64"/>
      <c r="AB337" s="64"/>
      <c r="AC337" s="64"/>
      <c r="AD337" s="64"/>
      <c r="AE337" s="64"/>
    </row>
    <row r="338" spans="1:31" ht="17.25" customHeight="1">
      <c r="A338" s="79"/>
      <c r="B338" s="64"/>
      <c r="C338" s="64"/>
      <c r="D338" s="64"/>
      <c r="E338" s="64"/>
      <c r="F338" s="64"/>
      <c r="G338" s="64"/>
      <c r="H338" s="87"/>
      <c r="I338" s="64"/>
      <c r="J338" s="64"/>
      <c r="K338" s="64"/>
      <c r="L338" s="64"/>
      <c r="M338" s="79"/>
      <c r="N338" s="64"/>
      <c r="O338" s="64"/>
      <c r="P338" s="64"/>
      <c r="Q338" s="64"/>
      <c r="R338" s="64"/>
      <c r="S338" s="64"/>
      <c r="T338" s="64"/>
      <c r="U338" s="78"/>
      <c r="V338" s="64"/>
      <c r="W338" s="79"/>
      <c r="X338" s="64"/>
      <c r="Y338" s="64"/>
      <c r="Z338" s="64"/>
      <c r="AA338" s="64"/>
      <c r="AB338" s="64"/>
      <c r="AC338" s="64"/>
      <c r="AD338" s="64"/>
      <c r="AE338" s="64"/>
    </row>
    <row r="339" spans="1:31" ht="17.25" customHeight="1">
      <c r="A339" s="79"/>
      <c r="B339" s="64"/>
      <c r="C339" s="64"/>
      <c r="D339" s="64"/>
      <c r="E339" s="64"/>
      <c r="F339" s="64"/>
      <c r="G339" s="64"/>
      <c r="H339" s="87"/>
      <c r="I339" s="64"/>
      <c r="J339" s="64"/>
      <c r="K339" s="64"/>
      <c r="L339" s="64"/>
      <c r="M339" s="79"/>
      <c r="N339" s="64"/>
      <c r="O339" s="64"/>
      <c r="P339" s="64"/>
      <c r="Q339" s="64"/>
      <c r="R339" s="64"/>
      <c r="S339" s="64"/>
      <c r="T339" s="64"/>
      <c r="U339" s="78"/>
      <c r="V339" s="64"/>
      <c r="W339" s="79"/>
      <c r="X339" s="64"/>
      <c r="Y339" s="64"/>
      <c r="Z339" s="64"/>
      <c r="AA339" s="64"/>
      <c r="AB339" s="64"/>
      <c r="AC339" s="64"/>
      <c r="AD339" s="64"/>
      <c r="AE339" s="64"/>
    </row>
    <row r="340" spans="1:31" ht="17.25" customHeight="1">
      <c r="A340" s="79"/>
      <c r="B340" s="64"/>
      <c r="C340" s="64"/>
      <c r="D340" s="64"/>
      <c r="E340" s="64"/>
      <c r="F340" s="64"/>
      <c r="G340" s="64"/>
      <c r="H340" s="87"/>
      <c r="I340" s="64"/>
      <c r="J340" s="64"/>
      <c r="K340" s="64"/>
      <c r="L340" s="64"/>
      <c r="M340" s="79"/>
      <c r="N340" s="64"/>
      <c r="O340" s="64"/>
      <c r="P340" s="64"/>
      <c r="Q340" s="64"/>
      <c r="R340" s="64"/>
      <c r="S340" s="64"/>
      <c r="T340" s="64"/>
      <c r="U340" s="78"/>
      <c r="V340" s="64"/>
      <c r="W340" s="79"/>
      <c r="X340" s="64"/>
      <c r="Y340" s="64"/>
      <c r="Z340" s="64"/>
      <c r="AA340" s="64"/>
      <c r="AB340" s="64"/>
      <c r="AC340" s="64"/>
      <c r="AD340" s="64"/>
      <c r="AE340" s="64"/>
    </row>
    <row r="341" spans="1:31" ht="17.25" customHeight="1">
      <c r="A341" s="79"/>
      <c r="B341" s="64"/>
      <c r="C341" s="64"/>
      <c r="D341" s="64"/>
      <c r="E341" s="64"/>
      <c r="F341" s="64"/>
      <c r="G341" s="64"/>
      <c r="H341" s="87"/>
      <c r="I341" s="64"/>
      <c r="J341" s="64"/>
      <c r="K341" s="64"/>
      <c r="L341" s="64"/>
      <c r="M341" s="79"/>
      <c r="N341" s="64"/>
      <c r="O341" s="64"/>
      <c r="P341" s="64"/>
      <c r="Q341" s="64"/>
      <c r="R341" s="64"/>
      <c r="S341" s="64"/>
      <c r="T341" s="64"/>
      <c r="U341" s="78"/>
      <c r="V341" s="64"/>
      <c r="W341" s="79"/>
      <c r="X341" s="64"/>
      <c r="Y341" s="64"/>
      <c r="Z341" s="64"/>
      <c r="AA341" s="64"/>
      <c r="AB341" s="64"/>
      <c r="AC341" s="64"/>
      <c r="AD341" s="64"/>
      <c r="AE341" s="64"/>
    </row>
    <row r="342" spans="1:31" ht="17.25" customHeight="1">
      <c r="A342" s="79"/>
      <c r="B342" s="64"/>
      <c r="C342" s="64"/>
      <c r="D342" s="64"/>
      <c r="E342" s="64"/>
      <c r="F342" s="64"/>
      <c r="G342" s="64"/>
      <c r="H342" s="87"/>
      <c r="I342" s="64"/>
      <c r="J342" s="64"/>
      <c r="K342" s="64"/>
      <c r="L342" s="64"/>
      <c r="M342" s="79"/>
      <c r="N342" s="64"/>
      <c r="O342" s="64"/>
      <c r="P342" s="64"/>
      <c r="Q342" s="64"/>
      <c r="R342" s="64"/>
      <c r="S342" s="64"/>
      <c r="T342" s="64"/>
      <c r="U342" s="78"/>
      <c r="V342" s="64"/>
      <c r="W342" s="79"/>
      <c r="X342" s="64"/>
      <c r="Y342" s="64"/>
      <c r="Z342" s="64"/>
      <c r="AA342" s="64"/>
      <c r="AB342" s="64"/>
      <c r="AC342" s="64"/>
      <c r="AD342" s="64"/>
      <c r="AE342" s="64"/>
    </row>
    <row r="343" spans="1:31" ht="17.25" customHeight="1">
      <c r="A343" s="79"/>
      <c r="B343" s="64"/>
      <c r="C343" s="64"/>
      <c r="D343" s="64"/>
      <c r="E343" s="64"/>
      <c r="F343" s="64"/>
      <c r="G343" s="64"/>
      <c r="H343" s="87"/>
      <c r="I343" s="64"/>
      <c r="J343" s="64"/>
      <c r="K343" s="64"/>
      <c r="L343" s="64"/>
      <c r="M343" s="79"/>
      <c r="N343" s="64"/>
      <c r="O343" s="64"/>
      <c r="P343" s="64"/>
      <c r="Q343" s="64"/>
      <c r="R343" s="64"/>
      <c r="S343" s="64"/>
      <c r="T343" s="64"/>
      <c r="U343" s="78"/>
      <c r="V343" s="64"/>
      <c r="W343" s="79"/>
      <c r="X343" s="64"/>
      <c r="Y343" s="64"/>
      <c r="Z343" s="64"/>
      <c r="AA343" s="64"/>
      <c r="AB343" s="64"/>
      <c r="AC343" s="64"/>
      <c r="AD343" s="64"/>
      <c r="AE343" s="64"/>
    </row>
    <row r="344" spans="1:31" ht="17.25" customHeight="1">
      <c r="A344" s="79"/>
      <c r="B344" s="64"/>
      <c r="C344" s="64"/>
      <c r="D344" s="64"/>
      <c r="E344" s="64"/>
      <c r="F344" s="64"/>
      <c r="G344" s="64"/>
      <c r="H344" s="87"/>
      <c r="I344" s="64"/>
      <c r="J344" s="64"/>
      <c r="K344" s="64"/>
      <c r="L344" s="64"/>
      <c r="M344" s="79"/>
      <c r="N344" s="64"/>
      <c r="O344" s="64"/>
      <c r="P344" s="64"/>
      <c r="Q344" s="64"/>
      <c r="R344" s="64"/>
      <c r="S344" s="64"/>
      <c r="T344" s="64"/>
      <c r="U344" s="78"/>
      <c r="V344" s="64"/>
      <c r="W344" s="79"/>
      <c r="X344" s="64"/>
      <c r="Y344" s="64"/>
      <c r="Z344" s="64"/>
      <c r="AA344" s="64"/>
      <c r="AB344" s="64"/>
      <c r="AC344" s="64"/>
      <c r="AD344" s="64"/>
      <c r="AE344" s="64"/>
    </row>
    <row r="345" spans="1:31" ht="17.25" customHeight="1">
      <c r="A345" s="79"/>
      <c r="B345" s="64"/>
      <c r="C345" s="64"/>
      <c r="D345" s="64"/>
      <c r="E345" s="64"/>
      <c r="F345" s="64"/>
      <c r="G345" s="64"/>
      <c r="H345" s="87"/>
      <c r="I345" s="64"/>
      <c r="J345" s="64"/>
      <c r="K345" s="64"/>
      <c r="L345" s="64"/>
      <c r="M345" s="79"/>
      <c r="N345" s="64"/>
      <c r="O345" s="64"/>
      <c r="P345" s="64"/>
      <c r="Q345" s="64"/>
      <c r="R345" s="64"/>
      <c r="S345" s="64"/>
      <c r="T345" s="64"/>
      <c r="U345" s="78"/>
      <c r="V345" s="64"/>
      <c r="W345" s="79"/>
      <c r="X345" s="64"/>
      <c r="Y345" s="64"/>
      <c r="Z345" s="64"/>
      <c r="AA345" s="64"/>
      <c r="AB345" s="64"/>
      <c r="AC345" s="64"/>
      <c r="AD345" s="64"/>
      <c r="AE345" s="64"/>
    </row>
    <row r="346" spans="1:31" ht="17.25" customHeight="1">
      <c r="A346" s="79"/>
      <c r="B346" s="64"/>
      <c r="C346" s="64"/>
      <c r="D346" s="64"/>
      <c r="E346" s="64"/>
      <c r="F346" s="64"/>
      <c r="G346" s="64"/>
      <c r="H346" s="87"/>
      <c r="I346" s="64"/>
      <c r="J346" s="64"/>
      <c r="K346" s="64"/>
      <c r="L346" s="64"/>
      <c r="M346" s="79"/>
      <c r="N346" s="64"/>
      <c r="O346" s="64"/>
      <c r="P346" s="64"/>
      <c r="Q346" s="64"/>
      <c r="R346" s="64"/>
      <c r="S346" s="64"/>
      <c r="T346" s="64"/>
      <c r="U346" s="78"/>
      <c r="V346" s="64"/>
      <c r="W346" s="79"/>
      <c r="X346" s="64"/>
      <c r="Y346" s="64"/>
      <c r="Z346" s="64"/>
      <c r="AA346" s="64"/>
      <c r="AB346" s="64"/>
      <c r="AC346" s="64"/>
      <c r="AD346" s="64"/>
      <c r="AE346" s="64"/>
    </row>
    <row r="347" spans="1:31" ht="17.25" customHeight="1">
      <c r="A347" s="79"/>
      <c r="B347" s="64"/>
      <c r="C347" s="64"/>
      <c r="D347" s="64"/>
      <c r="E347" s="64"/>
      <c r="F347" s="64"/>
      <c r="G347" s="64"/>
      <c r="H347" s="87"/>
      <c r="I347" s="64"/>
      <c r="J347" s="64"/>
      <c r="K347" s="64"/>
      <c r="L347" s="64"/>
      <c r="M347" s="79"/>
      <c r="N347" s="64"/>
      <c r="O347" s="64"/>
      <c r="P347" s="64"/>
      <c r="Q347" s="64"/>
      <c r="R347" s="64"/>
      <c r="S347" s="64"/>
      <c r="T347" s="64"/>
      <c r="U347" s="78"/>
      <c r="V347" s="64"/>
      <c r="W347" s="79"/>
      <c r="X347" s="64"/>
      <c r="Y347" s="64"/>
      <c r="Z347" s="64"/>
      <c r="AA347" s="64"/>
      <c r="AB347" s="64"/>
      <c r="AC347" s="64"/>
      <c r="AD347" s="64"/>
      <c r="AE347" s="64"/>
    </row>
    <row r="348" spans="1:31" ht="17.25" customHeight="1">
      <c r="A348" s="79"/>
      <c r="B348" s="64"/>
      <c r="C348" s="64"/>
      <c r="D348" s="64"/>
      <c r="E348" s="64"/>
      <c r="F348" s="64"/>
      <c r="G348" s="64"/>
      <c r="H348" s="87"/>
      <c r="I348" s="64"/>
      <c r="J348" s="64"/>
      <c r="K348" s="64"/>
      <c r="L348" s="64"/>
      <c r="M348" s="79"/>
      <c r="N348" s="64"/>
      <c r="O348" s="64"/>
      <c r="P348" s="64"/>
      <c r="Q348" s="64"/>
      <c r="R348" s="64"/>
      <c r="S348" s="64"/>
      <c r="T348" s="64"/>
      <c r="U348" s="78"/>
      <c r="V348" s="64"/>
      <c r="W348" s="79"/>
      <c r="X348" s="64"/>
      <c r="Y348" s="64"/>
      <c r="Z348" s="64"/>
      <c r="AA348" s="64"/>
      <c r="AB348" s="64"/>
      <c r="AC348" s="64"/>
      <c r="AD348" s="64"/>
      <c r="AE348" s="64"/>
    </row>
    <row r="349" spans="1:31" ht="17.25" customHeight="1">
      <c r="A349" s="79"/>
      <c r="B349" s="64"/>
      <c r="C349" s="64"/>
      <c r="D349" s="64"/>
      <c r="E349" s="64"/>
      <c r="F349" s="64"/>
      <c r="G349" s="64"/>
      <c r="H349" s="87"/>
      <c r="I349" s="64"/>
      <c r="J349" s="64"/>
      <c r="K349" s="64"/>
      <c r="L349" s="64"/>
      <c r="M349" s="79"/>
      <c r="N349" s="64"/>
      <c r="O349" s="64"/>
      <c r="P349" s="64"/>
      <c r="Q349" s="64"/>
      <c r="R349" s="64"/>
      <c r="S349" s="64"/>
      <c r="T349" s="64"/>
      <c r="U349" s="78"/>
      <c r="V349" s="64"/>
      <c r="W349" s="79"/>
      <c r="X349" s="64"/>
      <c r="Y349" s="64"/>
      <c r="Z349" s="64"/>
      <c r="AA349" s="64"/>
      <c r="AB349" s="64"/>
      <c r="AC349" s="64"/>
      <c r="AD349" s="64"/>
      <c r="AE349" s="64"/>
    </row>
    <row r="350" spans="1:31" ht="17.25" customHeight="1">
      <c r="A350" s="79"/>
      <c r="B350" s="64"/>
      <c r="C350" s="64"/>
      <c r="D350" s="64"/>
      <c r="E350" s="64"/>
      <c r="F350" s="64"/>
      <c r="G350" s="64"/>
      <c r="H350" s="87"/>
      <c r="I350" s="64"/>
      <c r="J350" s="64"/>
      <c r="K350" s="64"/>
      <c r="L350" s="64"/>
      <c r="M350" s="79"/>
      <c r="N350" s="64"/>
      <c r="O350" s="64"/>
      <c r="P350" s="64"/>
      <c r="Q350" s="64"/>
      <c r="R350" s="64"/>
      <c r="S350" s="64"/>
      <c r="T350" s="64"/>
      <c r="U350" s="78"/>
      <c r="V350" s="64"/>
      <c r="W350" s="79"/>
      <c r="X350" s="64"/>
      <c r="Y350" s="64"/>
      <c r="Z350" s="64"/>
      <c r="AA350" s="64"/>
      <c r="AB350" s="64"/>
      <c r="AC350" s="64"/>
      <c r="AD350" s="64"/>
      <c r="AE350" s="64"/>
    </row>
    <row r="351" spans="1:31" ht="17.25" customHeight="1">
      <c r="A351" s="79"/>
      <c r="B351" s="64"/>
      <c r="C351" s="64"/>
      <c r="D351" s="64"/>
      <c r="E351" s="64"/>
      <c r="F351" s="64"/>
      <c r="G351" s="64"/>
      <c r="H351" s="87"/>
      <c r="I351" s="64"/>
      <c r="J351" s="64"/>
      <c r="K351" s="64"/>
      <c r="L351" s="64"/>
      <c r="M351" s="79"/>
      <c r="N351" s="64"/>
      <c r="O351" s="64"/>
      <c r="P351" s="64"/>
      <c r="Q351" s="64"/>
      <c r="R351" s="64"/>
      <c r="S351" s="64"/>
      <c r="T351" s="64"/>
      <c r="U351" s="78"/>
      <c r="V351" s="64"/>
      <c r="W351" s="79"/>
      <c r="X351" s="64"/>
      <c r="Y351" s="64"/>
      <c r="Z351" s="64"/>
      <c r="AA351" s="64"/>
      <c r="AB351" s="64"/>
      <c r="AC351" s="64"/>
      <c r="AD351" s="64"/>
      <c r="AE351" s="64"/>
    </row>
    <row r="352" spans="1:31" ht="17.25" customHeight="1">
      <c r="A352" s="79"/>
      <c r="B352" s="64"/>
      <c r="C352" s="64"/>
      <c r="D352" s="64"/>
      <c r="E352" s="64"/>
      <c r="F352" s="64"/>
      <c r="G352" s="64"/>
      <c r="H352" s="87"/>
      <c r="I352" s="64"/>
      <c r="J352" s="64"/>
      <c r="K352" s="64"/>
      <c r="L352" s="64"/>
      <c r="M352" s="79"/>
      <c r="N352" s="64"/>
      <c r="O352" s="64"/>
      <c r="P352" s="64"/>
      <c r="Q352" s="64"/>
      <c r="R352" s="64"/>
      <c r="S352" s="64"/>
      <c r="T352" s="64"/>
      <c r="U352" s="78"/>
      <c r="V352" s="64"/>
      <c r="W352" s="79"/>
      <c r="X352" s="64"/>
      <c r="Y352" s="64"/>
      <c r="Z352" s="64"/>
      <c r="AA352" s="64"/>
      <c r="AB352" s="64"/>
      <c r="AC352" s="64"/>
      <c r="AD352" s="64"/>
      <c r="AE352" s="64"/>
    </row>
    <row r="353" spans="1:31" ht="17.25" customHeight="1">
      <c r="A353" s="79"/>
      <c r="B353" s="64"/>
      <c r="C353" s="64"/>
      <c r="D353" s="64"/>
      <c r="E353" s="64"/>
      <c r="F353" s="64"/>
      <c r="G353" s="64"/>
      <c r="H353" s="87"/>
      <c r="I353" s="64"/>
      <c r="J353" s="64"/>
      <c r="K353" s="64"/>
      <c r="L353" s="64"/>
      <c r="M353" s="79"/>
      <c r="N353" s="64"/>
      <c r="O353" s="64"/>
      <c r="P353" s="64"/>
      <c r="Q353" s="64"/>
      <c r="R353" s="64"/>
      <c r="S353" s="64"/>
      <c r="T353" s="64"/>
      <c r="U353" s="78"/>
      <c r="V353" s="64"/>
      <c r="W353" s="79"/>
      <c r="X353" s="64"/>
      <c r="Y353" s="64"/>
      <c r="Z353" s="64"/>
      <c r="AA353" s="64"/>
      <c r="AB353" s="64"/>
      <c r="AC353" s="64"/>
      <c r="AD353" s="64"/>
      <c r="AE353" s="64"/>
    </row>
    <row r="354" spans="1:31" ht="17.25" customHeight="1">
      <c r="A354" s="79"/>
      <c r="B354" s="64"/>
      <c r="C354" s="64"/>
      <c r="D354" s="64"/>
      <c r="E354" s="64"/>
      <c r="F354" s="64"/>
      <c r="G354" s="64"/>
      <c r="H354" s="87"/>
      <c r="I354" s="64"/>
      <c r="J354" s="64"/>
      <c r="K354" s="64"/>
      <c r="L354" s="64"/>
      <c r="M354" s="79"/>
      <c r="N354" s="64"/>
      <c r="O354" s="64"/>
      <c r="P354" s="64"/>
      <c r="Q354" s="64"/>
      <c r="R354" s="64"/>
      <c r="S354" s="64"/>
      <c r="T354" s="64"/>
      <c r="U354" s="78"/>
      <c r="V354" s="64"/>
      <c r="W354" s="79"/>
      <c r="X354" s="64"/>
      <c r="Y354" s="64"/>
      <c r="Z354" s="64"/>
      <c r="AA354" s="64"/>
      <c r="AB354" s="64"/>
      <c r="AC354" s="64"/>
      <c r="AD354" s="64"/>
      <c r="AE354" s="64"/>
    </row>
    <row r="355" spans="1:31" ht="17.25" customHeight="1">
      <c r="A355" s="79"/>
      <c r="B355" s="64"/>
      <c r="C355" s="64"/>
      <c r="D355" s="64"/>
      <c r="E355" s="64"/>
      <c r="F355" s="64"/>
      <c r="G355" s="64"/>
      <c r="H355" s="87"/>
      <c r="I355" s="64"/>
      <c r="J355" s="64"/>
      <c r="K355" s="64"/>
      <c r="L355" s="64"/>
      <c r="M355" s="79"/>
      <c r="N355" s="64"/>
      <c r="O355" s="64"/>
      <c r="P355" s="64"/>
      <c r="Q355" s="64"/>
      <c r="R355" s="64"/>
      <c r="S355" s="64"/>
      <c r="T355" s="64"/>
      <c r="U355" s="78"/>
      <c r="V355" s="64"/>
      <c r="W355" s="79"/>
      <c r="X355" s="64"/>
      <c r="Y355" s="64"/>
      <c r="Z355" s="64"/>
      <c r="AA355" s="64"/>
      <c r="AB355" s="64"/>
      <c r="AC355" s="64"/>
      <c r="AD355" s="64"/>
      <c r="AE355" s="64"/>
    </row>
    <row r="356" spans="1:31" ht="17.25" customHeight="1">
      <c r="A356" s="79"/>
      <c r="B356" s="64"/>
      <c r="C356" s="64"/>
      <c r="D356" s="64"/>
      <c r="E356" s="64"/>
      <c r="F356" s="64"/>
      <c r="G356" s="64"/>
      <c r="H356" s="87"/>
      <c r="I356" s="64"/>
      <c r="J356" s="64"/>
      <c r="K356" s="64"/>
      <c r="L356" s="64"/>
      <c r="M356" s="79"/>
      <c r="N356" s="64"/>
      <c r="O356" s="64"/>
      <c r="P356" s="64"/>
      <c r="Q356" s="64"/>
      <c r="R356" s="64"/>
      <c r="S356" s="64"/>
      <c r="T356" s="64"/>
      <c r="U356" s="78"/>
      <c r="V356" s="64"/>
      <c r="W356" s="79"/>
      <c r="X356" s="64"/>
      <c r="Y356" s="64"/>
      <c r="Z356" s="64"/>
      <c r="AA356" s="64"/>
      <c r="AB356" s="64"/>
      <c r="AC356" s="64"/>
      <c r="AD356" s="64"/>
      <c r="AE356" s="64"/>
    </row>
    <row r="357" spans="1:31" ht="17.25" customHeight="1">
      <c r="A357" s="79"/>
      <c r="B357" s="64"/>
      <c r="C357" s="64"/>
      <c r="D357" s="64"/>
      <c r="E357" s="64"/>
      <c r="F357" s="64"/>
      <c r="G357" s="64"/>
      <c r="H357" s="87"/>
      <c r="I357" s="64"/>
      <c r="J357" s="64"/>
      <c r="K357" s="64"/>
      <c r="L357" s="64"/>
      <c r="M357" s="79"/>
      <c r="N357" s="64"/>
      <c r="O357" s="64"/>
      <c r="P357" s="64"/>
      <c r="Q357" s="64"/>
      <c r="R357" s="64"/>
      <c r="S357" s="64"/>
      <c r="T357" s="64"/>
      <c r="U357" s="78"/>
      <c r="V357" s="64"/>
      <c r="W357" s="79"/>
      <c r="X357" s="64"/>
      <c r="Y357" s="64"/>
      <c r="Z357" s="64"/>
      <c r="AA357" s="64"/>
      <c r="AB357" s="64"/>
      <c r="AC357" s="64"/>
      <c r="AD357" s="64"/>
      <c r="AE357" s="64"/>
    </row>
    <row r="358" spans="1:31" ht="17.25" customHeight="1">
      <c r="A358" s="79"/>
      <c r="B358" s="64"/>
      <c r="C358" s="64"/>
      <c r="D358" s="64"/>
      <c r="E358" s="64"/>
      <c r="F358" s="64"/>
      <c r="G358" s="64"/>
      <c r="H358" s="87"/>
      <c r="I358" s="64"/>
      <c r="J358" s="64"/>
      <c r="K358" s="64"/>
      <c r="L358" s="64"/>
      <c r="M358" s="79"/>
      <c r="N358" s="64"/>
      <c r="O358" s="64"/>
      <c r="P358" s="64"/>
      <c r="Q358" s="64"/>
      <c r="R358" s="64"/>
      <c r="S358" s="64"/>
      <c r="T358" s="64"/>
      <c r="U358" s="78"/>
      <c r="V358" s="64"/>
      <c r="W358" s="79"/>
      <c r="X358" s="64"/>
      <c r="Y358" s="64"/>
      <c r="Z358" s="64"/>
      <c r="AA358" s="64"/>
      <c r="AB358" s="64"/>
      <c r="AC358" s="64"/>
      <c r="AD358" s="64"/>
      <c r="AE358" s="64"/>
    </row>
    <row r="359" spans="1:31" ht="17.25" customHeight="1">
      <c r="A359" s="79"/>
      <c r="B359" s="64"/>
      <c r="C359" s="64"/>
      <c r="D359" s="64"/>
      <c r="E359" s="64"/>
      <c r="F359" s="64"/>
      <c r="G359" s="64"/>
      <c r="H359" s="87"/>
      <c r="I359" s="64"/>
      <c r="J359" s="64"/>
      <c r="K359" s="64"/>
      <c r="L359" s="64"/>
      <c r="M359" s="79"/>
      <c r="N359" s="64"/>
      <c r="O359" s="64"/>
      <c r="P359" s="64"/>
      <c r="Q359" s="64"/>
      <c r="R359" s="64"/>
      <c r="S359" s="64"/>
      <c r="T359" s="64"/>
      <c r="U359" s="78"/>
      <c r="V359" s="64"/>
      <c r="W359" s="79"/>
      <c r="X359" s="64"/>
      <c r="Y359" s="64"/>
      <c r="Z359" s="64"/>
      <c r="AA359" s="64"/>
      <c r="AB359" s="64"/>
      <c r="AC359" s="64"/>
      <c r="AD359" s="64"/>
      <c r="AE359" s="64"/>
    </row>
    <row r="360" spans="1:31" ht="17.25" customHeight="1">
      <c r="A360" s="79"/>
      <c r="B360" s="64"/>
      <c r="C360" s="64"/>
      <c r="D360" s="64"/>
      <c r="E360" s="64"/>
      <c r="F360" s="64"/>
      <c r="G360" s="64"/>
      <c r="H360" s="87"/>
      <c r="I360" s="64"/>
      <c r="J360" s="64"/>
      <c r="K360" s="64"/>
      <c r="L360" s="64"/>
      <c r="M360" s="79"/>
      <c r="N360" s="64"/>
      <c r="O360" s="64"/>
      <c r="P360" s="64"/>
      <c r="Q360" s="64"/>
      <c r="R360" s="64"/>
      <c r="S360" s="64"/>
      <c r="T360" s="64"/>
      <c r="U360" s="78"/>
      <c r="V360" s="64"/>
      <c r="W360" s="79"/>
      <c r="X360" s="64"/>
      <c r="Y360" s="64"/>
      <c r="Z360" s="64"/>
      <c r="AA360" s="64"/>
      <c r="AB360" s="64"/>
      <c r="AC360" s="64"/>
      <c r="AD360" s="64"/>
      <c r="AE360" s="64"/>
    </row>
    <row r="361" spans="1:31" ht="17.25" customHeight="1">
      <c r="A361" s="79"/>
      <c r="B361" s="64"/>
      <c r="C361" s="64"/>
      <c r="D361" s="64"/>
      <c r="E361" s="64"/>
      <c r="F361" s="64"/>
      <c r="G361" s="64"/>
      <c r="H361" s="87"/>
      <c r="I361" s="64"/>
      <c r="J361" s="64"/>
      <c r="K361" s="64"/>
      <c r="L361" s="64"/>
      <c r="M361" s="79"/>
      <c r="N361" s="64"/>
      <c r="O361" s="64"/>
      <c r="P361" s="64"/>
      <c r="Q361" s="64"/>
      <c r="R361" s="64"/>
      <c r="S361" s="64"/>
      <c r="T361" s="64"/>
      <c r="U361" s="78"/>
      <c r="V361" s="64"/>
      <c r="W361" s="79"/>
      <c r="X361" s="64"/>
      <c r="Y361" s="64"/>
      <c r="Z361" s="64"/>
      <c r="AA361" s="64"/>
      <c r="AB361" s="64"/>
      <c r="AC361" s="64"/>
      <c r="AD361" s="64"/>
      <c r="AE361" s="64"/>
    </row>
    <row r="362" spans="1:31" ht="17.25" customHeight="1">
      <c r="A362" s="79"/>
      <c r="B362" s="64"/>
      <c r="C362" s="64"/>
      <c r="D362" s="64"/>
      <c r="E362" s="64"/>
      <c r="F362" s="64"/>
      <c r="G362" s="64"/>
      <c r="H362" s="87"/>
      <c r="I362" s="64"/>
      <c r="J362" s="64"/>
      <c r="K362" s="64"/>
      <c r="L362" s="64"/>
      <c r="M362" s="79"/>
      <c r="N362" s="64"/>
      <c r="O362" s="64"/>
      <c r="P362" s="64"/>
      <c r="Q362" s="64"/>
      <c r="R362" s="64"/>
      <c r="S362" s="64"/>
      <c r="T362" s="64"/>
      <c r="U362" s="78"/>
      <c r="V362" s="64"/>
      <c r="W362" s="79"/>
      <c r="X362" s="64"/>
      <c r="Y362" s="64"/>
      <c r="Z362" s="64"/>
      <c r="AA362" s="64"/>
      <c r="AB362" s="64"/>
      <c r="AC362" s="64"/>
      <c r="AD362" s="64"/>
      <c r="AE362" s="64"/>
    </row>
    <row r="363" spans="1:31" ht="17.25" customHeight="1">
      <c r="A363" s="79"/>
      <c r="B363" s="64"/>
      <c r="C363" s="64"/>
      <c r="D363" s="64"/>
      <c r="E363" s="64"/>
      <c r="F363" s="64"/>
      <c r="G363" s="64"/>
      <c r="H363" s="87"/>
      <c r="I363" s="64"/>
      <c r="J363" s="64"/>
      <c r="K363" s="64"/>
      <c r="L363" s="64"/>
      <c r="M363" s="79"/>
      <c r="N363" s="64"/>
      <c r="O363" s="64"/>
      <c r="P363" s="64"/>
      <c r="Q363" s="64"/>
      <c r="R363" s="64"/>
      <c r="S363" s="64"/>
      <c r="T363" s="64"/>
      <c r="U363" s="78"/>
      <c r="V363" s="64"/>
      <c r="W363" s="79"/>
      <c r="X363" s="64"/>
      <c r="Y363" s="64"/>
      <c r="Z363" s="64"/>
      <c r="AA363" s="64"/>
      <c r="AB363" s="64"/>
      <c r="AC363" s="64"/>
      <c r="AD363" s="64"/>
      <c r="AE363" s="64"/>
    </row>
    <row r="364" spans="1:31" ht="17.25" customHeight="1">
      <c r="A364" s="79"/>
      <c r="B364" s="64"/>
      <c r="C364" s="64"/>
      <c r="D364" s="64"/>
      <c r="E364" s="64"/>
      <c r="F364" s="64"/>
      <c r="G364" s="64"/>
      <c r="H364" s="87"/>
      <c r="I364" s="64"/>
      <c r="J364" s="64"/>
      <c r="K364" s="64"/>
      <c r="L364" s="64"/>
      <c r="M364" s="79"/>
      <c r="N364" s="64"/>
      <c r="O364" s="64"/>
      <c r="P364" s="64"/>
      <c r="Q364" s="64"/>
      <c r="R364" s="64"/>
      <c r="S364" s="64"/>
      <c r="T364" s="64"/>
      <c r="U364" s="78"/>
      <c r="V364" s="64"/>
      <c r="W364" s="79"/>
      <c r="X364" s="64"/>
      <c r="Y364" s="64"/>
      <c r="Z364" s="64"/>
      <c r="AA364" s="64"/>
      <c r="AB364" s="64"/>
      <c r="AC364" s="64"/>
      <c r="AD364" s="64"/>
      <c r="AE364" s="64"/>
    </row>
    <row r="365" spans="1:31" ht="17.25" customHeight="1">
      <c r="A365" s="79"/>
      <c r="B365" s="64"/>
      <c r="C365" s="64"/>
      <c r="D365" s="64"/>
      <c r="E365" s="64"/>
      <c r="F365" s="64"/>
      <c r="G365" s="64"/>
      <c r="H365" s="87"/>
      <c r="I365" s="64"/>
      <c r="J365" s="64"/>
      <c r="K365" s="64"/>
      <c r="L365" s="64"/>
      <c r="M365" s="79"/>
      <c r="N365" s="64"/>
      <c r="O365" s="64"/>
      <c r="P365" s="64"/>
      <c r="Q365" s="64"/>
      <c r="R365" s="64"/>
      <c r="S365" s="64"/>
      <c r="T365" s="64"/>
      <c r="U365" s="78"/>
      <c r="V365" s="64"/>
      <c r="W365" s="79"/>
      <c r="X365" s="64"/>
      <c r="Y365" s="64"/>
      <c r="Z365" s="64"/>
      <c r="AA365" s="64"/>
      <c r="AB365" s="64"/>
      <c r="AC365" s="64"/>
      <c r="AD365" s="64"/>
      <c r="AE365" s="64"/>
    </row>
    <row r="366" spans="1:31" ht="17.25" customHeight="1">
      <c r="A366" s="79"/>
      <c r="B366" s="64"/>
      <c r="C366" s="64"/>
      <c r="D366" s="64"/>
      <c r="E366" s="64"/>
      <c r="F366" s="64"/>
      <c r="G366" s="64"/>
      <c r="H366" s="87"/>
      <c r="I366" s="64"/>
      <c r="J366" s="64"/>
      <c r="K366" s="64"/>
      <c r="L366" s="64"/>
      <c r="M366" s="79"/>
      <c r="N366" s="64"/>
      <c r="O366" s="64"/>
      <c r="P366" s="64"/>
      <c r="Q366" s="64"/>
      <c r="R366" s="64"/>
      <c r="S366" s="64"/>
      <c r="T366" s="64"/>
      <c r="U366" s="78"/>
      <c r="V366" s="64"/>
      <c r="W366" s="79"/>
      <c r="X366" s="64"/>
      <c r="Y366" s="64"/>
      <c r="Z366" s="64"/>
      <c r="AA366" s="64"/>
      <c r="AB366" s="64"/>
      <c r="AC366" s="64"/>
      <c r="AD366" s="64"/>
      <c r="AE366" s="64"/>
    </row>
    <row r="367" spans="1:31" ht="17.25" customHeight="1">
      <c r="A367" s="79"/>
      <c r="B367" s="64"/>
      <c r="C367" s="64"/>
      <c r="D367" s="64"/>
      <c r="E367" s="64"/>
      <c r="F367" s="64"/>
      <c r="G367" s="64"/>
      <c r="H367" s="87"/>
      <c r="I367" s="64"/>
      <c r="J367" s="64"/>
      <c r="K367" s="64"/>
      <c r="L367" s="64"/>
      <c r="M367" s="79"/>
      <c r="N367" s="64"/>
      <c r="O367" s="64"/>
      <c r="P367" s="64"/>
      <c r="Q367" s="64"/>
      <c r="R367" s="64"/>
      <c r="S367" s="64"/>
      <c r="T367" s="64"/>
      <c r="U367" s="78"/>
      <c r="V367" s="64"/>
      <c r="W367" s="79"/>
      <c r="X367" s="64"/>
      <c r="Y367" s="64"/>
      <c r="Z367" s="64"/>
      <c r="AA367" s="64"/>
      <c r="AB367" s="64"/>
      <c r="AC367" s="64"/>
      <c r="AD367" s="64"/>
      <c r="AE367" s="64"/>
    </row>
    <row r="368" spans="1:31" ht="17.25" customHeight="1">
      <c r="A368" s="79"/>
      <c r="B368" s="64"/>
      <c r="C368" s="64"/>
      <c r="D368" s="64"/>
      <c r="E368" s="64"/>
      <c r="F368" s="64"/>
      <c r="G368" s="64"/>
      <c r="H368" s="87"/>
      <c r="I368" s="64"/>
      <c r="J368" s="64"/>
      <c r="K368" s="64"/>
      <c r="L368" s="64"/>
      <c r="M368" s="79"/>
      <c r="N368" s="64"/>
      <c r="O368" s="64"/>
      <c r="P368" s="64"/>
      <c r="Q368" s="64"/>
      <c r="R368" s="64"/>
      <c r="S368" s="64"/>
      <c r="T368" s="64"/>
      <c r="U368" s="78"/>
      <c r="V368" s="64"/>
      <c r="W368" s="79"/>
      <c r="X368" s="64"/>
      <c r="Y368" s="64"/>
      <c r="Z368" s="64"/>
      <c r="AA368" s="64"/>
      <c r="AB368" s="64"/>
      <c r="AC368" s="64"/>
      <c r="AD368" s="64"/>
      <c r="AE368" s="64"/>
    </row>
    <row r="369" spans="1:31" ht="17.25" customHeight="1">
      <c r="A369" s="79"/>
      <c r="B369" s="64"/>
      <c r="C369" s="64"/>
      <c r="D369" s="64"/>
      <c r="E369" s="64"/>
      <c r="F369" s="64"/>
      <c r="G369" s="64"/>
      <c r="H369" s="87"/>
      <c r="I369" s="64"/>
      <c r="J369" s="64"/>
      <c r="K369" s="64"/>
      <c r="L369" s="64"/>
      <c r="M369" s="79"/>
      <c r="N369" s="64"/>
      <c r="O369" s="64"/>
      <c r="P369" s="64"/>
      <c r="Q369" s="64"/>
      <c r="R369" s="64"/>
      <c r="S369" s="64"/>
      <c r="T369" s="64"/>
      <c r="U369" s="78"/>
      <c r="V369" s="64"/>
      <c r="W369" s="79"/>
      <c r="X369" s="64"/>
      <c r="Y369" s="64"/>
      <c r="Z369" s="64"/>
      <c r="AA369" s="64"/>
      <c r="AB369" s="64"/>
      <c r="AC369" s="64"/>
      <c r="AD369" s="64"/>
      <c r="AE369" s="64"/>
    </row>
    <row r="370" spans="1:31" ht="17.25" customHeight="1">
      <c r="A370" s="79"/>
      <c r="B370" s="64"/>
      <c r="C370" s="64"/>
      <c r="D370" s="64"/>
      <c r="E370" s="64"/>
      <c r="F370" s="64"/>
      <c r="G370" s="64"/>
      <c r="H370" s="87"/>
      <c r="I370" s="64"/>
      <c r="J370" s="64"/>
      <c r="K370" s="64"/>
      <c r="L370" s="64"/>
      <c r="M370" s="79"/>
      <c r="N370" s="64"/>
      <c r="O370" s="64"/>
      <c r="P370" s="64"/>
      <c r="Q370" s="64"/>
      <c r="R370" s="64"/>
      <c r="S370" s="64"/>
      <c r="T370" s="64"/>
      <c r="U370" s="78"/>
      <c r="V370" s="64"/>
      <c r="W370" s="79"/>
      <c r="X370" s="64"/>
      <c r="Y370" s="64"/>
      <c r="Z370" s="64"/>
      <c r="AA370" s="64"/>
      <c r="AB370" s="64"/>
      <c r="AC370" s="64"/>
      <c r="AD370" s="64"/>
      <c r="AE370" s="64"/>
    </row>
    <row r="371" spans="1:31" ht="17.25" customHeight="1">
      <c r="A371" s="79"/>
      <c r="B371" s="64"/>
      <c r="C371" s="64"/>
      <c r="D371" s="64"/>
      <c r="E371" s="64"/>
      <c r="F371" s="64"/>
      <c r="G371" s="64"/>
      <c r="H371" s="87"/>
      <c r="I371" s="64"/>
      <c r="J371" s="64"/>
      <c r="K371" s="64"/>
      <c r="L371" s="64"/>
      <c r="M371" s="79"/>
      <c r="N371" s="64"/>
      <c r="O371" s="64"/>
      <c r="P371" s="64"/>
      <c r="Q371" s="64"/>
      <c r="R371" s="64"/>
      <c r="S371" s="64"/>
      <c r="T371" s="64"/>
      <c r="U371" s="78"/>
      <c r="V371" s="64"/>
      <c r="W371" s="79"/>
      <c r="X371" s="64"/>
      <c r="Y371" s="64"/>
      <c r="Z371" s="64"/>
      <c r="AA371" s="64"/>
      <c r="AB371" s="64"/>
      <c r="AC371" s="64"/>
      <c r="AD371" s="64"/>
      <c r="AE371" s="64"/>
    </row>
    <row r="372" spans="1:31" ht="17.25" customHeight="1">
      <c r="A372" s="79"/>
      <c r="B372" s="64"/>
      <c r="C372" s="64"/>
      <c r="D372" s="64"/>
      <c r="E372" s="64"/>
      <c r="F372" s="64"/>
      <c r="G372" s="64"/>
      <c r="H372" s="87"/>
      <c r="I372" s="64"/>
      <c r="J372" s="64"/>
      <c r="K372" s="64"/>
      <c r="L372" s="64"/>
      <c r="M372" s="79"/>
      <c r="N372" s="64"/>
      <c r="O372" s="64"/>
      <c r="P372" s="64"/>
      <c r="Q372" s="64"/>
      <c r="R372" s="64"/>
      <c r="S372" s="64"/>
      <c r="T372" s="64"/>
      <c r="U372" s="78"/>
      <c r="V372" s="64"/>
      <c r="W372" s="79"/>
      <c r="X372" s="64"/>
      <c r="Y372" s="64"/>
      <c r="Z372" s="64"/>
      <c r="AA372" s="64"/>
      <c r="AB372" s="64"/>
      <c r="AC372" s="64"/>
      <c r="AD372" s="64"/>
      <c r="AE372" s="64"/>
    </row>
    <row r="373" spans="1:31" ht="17.25" customHeight="1">
      <c r="A373" s="79"/>
      <c r="B373" s="64"/>
      <c r="C373" s="64"/>
      <c r="D373" s="64"/>
      <c r="E373" s="64"/>
      <c r="F373" s="64"/>
      <c r="G373" s="64"/>
      <c r="H373" s="87"/>
      <c r="I373" s="64"/>
      <c r="J373" s="64"/>
      <c r="K373" s="64"/>
      <c r="L373" s="64"/>
      <c r="M373" s="79"/>
      <c r="N373" s="64"/>
      <c r="O373" s="64"/>
      <c r="P373" s="64"/>
      <c r="Q373" s="64"/>
      <c r="R373" s="64"/>
      <c r="S373" s="64"/>
      <c r="T373" s="64"/>
      <c r="U373" s="78"/>
      <c r="V373" s="64"/>
      <c r="W373" s="79"/>
      <c r="X373" s="64"/>
      <c r="Y373" s="64"/>
      <c r="Z373" s="64"/>
      <c r="AA373" s="64"/>
      <c r="AB373" s="64"/>
      <c r="AC373" s="64"/>
      <c r="AD373" s="64"/>
      <c r="AE373" s="64"/>
    </row>
    <row r="374" spans="1:31" ht="17.25" customHeight="1">
      <c r="A374" s="79"/>
      <c r="B374" s="64"/>
      <c r="C374" s="64"/>
      <c r="D374" s="64"/>
      <c r="E374" s="64"/>
      <c r="F374" s="64"/>
      <c r="G374" s="64"/>
      <c r="H374" s="87"/>
      <c r="I374" s="64"/>
      <c r="J374" s="64"/>
      <c r="K374" s="64"/>
      <c r="L374" s="64"/>
      <c r="M374" s="79"/>
      <c r="N374" s="64"/>
      <c r="O374" s="64"/>
      <c r="P374" s="64"/>
      <c r="Q374" s="64"/>
      <c r="R374" s="64"/>
      <c r="S374" s="64"/>
      <c r="T374" s="64"/>
      <c r="U374" s="78"/>
      <c r="V374" s="64"/>
      <c r="W374" s="79"/>
      <c r="X374" s="64"/>
      <c r="Y374" s="64"/>
      <c r="Z374" s="64"/>
      <c r="AA374" s="64"/>
      <c r="AB374" s="64"/>
      <c r="AC374" s="64"/>
      <c r="AD374" s="64"/>
      <c r="AE374" s="64"/>
    </row>
    <row r="375" spans="1:31" ht="17.25" customHeight="1">
      <c r="A375" s="79"/>
      <c r="B375" s="64"/>
      <c r="C375" s="64"/>
      <c r="D375" s="64"/>
      <c r="E375" s="64"/>
      <c r="F375" s="64"/>
      <c r="G375" s="64"/>
      <c r="H375" s="87"/>
      <c r="I375" s="64"/>
      <c r="J375" s="64"/>
      <c r="K375" s="64"/>
      <c r="L375" s="64"/>
      <c r="M375" s="79"/>
      <c r="N375" s="64"/>
      <c r="O375" s="64"/>
      <c r="P375" s="64"/>
      <c r="Q375" s="64"/>
      <c r="R375" s="64"/>
      <c r="S375" s="64"/>
      <c r="T375" s="64"/>
      <c r="U375" s="78"/>
      <c r="V375" s="64"/>
      <c r="W375" s="79"/>
      <c r="X375" s="64"/>
      <c r="Y375" s="64"/>
      <c r="Z375" s="64"/>
      <c r="AA375" s="64"/>
      <c r="AB375" s="64"/>
      <c r="AC375" s="64"/>
      <c r="AD375" s="64"/>
      <c r="AE375" s="64"/>
    </row>
    <row r="376" spans="1:31" ht="17.25" customHeight="1">
      <c r="A376" s="79"/>
      <c r="B376" s="64"/>
      <c r="C376" s="64"/>
      <c r="D376" s="64"/>
      <c r="E376" s="64"/>
      <c r="F376" s="64"/>
      <c r="G376" s="64"/>
      <c r="H376" s="87"/>
      <c r="I376" s="64"/>
      <c r="J376" s="64"/>
      <c r="K376" s="64"/>
      <c r="L376" s="64"/>
      <c r="M376" s="79"/>
      <c r="N376" s="64"/>
      <c r="O376" s="64"/>
      <c r="P376" s="64"/>
      <c r="Q376" s="64"/>
      <c r="R376" s="64"/>
      <c r="S376" s="64"/>
      <c r="T376" s="64"/>
      <c r="U376" s="78"/>
      <c r="V376" s="64"/>
      <c r="W376" s="79"/>
      <c r="X376" s="64"/>
      <c r="Y376" s="64"/>
      <c r="Z376" s="64"/>
      <c r="AA376" s="64"/>
      <c r="AB376" s="64"/>
      <c r="AC376" s="64"/>
      <c r="AD376" s="64"/>
      <c r="AE376" s="64"/>
    </row>
    <row r="377" spans="1:31" ht="17.25" customHeight="1">
      <c r="A377" s="79"/>
      <c r="B377" s="64"/>
      <c r="C377" s="64"/>
      <c r="D377" s="64"/>
      <c r="E377" s="64"/>
      <c r="F377" s="64"/>
      <c r="G377" s="64"/>
      <c r="H377" s="87"/>
      <c r="I377" s="64"/>
      <c r="J377" s="64"/>
      <c r="K377" s="64"/>
      <c r="L377" s="64"/>
      <c r="M377" s="79"/>
      <c r="N377" s="64"/>
      <c r="O377" s="64"/>
      <c r="P377" s="64"/>
      <c r="Q377" s="64"/>
      <c r="R377" s="64"/>
      <c r="S377" s="64"/>
      <c r="T377" s="64"/>
      <c r="U377" s="78"/>
      <c r="V377" s="64"/>
      <c r="W377" s="79"/>
      <c r="X377" s="64"/>
      <c r="Y377" s="64"/>
      <c r="Z377" s="64"/>
      <c r="AA377" s="64"/>
      <c r="AB377" s="64"/>
      <c r="AC377" s="64"/>
      <c r="AD377" s="64"/>
      <c r="AE377" s="64"/>
    </row>
    <row r="378" spans="1:31" ht="17.25" customHeight="1">
      <c r="A378" s="79"/>
      <c r="B378" s="64"/>
      <c r="C378" s="64"/>
      <c r="D378" s="64"/>
      <c r="E378" s="64"/>
      <c r="F378" s="64"/>
      <c r="G378" s="64"/>
      <c r="H378" s="87"/>
      <c r="I378" s="64"/>
      <c r="J378" s="64"/>
      <c r="K378" s="64"/>
      <c r="L378" s="64"/>
      <c r="M378" s="79"/>
      <c r="N378" s="64"/>
      <c r="O378" s="64"/>
      <c r="P378" s="64"/>
      <c r="Q378" s="64"/>
      <c r="R378" s="64"/>
      <c r="S378" s="64"/>
      <c r="T378" s="64"/>
      <c r="U378" s="78"/>
      <c r="V378" s="64"/>
      <c r="W378" s="79"/>
      <c r="X378" s="64"/>
      <c r="Y378" s="64"/>
      <c r="Z378" s="64"/>
      <c r="AA378" s="64"/>
      <c r="AB378" s="64"/>
      <c r="AC378" s="64"/>
      <c r="AD378" s="64"/>
      <c r="AE378" s="64"/>
    </row>
    <row r="379" spans="1:31" ht="17.25" customHeight="1">
      <c r="A379" s="79"/>
      <c r="B379" s="64"/>
      <c r="C379" s="64"/>
      <c r="D379" s="64"/>
      <c r="E379" s="64"/>
      <c r="F379" s="64"/>
      <c r="G379" s="64"/>
      <c r="H379" s="87"/>
      <c r="I379" s="64"/>
      <c r="J379" s="64"/>
      <c r="K379" s="64"/>
      <c r="L379" s="64"/>
      <c r="M379" s="79"/>
      <c r="N379" s="64"/>
      <c r="O379" s="64"/>
      <c r="P379" s="64"/>
      <c r="Q379" s="64"/>
      <c r="R379" s="64"/>
      <c r="S379" s="64"/>
      <c r="T379" s="64"/>
      <c r="U379" s="78"/>
      <c r="V379" s="64"/>
      <c r="W379" s="79"/>
      <c r="X379" s="64"/>
      <c r="Y379" s="64"/>
      <c r="Z379" s="64"/>
      <c r="AA379" s="64"/>
      <c r="AB379" s="64"/>
      <c r="AC379" s="64"/>
      <c r="AD379" s="64"/>
      <c r="AE379" s="64"/>
    </row>
    <row r="380" spans="1:31" ht="17.25" customHeight="1">
      <c r="A380" s="79"/>
      <c r="B380" s="64"/>
      <c r="C380" s="64"/>
      <c r="D380" s="64"/>
      <c r="E380" s="64"/>
      <c r="F380" s="64"/>
      <c r="G380" s="64"/>
      <c r="H380" s="87"/>
      <c r="I380" s="64"/>
      <c r="J380" s="64"/>
      <c r="K380" s="64"/>
      <c r="L380" s="64"/>
      <c r="M380" s="79"/>
      <c r="N380" s="64"/>
      <c r="O380" s="64"/>
      <c r="P380" s="64"/>
      <c r="Q380" s="64"/>
      <c r="R380" s="64"/>
      <c r="S380" s="64"/>
      <c r="T380" s="64"/>
      <c r="U380" s="78"/>
      <c r="V380" s="64"/>
      <c r="W380" s="79"/>
      <c r="X380" s="64"/>
      <c r="Y380" s="64"/>
      <c r="Z380" s="64"/>
      <c r="AA380" s="64"/>
      <c r="AB380" s="64"/>
      <c r="AC380" s="64"/>
      <c r="AD380" s="64"/>
      <c r="AE380" s="64"/>
    </row>
    <row r="381" spans="1:31" ht="17.25" customHeight="1">
      <c r="A381" s="79"/>
      <c r="B381" s="64"/>
      <c r="C381" s="64"/>
      <c r="D381" s="64"/>
      <c r="E381" s="64"/>
      <c r="F381" s="64"/>
      <c r="G381" s="64"/>
      <c r="H381" s="87"/>
      <c r="I381" s="64"/>
      <c r="J381" s="64"/>
      <c r="K381" s="64"/>
      <c r="L381" s="64"/>
      <c r="M381" s="79"/>
      <c r="N381" s="64"/>
      <c r="O381" s="64"/>
      <c r="P381" s="64"/>
      <c r="Q381" s="64"/>
      <c r="R381" s="64"/>
      <c r="S381" s="64"/>
      <c r="T381" s="64"/>
      <c r="U381" s="78"/>
      <c r="V381" s="64"/>
      <c r="W381" s="79"/>
      <c r="X381" s="64"/>
      <c r="Y381" s="64"/>
      <c r="Z381" s="64"/>
      <c r="AA381" s="64"/>
      <c r="AB381" s="64"/>
      <c r="AC381" s="64"/>
      <c r="AD381" s="64"/>
      <c r="AE381" s="64"/>
    </row>
    <row r="382" spans="1:31" ht="17.25" customHeight="1">
      <c r="A382" s="79"/>
      <c r="B382" s="64"/>
      <c r="C382" s="64"/>
      <c r="D382" s="64"/>
      <c r="E382" s="64"/>
      <c r="F382" s="64"/>
      <c r="G382" s="64"/>
      <c r="H382" s="87"/>
      <c r="I382" s="64"/>
      <c r="J382" s="64"/>
      <c r="K382" s="64"/>
      <c r="L382" s="64"/>
      <c r="M382" s="79"/>
      <c r="N382" s="64"/>
      <c r="O382" s="64"/>
      <c r="P382" s="64"/>
      <c r="Q382" s="64"/>
      <c r="R382" s="64"/>
      <c r="S382" s="64"/>
      <c r="T382" s="64"/>
      <c r="U382" s="78"/>
      <c r="V382" s="64"/>
      <c r="W382" s="79"/>
      <c r="X382" s="64"/>
      <c r="Y382" s="64"/>
      <c r="Z382" s="64"/>
      <c r="AA382" s="64"/>
      <c r="AB382" s="64"/>
      <c r="AC382" s="64"/>
      <c r="AD382" s="64"/>
      <c r="AE382" s="64"/>
    </row>
    <row r="383" spans="1:31" ht="17.25" customHeight="1">
      <c r="A383" s="79"/>
      <c r="B383" s="64"/>
      <c r="C383" s="64"/>
      <c r="D383" s="64"/>
      <c r="E383" s="64"/>
      <c r="F383" s="64"/>
      <c r="G383" s="64"/>
      <c r="H383" s="87"/>
      <c r="I383" s="64"/>
      <c r="J383" s="64"/>
      <c r="K383" s="64"/>
      <c r="L383" s="64"/>
      <c r="M383" s="79"/>
      <c r="N383" s="64"/>
      <c r="O383" s="64"/>
      <c r="P383" s="64"/>
      <c r="Q383" s="64"/>
      <c r="R383" s="64"/>
      <c r="S383" s="64"/>
      <c r="T383" s="64"/>
      <c r="U383" s="78"/>
      <c r="V383" s="64"/>
      <c r="W383" s="79"/>
      <c r="X383" s="64"/>
      <c r="Y383" s="64"/>
      <c r="Z383" s="64"/>
      <c r="AA383" s="64"/>
      <c r="AB383" s="64"/>
      <c r="AC383" s="64"/>
      <c r="AD383" s="64"/>
      <c r="AE383" s="64"/>
    </row>
    <row r="384" spans="1:31" ht="17.25" customHeight="1">
      <c r="A384" s="79"/>
      <c r="B384" s="64"/>
      <c r="C384" s="64"/>
      <c r="D384" s="64"/>
      <c r="E384" s="64"/>
      <c r="F384" s="64"/>
      <c r="G384" s="64"/>
      <c r="H384" s="87"/>
      <c r="I384" s="64"/>
      <c r="J384" s="64"/>
      <c r="K384" s="64"/>
      <c r="L384" s="64"/>
      <c r="M384" s="79"/>
      <c r="N384" s="64"/>
      <c r="O384" s="64"/>
      <c r="P384" s="64"/>
      <c r="Q384" s="64"/>
      <c r="R384" s="64"/>
      <c r="S384" s="64"/>
      <c r="T384" s="64"/>
      <c r="U384" s="78"/>
      <c r="V384" s="64"/>
      <c r="W384" s="79"/>
      <c r="X384" s="64"/>
      <c r="Y384" s="64"/>
      <c r="Z384" s="64"/>
      <c r="AA384" s="64"/>
      <c r="AB384" s="64"/>
      <c r="AC384" s="64"/>
      <c r="AD384" s="64"/>
      <c r="AE384" s="64"/>
    </row>
    <row r="385" spans="1:31" ht="17.25" customHeight="1">
      <c r="A385" s="79"/>
      <c r="B385" s="64"/>
      <c r="C385" s="64"/>
      <c r="D385" s="64"/>
      <c r="E385" s="64"/>
      <c r="F385" s="64"/>
      <c r="G385" s="64"/>
      <c r="H385" s="87"/>
      <c r="I385" s="64"/>
      <c r="J385" s="64"/>
      <c r="K385" s="64"/>
      <c r="L385" s="64"/>
      <c r="M385" s="79"/>
      <c r="N385" s="64"/>
      <c r="O385" s="64"/>
      <c r="P385" s="64"/>
      <c r="Q385" s="64"/>
      <c r="R385" s="64"/>
      <c r="S385" s="64"/>
      <c r="T385" s="64"/>
      <c r="U385" s="78"/>
      <c r="V385" s="64"/>
      <c r="W385" s="79"/>
      <c r="X385" s="64"/>
      <c r="Y385" s="64"/>
      <c r="Z385" s="64"/>
      <c r="AA385" s="64"/>
      <c r="AB385" s="64"/>
      <c r="AC385" s="64"/>
      <c r="AD385" s="64"/>
      <c r="AE385" s="64"/>
    </row>
    <row r="386" spans="1:31" ht="17.25" customHeight="1">
      <c r="A386" s="79"/>
      <c r="B386" s="64"/>
      <c r="C386" s="64"/>
      <c r="D386" s="64"/>
      <c r="E386" s="64"/>
      <c r="F386" s="64"/>
      <c r="G386" s="64"/>
      <c r="H386" s="87"/>
      <c r="I386" s="64"/>
      <c r="J386" s="64"/>
      <c r="K386" s="64"/>
      <c r="L386" s="64"/>
      <c r="M386" s="79"/>
      <c r="N386" s="64"/>
      <c r="O386" s="64"/>
      <c r="P386" s="64"/>
      <c r="Q386" s="64"/>
      <c r="R386" s="64"/>
      <c r="S386" s="64"/>
      <c r="T386" s="64"/>
      <c r="U386" s="78"/>
      <c r="V386" s="64"/>
      <c r="W386" s="79"/>
      <c r="X386" s="64"/>
      <c r="Y386" s="64"/>
      <c r="Z386" s="64"/>
      <c r="AA386" s="64"/>
      <c r="AB386" s="64"/>
      <c r="AC386" s="64"/>
      <c r="AD386" s="64"/>
      <c r="AE386" s="64"/>
    </row>
    <row r="387" spans="1:31" ht="17.25" customHeight="1">
      <c r="A387" s="79"/>
      <c r="B387" s="64"/>
      <c r="C387" s="64"/>
      <c r="D387" s="64"/>
      <c r="E387" s="64"/>
      <c r="F387" s="64"/>
      <c r="G387" s="64"/>
      <c r="H387" s="87"/>
      <c r="I387" s="64"/>
      <c r="J387" s="64"/>
      <c r="K387" s="64"/>
      <c r="L387" s="64"/>
      <c r="M387" s="79"/>
      <c r="N387" s="64"/>
      <c r="O387" s="64"/>
      <c r="P387" s="64"/>
      <c r="Q387" s="64"/>
      <c r="R387" s="64"/>
      <c r="S387" s="64"/>
      <c r="T387" s="64"/>
      <c r="U387" s="78"/>
      <c r="V387" s="64"/>
      <c r="W387" s="79"/>
      <c r="X387" s="64"/>
      <c r="Y387" s="64"/>
      <c r="Z387" s="64"/>
      <c r="AA387" s="64"/>
      <c r="AB387" s="64"/>
      <c r="AC387" s="64"/>
      <c r="AD387" s="64"/>
      <c r="AE387" s="64"/>
    </row>
    <row r="388" spans="1:31" ht="17.25" customHeight="1">
      <c r="A388" s="79"/>
      <c r="B388" s="64"/>
      <c r="C388" s="64"/>
      <c r="D388" s="64"/>
      <c r="E388" s="64"/>
      <c r="F388" s="64"/>
      <c r="G388" s="64"/>
      <c r="H388" s="87"/>
      <c r="I388" s="64"/>
      <c r="J388" s="64"/>
      <c r="K388" s="64"/>
      <c r="L388" s="64"/>
      <c r="M388" s="79"/>
      <c r="N388" s="64"/>
      <c r="O388" s="64"/>
      <c r="P388" s="64"/>
      <c r="Q388" s="64"/>
      <c r="R388" s="64"/>
      <c r="S388" s="64"/>
      <c r="T388" s="64"/>
      <c r="U388" s="78"/>
      <c r="V388" s="64"/>
      <c r="W388" s="79"/>
      <c r="X388" s="64"/>
      <c r="Y388" s="64"/>
      <c r="Z388" s="64"/>
      <c r="AA388" s="64"/>
      <c r="AB388" s="64"/>
      <c r="AC388" s="64"/>
      <c r="AD388" s="64"/>
      <c r="AE388" s="64"/>
    </row>
    <row r="389" spans="1:31" ht="17.25" customHeight="1">
      <c r="A389" s="79"/>
      <c r="B389" s="64"/>
      <c r="C389" s="64"/>
      <c r="D389" s="64"/>
      <c r="E389" s="64"/>
      <c r="F389" s="64"/>
      <c r="G389" s="64"/>
      <c r="H389" s="87"/>
      <c r="I389" s="64"/>
      <c r="J389" s="64"/>
      <c r="K389" s="64"/>
      <c r="L389" s="64"/>
      <c r="M389" s="79"/>
      <c r="N389" s="64"/>
      <c r="O389" s="64"/>
      <c r="P389" s="64"/>
      <c r="Q389" s="64"/>
      <c r="R389" s="64"/>
      <c r="S389" s="64"/>
      <c r="T389" s="64"/>
      <c r="U389" s="78"/>
      <c r="V389" s="64"/>
      <c r="W389" s="79"/>
      <c r="X389" s="64"/>
      <c r="Y389" s="64"/>
      <c r="Z389" s="64"/>
      <c r="AA389" s="64"/>
      <c r="AB389" s="64"/>
      <c r="AC389" s="64"/>
      <c r="AD389" s="64"/>
      <c r="AE389" s="64"/>
    </row>
    <row r="390" spans="1:31" ht="17.25" customHeight="1">
      <c r="A390" s="79"/>
      <c r="B390" s="64"/>
      <c r="C390" s="64"/>
      <c r="D390" s="64"/>
      <c r="E390" s="64"/>
      <c r="F390" s="64"/>
      <c r="G390" s="64"/>
      <c r="H390" s="87"/>
      <c r="I390" s="64"/>
      <c r="J390" s="64"/>
      <c r="K390" s="64"/>
      <c r="L390" s="64"/>
      <c r="M390" s="79"/>
      <c r="N390" s="64"/>
      <c r="O390" s="64"/>
      <c r="P390" s="64"/>
      <c r="Q390" s="64"/>
      <c r="R390" s="64"/>
      <c r="S390" s="64"/>
      <c r="T390" s="64"/>
      <c r="U390" s="78"/>
      <c r="V390" s="64"/>
      <c r="W390" s="79"/>
      <c r="X390" s="64"/>
      <c r="Y390" s="64"/>
      <c r="Z390" s="64"/>
      <c r="AA390" s="64"/>
      <c r="AB390" s="64"/>
      <c r="AC390" s="64"/>
      <c r="AD390" s="64"/>
      <c r="AE390" s="64"/>
    </row>
    <row r="391" spans="1:31" ht="17.25" customHeight="1">
      <c r="A391" s="79"/>
      <c r="B391" s="64"/>
      <c r="C391" s="64"/>
      <c r="D391" s="64"/>
      <c r="E391" s="64"/>
      <c r="F391" s="64"/>
      <c r="G391" s="64"/>
      <c r="H391" s="87"/>
      <c r="I391" s="64"/>
      <c r="J391" s="64"/>
      <c r="K391" s="64"/>
      <c r="L391" s="64"/>
      <c r="M391" s="79"/>
      <c r="N391" s="64"/>
      <c r="O391" s="64"/>
      <c r="P391" s="64"/>
      <c r="Q391" s="64"/>
      <c r="R391" s="64"/>
      <c r="S391" s="64"/>
      <c r="T391" s="64"/>
      <c r="U391" s="78"/>
      <c r="V391" s="64"/>
      <c r="W391" s="79"/>
      <c r="X391" s="64"/>
      <c r="Y391" s="64"/>
      <c r="Z391" s="64"/>
      <c r="AA391" s="64"/>
      <c r="AB391" s="64"/>
      <c r="AC391" s="64"/>
      <c r="AD391" s="64"/>
      <c r="AE391" s="64"/>
    </row>
    <row r="392" spans="1:31" ht="17.25" customHeight="1">
      <c r="A392" s="79"/>
      <c r="B392" s="64"/>
      <c r="C392" s="64"/>
      <c r="D392" s="64"/>
      <c r="E392" s="64"/>
      <c r="F392" s="64"/>
      <c r="G392" s="64"/>
      <c r="H392" s="87"/>
      <c r="I392" s="64"/>
      <c r="J392" s="64"/>
      <c r="K392" s="64"/>
      <c r="L392" s="64"/>
      <c r="M392" s="79"/>
      <c r="N392" s="64"/>
      <c r="O392" s="64"/>
      <c r="P392" s="64"/>
      <c r="Q392" s="64"/>
      <c r="R392" s="64"/>
      <c r="S392" s="64"/>
      <c r="T392" s="64"/>
      <c r="U392" s="78"/>
      <c r="V392" s="64"/>
      <c r="W392" s="79"/>
      <c r="X392" s="64"/>
      <c r="Y392" s="64"/>
      <c r="Z392" s="64"/>
      <c r="AA392" s="64"/>
      <c r="AB392" s="64"/>
      <c r="AC392" s="64"/>
      <c r="AD392" s="64"/>
      <c r="AE392" s="64"/>
    </row>
    <row r="393" spans="1:31" ht="17.25" customHeight="1">
      <c r="A393" s="79"/>
      <c r="B393" s="64"/>
      <c r="C393" s="64"/>
      <c r="D393" s="64"/>
      <c r="E393" s="64"/>
      <c r="F393" s="64"/>
      <c r="G393" s="64"/>
      <c r="H393" s="87"/>
      <c r="I393" s="64"/>
      <c r="J393" s="64"/>
      <c r="K393" s="64"/>
      <c r="L393" s="64"/>
      <c r="M393" s="79"/>
      <c r="N393" s="64"/>
      <c r="O393" s="64"/>
      <c r="P393" s="64"/>
      <c r="Q393" s="64"/>
      <c r="R393" s="64"/>
      <c r="S393" s="64"/>
      <c r="T393" s="64"/>
      <c r="U393" s="78"/>
      <c r="V393" s="64"/>
      <c r="W393" s="79"/>
      <c r="X393" s="64"/>
      <c r="Y393" s="64"/>
      <c r="Z393" s="64"/>
      <c r="AA393" s="64"/>
      <c r="AB393" s="64"/>
      <c r="AC393" s="64"/>
      <c r="AD393" s="64"/>
      <c r="AE393" s="64"/>
    </row>
    <row r="394" spans="1:31" ht="17.25" customHeight="1">
      <c r="A394" s="79"/>
      <c r="B394" s="64"/>
      <c r="C394" s="64"/>
      <c r="D394" s="64"/>
      <c r="E394" s="64"/>
      <c r="F394" s="64"/>
      <c r="G394" s="64"/>
      <c r="H394" s="87"/>
      <c r="I394" s="64"/>
      <c r="J394" s="64"/>
      <c r="K394" s="64"/>
      <c r="L394" s="64"/>
      <c r="M394" s="79"/>
      <c r="N394" s="64"/>
      <c r="O394" s="64"/>
      <c r="P394" s="64"/>
      <c r="Q394" s="64"/>
      <c r="R394" s="64"/>
      <c r="S394" s="64"/>
      <c r="T394" s="64"/>
      <c r="U394" s="78"/>
      <c r="V394" s="64"/>
      <c r="W394" s="79"/>
      <c r="X394" s="64"/>
      <c r="Y394" s="64"/>
      <c r="Z394" s="64"/>
      <c r="AA394" s="64"/>
      <c r="AB394" s="64"/>
      <c r="AC394" s="64"/>
      <c r="AD394" s="64"/>
      <c r="AE394" s="64"/>
    </row>
    <row r="395" spans="1:31" ht="17.25" customHeight="1">
      <c r="A395" s="79"/>
      <c r="B395" s="64"/>
      <c r="C395" s="64"/>
      <c r="D395" s="64"/>
      <c r="E395" s="64"/>
      <c r="F395" s="64"/>
      <c r="G395" s="64"/>
      <c r="H395" s="87"/>
      <c r="I395" s="64"/>
      <c r="J395" s="64"/>
      <c r="K395" s="64"/>
      <c r="L395" s="64"/>
      <c r="M395" s="79"/>
      <c r="N395" s="64"/>
      <c r="O395" s="64"/>
      <c r="P395" s="64"/>
      <c r="Q395" s="64"/>
      <c r="R395" s="64"/>
      <c r="S395" s="64"/>
      <c r="T395" s="64"/>
      <c r="U395" s="78"/>
      <c r="V395" s="64"/>
      <c r="W395" s="79"/>
      <c r="X395" s="64"/>
      <c r="Y395" s="64"/>
      <c r="Z395" s="64"/>
      <c r="AA395" s="64"/>
      <c r="AB395" s="64"/>
      <c r="AC395" s="64"/>
      <c r="AD395" s="64"/>
      <c r="AE395" s="64"/>
    </row>
    <row r="396" spans="1:31" ht="17.25" customHeight="1">
      <c r="A396" s="79"/>
      <c r="B396" s="64"/>
      <c r="C396" s="64"/>
      <c r="D396" s="64"/>
      <c r="E396" s="64"/>
      <c r="F396" s="64"/>
      <c r="G396" s="64"/>
      <c r="H396" s="87"/>
      <c r="I396" s="64"/>
      <c r="J396" s="64"/>
      <c r="K396" s="64"/>
      <c r="L396" s="64"/>
      <c r="M396" s="79"/>
      <c r="N396" s="64"/>
      <c r="O396" s="64"/>
      <c r="P396" s="64"/>
      <c r="Q396" s="64"/>
      <c r="R396" s="64"/>
      <c r="S396" s="64"/>
      <c r="T396" s="64"/>
      <c r="U396" s="78"/>
      <c r="V396" s="64"/>
      <c r="W396" s="79"/>
      <c r="X396" s="64"/>
      <c r="Y396" s="64"/>
      <c r="Z396" s="64"/>
      <c r="AA396" s="64"/>
      <c r="AB396" s="64"/>
      <c r="AC396" s="64"/>
      <c r="AD396" s="64"/>
      <c r="AE396" s="64"/>
    </row>
    <row r="397" spans="1:31" ht="17.25" customHeight="1">
      <c r="A397" s="79"/>
      <c r="B397" s="64"/>
      <c r="C397" s="64"/>
      <c r="D397" s="64"/>
      <c r="E397" s="64"/>
      <c r="F397" s="64"/>
      <c r="G397" s="64"/>
      <c r="H397" s="87"/>
      <c r="I397" s="64"/>
      <c r="J397" s="64"/>
      <c r="K397" s="64"/>
      <c r="L397" s="64"/>
      <c r="M397" s="79"/>
      <c r="N397" s="64"/>
      <c r="O397" s="64"/>
      <c r="P397" s="64"/>
      <c r="Q397" s="64"/>
      <c r="R397" s="64"/>
      <c r="S397" s="64"/>
      <c r="T397" s="64"/>
      <c r="U397" s="78"/>
      <c r="V397" s="64"/>
      <c r="W397" s="79"/>
      <c r="X397" s="64"/>
      <c r="Y397" s="64"/>
      <c r="Z397" s="64"/>
      <c r="AA397" s="64"/>
      <c r="AB397" s="64"/>
      <c r="AC397" s="64"/>
      <c r="AD397" s="64"/>
      <c r="AE397" s="64"/>
    </row>
    <row r="398" spans="1:31" ht="17.25" customHeight="1">
      <c r="A398" s="79"/>
      <c r="B398" s="64"/>
      <c r="C398" s="64"/>
      <c r="D398" s="64"/>
      <c r="E398" s="64"/>
      <c r="F398" s="64"/>
      <c r="G398" s="64"/>
      <c r="H398" s="87"/>
      <c r="I398" s="64"/>
      <c r="J398" s="64"/>
      <c r="K398" s="64"/>
      <c r="L398" s="64"/>
      <c r="M398" s="79"/>
      <c r="N398" s="64"/>
      <c r="O398" s="64"/>
      <c r="P398" s="64"/>
      <c r="Q398" s="64"/>
      <c r="R398" s="64"/>
      <c r="S398" s="64"/>
      <c r="T398" s="64"/>
      <c r="U398" s="78"/>
      <c r="V398" s="64"/>
      <c r="W398" s="79"/>
      <c r="X398" s="64"/>
      <c r="Y398" s="64"/>
      <c r="Z398" s="64"/>
      <c r="AA398" s="64"/>
      <c r="AB398" s="64"/>
      <c r="AC398" s="64"/>
      <c r="AD398" s="64"/>
      <c r="AE398" s="64"/>
    </row>
    <row r="399" spans="1:31" ht="17.25" customHeight="1">
      <c r="A399" s="79"/>
      <c r="B399" s="64"/>
      <c r="C399" s="64"/>
      <c r="D399" s="64"/>
      <c r="E399" s="64"/>
      <c r="F399" s="64"/>
      <c r="G399" s="64"/>
      <c r="H399" s="87"/>
      <c r="I399" s="64"/>
      <c r="J399" s="64"/>
      <c r="K399" s="64"/>
      <c r="L399" s="64"/>
      <c r="M399" s="79"/>
      <c r="N399" s="64"/>
      <c r="O399" s="64"/>
      <c r="P399" s="64"/>
      <c r="Q399" s="64"/>
      <c r="R399" s="64"/>
      <c r="S399" s="64"/>
      <c r="T399" s="64"/>
      <c r="U399" s="78"/>
      <c r="V399" s="64"/>
      <c r="W399" s="79"/>
      <c r="X399" s="64"/>
      <c r="Y399" s="64"/>
      <c r="Z399" s="64"/>
      <c r="AA399" s="64"/>
      <c r="AB399" s="64"/>
      <c r="AC399" s="64"/>
      <c r="AD399" s="64"/>
      <c r="AE399" s="64"/>
    </row>
    <row r="400" spans="1:31" ht="17.25" customHeight="1">
      <c r="A400" s="79"/>
      <c r="B400" s="64"/>
      <c r="C400" s="64"/>
      <c r="D400" s="64"/>
      <c r="E400" s="64"/>
      <c r="F400" s="64"/>
      <c r="G400" s="64"/>
      <c r="H400" s="87"/>
      <c r="I400" s="64"/>
      <c r="J400" s="64"/>
      <c r="K400" s="64"/>
      <c r="L400" s="64"/>
      <c r="M400" s="79"/>
      <c r="N400" s="64"/>
      <c r="O400" s="64"/>
      <c r="P400" s="64"/>
      <c r="Q400" s="64"/>
      <c r="R400" s="64"/>
      <c r="S400" s="64"/>
      <c r="T400" s="64"/>
      <c r="U400" s="78"/>
      <c r="V400" s="64"/>
      <c r="W400" s="79"/>
      <c r="X400" s="64"/>
      <c r="Y400" s="64"/>
      <c r="Z400" s="64"/>
      <c r="AA400" s="64"/>
      <c r="AB400" s="64"/>
      <c r="AC400" s="64"/>
      <c r="AD400" s="64"/>
      <c r="AE400" s="64"/>
    </row>
    <row r="401" spans="1:31" ht="17.25" customHeight="1">
      <c r="A401" s="79"/>
      <c r="B401" s="64"/>
      <c r="C401" s="64"/>
      <c r="D401" s="64"/>
      <c r="E401" s="64"/>
      <c r="F401" s="64"/>
      <c r="G401" s="64"/>
      <c r="H401" s="87"/>
      <c r="I401" s="64"/>
      <c r="J401" s="64"/>
      <c r="K401" s="64"/>
      <c r="L401" s="64"/>
      <c r="M401" s="79"/>
      <c r="N401" s="64"/>
      <c r="O401" s="64"/>
      <c r="P401" s="64"/>
      <c r="Q401" s="64"/>
      <c r="R401" s="64"/>
      <c r="S401" s="64"/>
      <c r="T401" s="64"/>
      <c r="U401" s="78"/>
      <c r="V401" s="64"/>
      <c r="W401" s="79"/>
      <c r="X401" s="64"/>
      <c r="Y401" s="64"/>
      <c r="Z401" s="64"/>
      <c r="AA401" s="64"/>
      <c r="AB401" s="64"/>
      <c r="AC401" s="64"/>
      <c r="AD401" s="64"/>
      <c r="AE401" s="64"/>
    </row>
    <row r="402" spans="1:31" ht="17.25" customHeight="1">
      <c r="A402" s="79"/>
      <c r="B402" s="64"/>
      <c r="C402" s="64"/>
      <c r="D402" s="64"/>
      <c r="E402" s="64"/>
      <c r="F402" s="64"/>
      <c r="G402" s="64"/>
      <c r="H402" s="87"/>
      <c r="I402" s="64"/>
      <c r="J402" s="64"/>
      <c r="K402" s="64"/>
      <c r="L402" s="64"/>
      <c r="M402" s="79"/>
      <c r="N402" s="64"/>
      <c r="O402" s="64"/>
      <c r="P402" s="64"/>
      <c r="Q402" s="64"/>
      <c r="R402" s="64"/>
      <c r="S402" s="64"/>
      <c r="T402" s="64"/>
      <c r="U402" s="78"/>
      <c r="V402" s="64"/>
      <c r="W402" s="79"/>
      <c r="X402" s="64"/>
      <c r="Y402" s="64"/>
      <c r="Z402" s="64"/>
      <c r="AA402" s="64"/>
      <c r="AB402" s="64"/>
      <c r="AC402" s="64"/>
      <c r="AD402" s="64"/>
      <c r="AE402" s="64"/>
    </row>
    <row r="403" spans="1:31" ht="17.25" customHeight="1">
      <c r="A403" s="79"/>
      <c r="B403" s="64"/>
      <c r="C403" s="64"/>
      <c r="D403" s="64"/>
      <c r="E403" s="64"/>
      <c r="F403" s="64"/>
      <c r="G403" s="64"/>
      <c r="H403" s="87"/>
      <c r="I403" s="64"/>
      <c r="J403" s="64"/>
      <c r="K403" s="64"/>
      <c r="L403" s="64"/>
      <c r="M403" s="79"/>
      <c r="N403" s="64"/>
      <c r="O403" s="64"/>
      <c r="P403" s="64"/>
      <c r="Q403" s="64"/>
      <c r="R403" s="64"/>
      <c r="S403" s="64"/>
      <c r="T403" s="64"/>
      <c r="U403" s="78"/>
      <c r="V403" s="64"/>
      <c r="W403" s="79"/>
      <c r="X403" s="64"/>
      <c r="Y403" s="64"/>
      <c r="Z403" s="64"/>
      <c r="AA403" s="64"/>
      <c r="AB403" s="64"/>
      <c r="AC403" s="64"/>
      <c r="AD403" s="64"/>
      <c r="AE403" s="64"/>
    </row>
    <row r="404" spans="1:31" ht="17.25" customHeight="1">
      <c r="A404" s="79"/>
      <c r="B404" s="64"/>
      <c r="C404" s="64"/>
      <c r="D404" s="64"/>
      <c r="E404" s="64"/>
      <c r="F404" s="64"/>
      <c r="G404" s="64"/>
      <c r="H404" s="87"/>
      <c r="I404" s="64"/>
      <c r="J404" s="64"/>
      <c r="K404" s="64"/>
      <c r="L404" s="64"/>
      <c r="M404" s="79"/>
      <c r="N404" s="64"/>
      <c r="O404" s="64"/>
      <c r="P404" s="64"/>
      <c r="Q404" s="64"/>
      <c r="R404" s="64"/>
      <c r="S404" s="64"/>
      <c r="T404" s="64"/>
      <c r="U404" s="78"/>
      <c r="V404" s="64"/>
      <c r="W404" s="79"/>
      <c r="X404" s="64"/>
      <c r="Y404" s="64"/>
      <c r="Z404" s="64"/>
      <c r="AA404" s="64"/>
      <c r="AB404" s="64"/>
      <c r="AC404" s="64"/>
      <c r="AD404" s="64"/>
      <c r="AE404" s="64"/>
    </row>
    <row r="405" spans="1:31" ht="17.25" customHeight="1">
      <c r="A405" s="79"/>
      <c r="B405" s="64"/>
      <c r="C405" s="64"/>
      <c r="D405" s="64"/>
      <c r="E405" s="64"/>
      <c r="F405" s="64"/>
      <c r="G405" s="64"/>
      <c r="H405" s="87"/>
      <c r="I405" s="64"/>
      <c r="J405" s="64"/>
      <c r="K405" s="64"/>
      <c r="L405" s="64"/>
      <c r="M405" s="79"/>
      <c r="N405" s="64"/>
      <c r="O405" s="64"/>
      <c r="P405" s="64"/>
      <c r="Q405" s="64"/>
      <c r="R405" s="64"/>
      <c r="S405" s="64"/>
      <c r="T405" s="64"/>
      <c r="U405" s="78"/>
      <c r="V405" s="64"/>
      <c r="W405" s="79"/>
      <c r="X405" s="64"/>
      <c r="Y405" s="64"/>
      <c r="Z405" s="64"/>
      <c r="AA405" s="64"/>
      <c r="AB405" s="64"/>
      <c r="AC405" s="64"/>
      <c r="AD405" s="64"/>
      <c r="AE405" s="64"/>
    </row>
    <row r="406" spans="1:31" ht="17.25" customHeight="1">
      <c r="A406" s="79"/>
      <c r="B406" s="64"/>
      <c r="C406" s="64"/>
      <c r="D406" s="64"/>
      <c r="E406" s="64"/>
      <c r="F406" s="64"/>
      <c r="G406" s="64"/>
      <c r="H406" s="87"/>
      <c r="I406" s="64"/>
      <c r="J406" s="64"/>
      <c r="K406" s="64"/>
      <c r="L406" s="64"/>
      <c r="M406" s="79"/>
      <c r="N406" s="64"/>
      <c r="O406" s="64"/>
      <c r="P406" s="64"/>
      <c r="Q406" s="64"/>
      <c r="R406" s="64"/>
      <c r="S406" s="64"/>
      <c r="T406" s="64"/>
      <c r="U406" s="78"/>
      <c r="V406" s="64"/>
      <c r="W406" s="79"/>
      <c r="X406" s="64"/>
      <c r="Y406" s="64"/>
      <c r="Z406" s="64"/>
      <c r="AA406" s="64"/>
      <c r="AB406" s="64"/>
      <c r="AC406" s="64"/>
      <c r="AD406" s="64"/>
      <c r="AE406" s="64"/>
    </row>
    <row r="407" spans="1:31" ht="17.25" customHeight="1">
      <c r="A407" s="79"/>
      <c r="B407" s="64"/>
      <c r="C407" s="64"/>
      <c r="D407" s="64"/>
      <c r="E407" s="64"/>
      <c r="F407" s="64"/>
      <c r="G407" s="64"/>
      <c r="H407" s="87"/>
      <c r="I407" s="64"/>
      <c r="J407" s="64"/>
      <c r="K407" s="64"/>
      <c r="L407" s="64"/>
      <c r="M407" s="79"/>
      <c r="N407" s="64"/>
      <c r="O407" s="64"/>
      <c r="P407" s="64"/>
      <c r="Q407" s="64"/>
      <c r="R407" s="64"/>
      <c r="S407" s="64"/>
      <c r="T407" s="64"/>
      <c r="U407" s="78"/>
      <c r="V407" s="64"/>
      <c r="W407" s="79"/>
      <c r="X407" s="64"/>
      <c r="Y407" s="64"/>
      <c r="Z407" s="64"/>
      <c r="AA407" s="64"/>
      <c r="AB407" s="64"/>
      <c r="AC407" s="64"/>
      <c r="AD407" s="64"/>
      <c r="AE407" s="64"/>
    </row>
    <row r="408" spans="1:31" ht="17.25" customHeight="1">
      <c r="A408" s="79"/>
      <c r="B408" s="64"/>
      <c r="C408" s="64"/>
      <c r="D408" s="64"/>
      <c r="E408" s="64"/>
      <c r="F408" s="64"/>
      <c r="G408" s="64"/>
      <c r="H408" s="87"/>
      <c r="I408" s="64"/>
      <c r="J408" s="64"/>
      <c r="K408" s="64"/>
      <c r="L408" s="64"/>
      <c r="M408" s="79"/>
      <c r="N408" s="64"/>
      <c r="O408" s="64"/>
      <c r="P408" s="64"/>
      <c r="Q408" s="64"/>
      <c r="R408" s="64"/>
      <c r="S408" s="64"/>
      <c r="T408" s="64"/>
      <c r="U408" s="78"/>
      <c r="V408" s="64"/>
      <c r="W408" s="79"/>
      <c r="X408" s="64"/>
      <c r="Y408" s="64"/>
      <c r="Z408" s="64"/>
      <c r="AA408" s="64"/>
      <c r="AB408" s="64"/>
      <c r="AC408" s="64"/>
      <c r="AD408" s="64"/>
      <c r="AE408" s="64"/>
    </row>
    <row r="409" spans="1:31" ht="17.25" customHeight="1">
      <c r="A409" s="79"/>
      <c r="B409" s="64"/>
      <c r="C409" s="64"/>
      <c r="D409" s="64"/>
      <c r="E409" s="64"/>
      <c r="F409" s="64"/>
      <c r="G409" s="64"/>
      <c r="H409" s="87"/>
      <c r="I409" s="64"/>
      <c r="J409" s="64"/>
      <c r="K409" s="64"/>
      <c r="L409" s="64"/>
      <c r="M409" s="79"/>
      <c r="N409" s="64"/>
      <c r="O409" s="64"/>
      <c r="P409" s="64"/>
      <c r="Q409" s="64"/>
      <c r="R409" s="64"/>
      <c r="S409" s="64"/>
      <c r="T409" s="64"/>
      <c r="U409" s="78"/>
      <c r="V409" s="64"/>
      <c r="W409" s="79"/>
      <c r="X409" s="64"/>
      <c r="Y409" s="64"/>
      <c r="Z409" s="64"/>
      <c r="AA409" s="64"/>
      <c r="AB409" s="64"/>
      <c r="AC409" s="64"/>
      <c r="AD409" s="64"/>
      <c r="AE409" s="64"/>
    </row>
    <row r="410" spans="1:31" ht="17.25" customHeight="1">
      <c r="A410" s="79"/>
      <c r="B410" s="64"/>
      <c r="C410" s="64"/>
      <c r="D410" s="64"/>
      <c r="E410" s="64"/>
      <c r="F410" s="64"/>
      <c r="G410" s="64"/>
      <c r="H410" s="87"/>
      <c r="I410" s="64"/>
      <c r="J410" s="64"/>
      <c r="K410" s="64"/>
      <c r="L410" s="64"/>
      <c r="M410" s="79"/>
      <c r="N410" s="64"/>
      <c r="O410" s="64"/>
      <c r="P410" s="64"/>
      <c r="Q410" s="64"/>
      <c r="R410" s="64"/>
      <c r="S410" s="64"/>
      <c r="T410" s="64"/>
      <c r="U410" s="78"/>
      <c r="V410" s="64"/>
      <c r="W410" s="79"/>
      <c r="X410" s="64"/>
      <c r="Y410" s="64"/>
      <c r="Z410" s="64"/>
      <c r="AA410" s="64"/>
      <c r="AB410" s="64"/>
      <c r="AC410" s="64"/>
      <c r="AD410" s="64"/>
      <c r="AE410" s="64"/>
    </row>
    <row r="411" spans="1:31" ht="17.25" customHeight="1">
      <c r="A411" s="79"/>
      <c r="B411" s="64"/>
      <c r="C411" s="64"/>
      <c r="D411" s="64"/>
      <c r="E411" s="64"/>
      <c r="F411" s="64"/>
      <c r="G411" s="64"/>
      <c r="H411" s="87"/>
      <c r="I411" s="64"/>
      <c r="J411" s="64"/>
      <c r="K411" s="64"/>
      <c r="L411" s="64"/>
      <c r="M411" s="79"/>
      <c r="N411" s="64"/>
      <c r="O411" s="64"/>
      <c r="P411" s="64"/>
      <c r="Q411" s="64"/>
      <c r="R411" s="64"/>
      <c r="S411" s="64"/>
      <c r="T411" s="64"/>
      <c r="U411" s="78"/>
      <c r="V411" s="64"/>
      <c r="W411" s="79"/>
      <c r="X411" s="64"/>
      <c r="Y411" s="64"/>
      <c r="Z411" s="64"/>
      <c r="AA411" s="64"/>
      <c r="AB411" s="64"/>
      <c r="AC411" s="64"/>
      <c r="AD411" s="64"/>
      <c r="AE411" s="64"/>
    </row>
    <row r="412" spans="1:31" ht="17.25" customHeight="1">
      <c r="A412" s="79"/>
      <c r="B412" s="64"/>
      <c r="C412" s="64"/>
      <c r="D412" s="64"/>
      <c r="E412" s="64"/>
      <c r="F412" s="64"/>
      <c r="G412" s="64"/>
      <c r="H412" s="87"/>
      <c r="I412" s="64"/>
      <c r="J412" s="64"/>
      <c r="K412" s="64"/>
      <c r="L412" s="64"/>
      <c r="M412" s="79"/>
      <c r="N412" s="64"/>
      <c r="O412" s="64"/>
      <c r="P412" s="64"/>
      <c r="Q412" s="64"/>
      <c r="R412" s="64"/>
      <c r="S412" s="64"/>
      <c r="T412" s="64"/>
      <c r="U412" s="78"/>
      <c r="V412" s="64"/>
      <c r="W412" s="79"/>
      <c r="X412" s="64"/>
      <c r="Y412" s="64"/>
      <c r="Z412" s="64"/>
      <c r="AA412" s="64"/>
      <c r="AB412" s="64"/>
      <c r="AC412" s="64"/>
      <c r="AD412" s="64"/>
      <c r="AE412" s="64"/>
    </row>
    <row r="413" spans="1:31" ht="17.25" customHeight="1">
      <c r="A413" s="79"/>
      <c r="B413" s="64"/>
      <c r="C413" s="64"/>
      <c r="D413" s="64"/>
      <c r="E413" s="64"/>
      <c r="F413" s="64"/>
      <c r="G413" s="64"/>
      <c r="H413" s="87"/>
      <c r="I413" s="64"/>
      <c r="J413" s="64"/>
      <c r="K413" s="64"/>
      <c r="L413" s="64"/>
      <c r="M413" s="79"/>
      <c r="N413" s="64"/>
      <c r="O413" s="64"/>
      <c r="P413" s="64"/>
      <c r="Q413" s="64"/>
      <c r="R413" s="64"/>
      <c r="S413" s="64"/>
      <c r="T413" s="64"/>
      <c r="U413" s="78"/>
      <c r="V413" s="64"/>
      <c r="W413" s="79"/>
      <c r="X413" s="64"/>
      <c r="Y413" s="64"/>
      <c r="Z413" s="64"/>
      <c r="AA413" s="64"/>
      <c r="AB413" s="64"/>
      <c r="AC413" s="64"/>
      <c r="AD413" s="64"/>
      <c r="AE413" s="64"/>
    </row>
    <row r="414" spans="1:31" ht="17.25" customHeight="1">
      <c r="A414" s="79"/>
      <c r="B414" s="64"/>
      <c r="C414" s="64"/>
      <c r="D414" s="64"/>
      <c r="E414" s="64"/>
      <c r="F414" s="64"/>
      <c r="G414" s="64"/>
      <c r="H414" s="87"/>
      <c r="I414" s="64"/>
      <c r="J414" s="64"/>
      <c r="K414" s="64"/>
      <c r="L414" s="64"/>
      <c r="M414" s="79"/>
      <c r="N414" s="64"/>
      <c r="O414" s="64"/>
      <c r="P414" s="64"/>
      <c r="Q414" s="64"/>
      <c r="R414" s="64"/>
      <c r="S414" s="64"/>
      <c r="T414" s="64"/>
      <c r="U414" s="78"/>
      <c r="V414" s="64"/>
      <c r="W414" s="79"/>
      <c r="X414" s="64"/>
      <c r="Y414" s="64"/>
      <c r="Z414" s="64"/>
      <c r="AA414" s="64"/>
      <c r="AB414" s="64"/>
      <c r="AC414" s="64"/>
      <c r="AD414" s="64"/>
      <c r="AE414" s="64"/>
    </row>
    <row r="415" spans="1:31" ht="17.25" customHeight="1">
      <c r="A415" s="79"/>
      <c r="B415" s="64"/>
      <c r="C415" s="64"/>
      <c r="D415" s="64"/>
      <c r="E415" s="64"/>
      <c r="F415" s="64"/>
      <c r="G415" s="64"/>
      <c r="H415" s="87"/>
      <c r="I415" s="64"/>
      <c r="J415" s="64"/>
      <c r="K415" s="64"/>
      <c r="L415" s="64"/>
      <c r="M415" s="79"/>
      <c r="N415" s="64"/>
      <c r="O415" s="64"/>
      <c r="P415" s="64"/>
      <c r="Q415" s="64"/>
      <c r="R415" s="64"/>
      <c r="S415" s="64"/>
      <c r="T415" s="64"/>
      <c r="U415" s="78"/>
      <c r="V415" s="64"/>
      <c r="W415" s="79"/>
      <c r="X415" s="64"/>
      <c r="Y415" s="64"/>
      <c r="Z415" s="64"/>
      <c r="AA415" s="64"/>
      <c r="AB415" s="64"/>
      <c r="AC415" s="64"/>
      <c r="AD415" s="64"/>
      <c r="AE415" s="64"/>
    </row>
    <row r="416" spans="1:31" ht="17.25" customHeight="1">
      <c r="A416" s="79"/>
      <c r="B416" s="64"/>
      <c r="C416" s="64"/>
      <c r="D416" s="64"/>
      <c r="E416" s="64"/>
      <c r="F416" s="64"/>
      <c r="G416" s="64"/>
      <c r="H416" s="87"/>
      <c r="I416" s="64"/>
      <c r="J416" s="64"/>
      <c r="K416" s="64"/>
      <c r="L416" s="64"/>
      <c r="M416" s="79"/>
      <c r="N416" s="64"/>
      <c r="O416" s="64"/>
      <c r="P416" s="64"/>
      <c r="Q416" s="64"/>
      <c r="R416" s="64"/>
      <c r="S416" s="64"/>
      <c r="T416" s="64"/>
      <c r="U416" s="78"/>
      <c r="V416" s="64"/>
      <c r="W416" s="79"/>
      <c r="X416" s="64"/>
      <c r="Y416" s="64"/>
      <c r="Z416" s="64"/>
      <c r="AA416" s="64"/>
      <c r="AB416" s="64"/>
      <c r="AC416" s="64"/>
      <c r="AD416" s="64"/>
      <c r="AE416" s="64"/>
    </row>
    <row r="417" spans="1:31" ht="17.25" customHeight="1">
      <c r="A417" s="79"/>
      <c r="B417" s="64"/>
      <c r="C417" s="64"/>
      <c r="D417" s="64"/>
      <c r="E417" s="64"/>
      <c r="F417" s="64"/>
      <c r="G417" s="64"/>
      <c r="H417" s="87"/>
      <c r="I417" s="64"/>
      <c r="J417" s="64"/>
      <c r="K417" s="64"/>
      <c r="L417" s="64"/>
      <c r="M417" s="79"/>
      <c r="N417" s="64"/>
      <c r="O417" s="64"/>
      <c r="P417" s="64"/>
      <c r="Q417" s="64"/>
      <c r="R417" s="64"/>
      <c r="S417" s="64"/>
      <c r="T417" s="64"/>
      <c r="U417" s="78"/>
      <c r="V417" s="64"/>
      <c r="W417" s="79"/>
      <c r="X417" s="64"/>
      <c r="Y417" s="64"/>
      <c r="Z417" s="64"/>
      <c r="AA417" s="64"/>
      <c r="AB417" s="64"/>
      <c r="AC417" s="64"/>
      <c r="AD417" s="64"/>
      <c r="AE417" s="64"/>
    </row>
    <row r="418" spans="1:31" ht="17.25" customHeight="1">
      <c r="A418" s="79"/>
      <c r="B418" s="64"/>
      <c r="C418" s="64"/>
      <c r="D418" s="64"/>
      <c r="E418" s="64"/>
      <c r="F418" s="64"/>
      <c r="G418" s="64"/>
      <c r="H418" s="87"/>
      <c r="I418" s="64"/>
      <c r="J418" s="64"/>
      <c r="K418" s="64"/>
      <c r="L418" s="64"/>
      <c r="M418" s="79"/>
      <c r="N418" s="64"/>
      <c r="O418" s="64"/>
      <c r="P418" s="64"/>
      <c r="Q418" s="64"/>
      <c r="R418" s="64"/>
      <c r="S418" s="64"/>
      <c r="T418" s="64"/>
      <c r="U418" s="78"/>
      <c r="V418" s="64"/>
      <c r="W418" s="79"/>
      <c r="X418" s="64"/>
      <c r="Y418" s="64"/>
      <c r="Z418" s="64"/>
      <c r="AA418" s="64"/>
      <c r="AB418" s="64"/>
      <c r="AC418" s="64"/>
      <c r="AD418" s="64"/>
      <c r="AE418" s="64"/>
    </row>
    <row r="419" spans="1:31" ht="17.25" customHeight="1">
      <c r="A419" s="79"/>
      <c r="B419" s="64"/>
      <c r="C419" s="64"/>
      <c r="D419" s="64"/>
      <c r="E419" s="64"/>
      <c r="F419" s="64"/>
      <c r="G419" s="64"/>
      <c r="H419" s="87"/>
      <c r="I419" s="64"/>
      <c r="J419" s="64"/>
      <c r="K419" s="64"/>
      <c r="L419" s="64"/>
      <c r="M419" s="79"/>
      <c r="N419" s="64"/>
      <c r="O419" s="64"/>
      <c r="P419" s="64"/>
      <c r="Q419" s="64"/>
      <c r="R419" s="64"/>
      <c r="S419" s="64"/>
      <c r="T419" s="64"/>
      <c r="U419" s="78"/>
      <c r="V419" s="64"/>
      <c r="W419" s="79"/>
      <c r="X419" s="64"/>
      <c r="Y419" s="64"/>
      <c r="Z419" s="64"/>
      <c r="AA419" s="64"/>
      <c r="AB419" s="64"/>
      <c r="AC419" s="64"/>
      <c r="AD419" s="64"/>
      <c r="AE419" s="64"/>
    </row>
    <row r="420" spans="1:31" ht="17.25" customHeight="1">
      <c r="A420" s="79"/>
      <c r="B420" s="64"/>
      <c r="C420" s="64"/>
      <c r="D420" s="64"/>
      <c r="E420" s="64"/>
      <c r="F420" s="64"/>
      <c r="G420" s="64"/>
      <c r="H420" s="87"/>
      <c r="I420" s="64"/>
      <c r="J420" s="64"/>
      <c r="K420" s="64"/>
      <c r="L420" s="64"/>
      <c r="M420" s="79"/>
      <c r="N420" s="64"/>
      <c r="O420" s="64"/>
      <c r="P420" s="64"/>
      <c r="Q420" s="64"/>
      <c r="R420" s="64"/>
      <c r="S420" s="64"/>
      <c r="T420" s="64"/>
      <c r="U420" s="78"/>
      <c r="V420" s="64"/>
      <c r="W420" s="79"/>
      <c r="X420" s="64"/>
      <c r="Y420" s="64"/>
      <c r="Z420" s="64"/>
      <c r="AA420" s="64"/>
      <c r="AB420" s="64"/>
      <c r="AC420" s="64"/>
      <c r="AD420" s="64"/>
      <c r="AE420" s="64"/>
    </row>
    <row r="421" spans="1:31" ht="17.25" customHeight="1">
      <c r="A421" s="79"/>
      <c r="B421" s="64"/>
      <c r="C421" s="64"/>
      <c r="D421" s="64"/>
      <c r="E421" s="64"/>
      <c r="F421" s="64"/>
      <c r="G421" s="64"/>
      <c r="H421" s="87"/>
      <c r="I421" s="64"/>
      <c r="J421" s="64"/>
      <c r="K421" s="64"/>
      <c r="L421" s="64"/>
      <c r="M421" s="79"/>
      <c r="N421" s="64"/>
      <c r="O421" s="64"/>
      <c r="P421" s="64"/>
      <c r="Q421" s="64"/>
      <c r="R421" s="64"/>
      <c r="S421" s="64"/>
      <c r="T421" s="64"/>
      <c r="U421" s="78"/>
      <c r="V421" s="64"/>
      <c r="W421" s="79"/>
      <c r="X421" s="64"/>
      <c r="Y421" s="64"/>
      <c r="Z421" s="64"/>
      <c r="AA421" s="64"/>
      <c r="AB421" s="64"/>
      <c r="AC421" s="64"/>
      <c r="AD421" s="64"/>
      <c r="AE421" s="64"/>
    </row>
    <row r="422" spans="1:31" ht="17.25" customHeight="1">
      <c r="A422" s="79"/>
      <c r="B422" s="64"/>
      <c r="C422" s="64"/>
      <c r="D422" s="64"/>
      <c r="E422" s="64"/>
      <c r="F422" s="64"/>
      <c r="G422" s="64"/>
      <c r="H422" s="87"/>
      <c r="I422" s="64"/>
      <c r="J422" s="64"/>
      <c r="K422" s="64"/>
      <c r="L422" s="64"/>
      <c r="M422" s="79"/>
      <c r="N422" s="64"/>
      <c r="O422" s="64"/>
      <c r="P422" s="64"/>
      <c r="Q422" s="64"/>
      <c r="R422" s="64"/>
      <c r="S422" s="64"/>
      <c r="T422" s="64"/>
      <c r="U422" s="78"/>
      <c r="V422" s="64"/>
      <c r="W422" s="79"/>
      <c r="X422" s="64"/>
      <c r="Y422" s="64"/>
      <c r="Z422" s="64"/>
      <c r="AA422" s="64"/>
      <c r="AB422" s="64"/>
      <c r="AC422" s="64"/>
      <c r="AD422" s="64"/>
      <c r="AE422" s="64"/>
    </row>
    <row r="423" spans="1:31" ht="17.25" customHeight="1">
      <c r="A423" s="79"/>
      <c r="B423" s="64"/>
      <c r="C423" s="64"/>
      <c r="D423" s="64"/>
      <c r="E423" s="64"/>
      <c r="F423" s="64"/>
      <c r="G423" s="64"/>
      <c r="H423" s="87"/>
      <c r="I423" s="64"/>
      <c r="J423" s="64"/>
      <c r="K423" s="64"/>
      <c r="L423" s="64"/>
      <c r="M423" s="79"/>
      <c r="N423" s="64"/>
      <c r="O423" s="64"/>
      <c r="P423" s="64"/>
      <c r="Q423" s="64"/>
      <c r="R423" s="64"/>
      <c r="S423" s="64"/>
      <c r="T423" s="64"/>
      <c r="U423" s="78"/>
      <c r="V423" s="64"/>
      <c r="W423" s="79"/>
      <c r="X423" s="64"/>
      <c r="Y423" s="64"/>
      <c r="Z423" s="64"/>
      <c r="AA423" s="64"/>
      <c r="AB423" s="64"/>
      <c r="AC423" s="64"/>
      <c r="AD423" s="64"/>
      <c r="AE423" s="64"/>
    </row>
    <row r="424" spans="1:31" ht="17.25" customHeight="1">
      <c r="A424" s="79"/>
      <c r="B424" s="64"/>
      <c r="C424" s="64"/>
      <c r="D424" s="64"/>
      <c r="E424" s="64"/>
      <c r="F424" s="64"/>
      <c r="G424" s="64"/>
      <c r="H424" s="87"/>
      <c r="I424" s="64"/>
      <c r="J424" s="64"/>
      <c r="K424" s="64"/>
      <c r="L424" s="64"/>
      <c r="M424" s="79"/>
      <c r="N424" s="64"/>
      <c r="O424" s="64"/>
      <c r="P424" s="64"/>
      <c r="Q424" s="64"/>
      <c r="R424" s="64"/>
      <c r="S424" s="64"/>
      <c r="T424" s="64"/>
      <c r="U424" s="78"/>
      <c r="V424" s="64"/>
      <c r="W424" s="79"/>
      <c r="X424" s="64"/>
      <c r="Y424" s="64"/>
      <c r="Z424" s="64"/>
      <c r="AA424" s="64"/>
      <c r="AB424" s="64"/>
      <c r="AC424" s="64"/>
      <c r="AD424" s="64"/>
      <c r="AE424" s="64"/>
    </row>
    <row r="425" spans="1:31" ht="17.25" customHeight="1">
      <c r="A425" s="79"/>
      <c r="B425" s="64"/>
      <c r="C425" s="64"/>
      <c r="D425" s="64"/>
      <c r="E425" s="64"/>
      <c r="F425" s="64"/>
      <c r="G425" s="64"/>
      <c r="H425" s="87"/>
      <c r="I425" s="64"/>
      <c r="J425" s="64"/>
      <c r="K425" s="64"/>
      <c r="L425" s="64"/>
      <c r="M425" s="79"/>
      <c r="N425" s="64"/>
      <c r="O425" s="64"/>
      <c r="P425" s="64"/>
      <c r="Q425" s="64"/>
      <c r="R425" s="64"/>
      <c r="S425" s="64"/>
      <c r="T425" s="64"/>
      <c r="U425" s="78"/>
      <c r="V425" s="64"/>
      <c r="W425" s="79"/>
      <c r="X425" s="64"/>
      <c r="Y425" s="64"/>
      <c r="Z425" s="64"/>
      <c r="AA425" s="64"/>
      <c r="AB425" s="64"/>
      <c r="AC425" s="64"/>
      <c r="AD425" s="64"/>
      <c r="AE425" s="64"/>
    </row>
    <row r="426" spans="1:31" ht="17.25" customHeight="1">
      <c r="A426" s="79"/>
      <c r="B426" s="64"/>
      <c r="C426" s="64"/>
      <c r="D426" s="64"/>
      <c r="E426" s="64"/>
      <c r="F426" s="64"/>
      <c r="G426" s="64"/>
      <c r="H426" s="87"/>
      <c r="I426" s="64"/>
      <c r="J426" s="64"/>
      <c r="K426" s="64"/>
      <c r="L426" s="64"/>
      <c r="M426" s="79"/>
      <c r="N426" s="64"/>
      <c r="O426" s="64"/>
      <c r="P426" s="64"/>
      <c r="Q426" s="64"/>
      <c r="R426" s="64"/>
      <c r="S426" s="64"/>
      <c r="T426" s="64"/>
      <c r="U426" s="78"/>
      <c r="V426" s="64"/>
      <c r="W426" s="79"/>
      <c r="X426" s="64"/>
      <c r="Y426" s="64"/>
      <c r="Z426" s="64"/>
      <c r="AA426" s="64"/>
      <c r="AB426" s="64"/>
      <c r="AC426" s="64"/>
      <c r="AD426" s="64"/>
      <c r="AE426" s="64"/>
    </row>
    <row r="427" spans="1:31" ht="17.25" customHeight="1">
      <c r="A427" s="79"/>
      <c r="B427" s="64"/>
      <c r="C427" s="64"/>
      <c r="D427" s="64"/>
      <c r="E427" s="64"/>
      <c r="F427" s="64"/>
      <c r="G427" s="64"/>
      <c r="H427" s="87"/>
      <c r="I427" s="64"/>
      <c r="J427" s="64"/>
      <c r="K427" s="64"/>
      <c r="L427" s="64"/>
      <c r="M427" s="79"/>
      <c r="N427" s="64"/>
      <c r="O427" s="64"/>
      <c r="P427" s="64"/>
      <c r="Q427" s="64"/>
      <c r="R427" s="64"/>
      <c r="S427" s="64"/>
      <c r="T427" s="64"/>
      <c r="U427" s="78"/>
      <c r="V427" s="64"/>
      <c r="W427" s="79"/>
      <c r="X427" s="64"/>
      <c r="Y427" s="64"/>
      <c r="Z427" s="64"/>
      <c r="AA427" s="64"/>
      <c r="AB427" s="64"/>
      <c r="AC427" s="64"/>
      <c r="AD427" s="64"/>
      <c r="AE427" s="64"/>
    </row>
    <row r="428" spans="1:31" ht="17.25" customHeight="1">
      <c r="A428" s="79"/>
      <c r="B428" s="64"/>
      <c r="C428" s="64"/>
      <c r="D428" s="64"/>
      <c r="E428" s="64"/>
      <c r="F428" s="64"/>
      <c r="G428" s="64"/>
      <c r="H428" s="87"/>
      <c r="I428" s="64"/>
      <c r="J428" s="64"/>
      <c r="K428" s="64"/>
      <c r="L428" s="64"/>
      <c r="M428" s="79"/>
      <c r="N428" s="64"/>
      <c r="O428" s="64"/>
      <c r="P428" s="64"/>
      <c r="Q428" s="64"/>
      <c r="R428" s="64"/>
      <c r="S428" s="64"/>
      <c r="T428" s="64"/>
      <c r="U428" s="78"/>
      <c r="V428" s="64"/>
      <c r="W428" s="79"/>
      <c r="X428" s="64"/>
      <c r="Y428" s="64"/>
      <c r="Z428" s="64"/>
      <c r="AA428" s="64"/>
      <c r="AB428" s="64"/>
      <c r="AC428" s="64"/>
      <c r="AD428" s="64"/>
      <c r="AE428" s="64"/>
    </row>
    <row r="429" spans="1:31" ht="17.25" customHeight="1">
      <c r="A429" s="79"/>
      <c r="B429" s="64"/>
      <c r="C429" s="64"/>
      <c r="D429" s="64"/>
      <c r="E429" s="64"/>
      <c r="F429" s="64"/>
      <c r="G429" s="64"/>
      <c r="H429" s="87"/>
      <c r="I429" s="64"/>
      <c r="J429" s="64"/>
      <c r="K429" s="64"/>
      <c r="L429" s="64"/>
      <c r="M429" s="79"/>
      <c r="N429" s="64"/>
      <c r="O429" s="64"/>
      <c r="P429" s="64"/>
      <c r="Q429" s="64"/>
      <c r="R429" s="64"/>
      <c r="S429" s="64"/>
      <c r="T429" s="64"/>
      <c r="U429" s="78"/>
      <c r="V429" s="64"/>
      <c r="W429" s="79"/>
      <c r="X429" s="64"/>
      <c r="Y429" s="64"/>
      <c r="Z429" s="64"/>
      <c r="AA429" s="64"/>
      <c r="AB429" s="64"/>
      <c r="AC429" s="64"/>
      <c r="AD429" s="64"/>
      <c r="AE429" s="64"/>
    </row>
    <row r="430" spans="1:31" ht="17.25" customHeight="1">
      <c r="A430" s="79"/>
      <c r="B430" s="64"/>
      <c r="C430" s="64"/>
      <c r="D430" s="64"/>
      <c r="E430" s="64"/>
      <c r="F430" s="64"/>
      <c r="G430" s="64"/>
      <c r="H430" s="87"/>
      <c r="I430" s="64"/>
      <c r="J430" s="64"/>
      <c r="K430" s="64"/>
      <c r="L430" s="64"/>
      <c r="M430" s="79"/>
      <c r="N430" s="64"/>
      <c r="O430" s="64"/>
      <c r="P430" s="64"/>
      <c r="Q430" s="64"/>
      <c r="R430" s="64"/>
      <c r="S430" s="64"/>
      <c r="T430" s="64"/>
      <c r="U430" s="78"/>
      <c r="V430" s="64"/>
      <c r="W430" s="79"/>
      <c r="X430" s="64"/>
      <c r="Y430" s="64"/>
      <c r="Z430" s="64"/>
      <c r="AA430" s="64"/>
      <c r="AB430" s="64"/>
      <c r="AC430" s="64"/>
      <c r="AD430" s="64"/>
      <c r="AE430" s="64"/>
    </row>
    <row r="431" spans="1:31" ht="17.25" customHeight="1">
      <c r="A431" s="79"/>
      <c r="B431" s="64"/>
      <c r="C431" s="64"/>
      <c r="D431" s="64"/>
      <c r="E431" s="64"/>
      <c r="F431" s="64"/>
      <c r="G431" s="64"/>
      <c r="H431" s="87"/>
      <c r="I431" s="64"/>
      <c r="J431" s="64"/>
      <c r="K431" s="64"/>
      <c r="L431" s="64"/>
      <c r="M431" s="79"/>
      <c r="N431" s="64"/>
      <c r="O431" s="64"/>
      <c r="P431" s="64"/>
      <c r="Q431" s="64"/>
      <c r="R431" s="64"/>
      <c r="S431" s="64"/>
      <c r="T431" s="64"/>
      <c r="U431" s="78"/>
      <c r="V431" s="64"/>
      <c r="W431" s="79"/>
      <c r="X431" s="64"/>
      <c r="Y431" s="64"/>
      <c r="Z431" s="64"/>
      <c r="AA431" s="64"/>
      <c r="AB431" s="64"/>
      <c r="AC431" s="64"/>
      <c r="AD431" s="64"/>
      <c r="AE431" s="64"/>
    </row>
    <row r="432" spans="1:31" ht="17.25" customHeight="1">
      <c r="A432" s="79"/>
      <c r="B432" s="64"/>
      <c r="C432" s="64"/>
      <c r="D432" s="64"/>
      <c r="E432" s="64"/>
      <c r="F432" s="64"/>
      <c r="G432" s="64"/>
      <c r="H432" s="87"/>
      <c r="I432" s="64"/>
      <c r="J432" s="64"/>
      <c r="K432" s="64"/>
      <c r="L432" s="64"/>
      <c r="M432" s="79"/>
      <c r="N432" s="64"/>
      <c r="O432" s="64"/>
      <c r="P432" s="64"/>
      <c r="Q432" s="64"/>
      <c r="R432" s="64"/>
      <c r="S432" s="64"/>
      <c r="T432" s="64"/>
      <c r="U432" s="78"/>
      <c r="V432" s="64"/>
      <c r="W432" s="79"/>
      <c r="X432" s="64"/>
      <c r="Y432" s="64"/>
      <c r="Z432" s="64"/>
      <c r="AA432" s="64"/>
      <c r="AB432" s="64"/>
      <c r="AC432" s="64"/>
      <c r="AD432" s="64"/>
      <c r="AE432" s="64"/>
    </row>
    <row r="433" spans="1:31" ht="17.25" customHeight="1">
      <c r="A433" s="79"/>
      <c r="B433" s="64"/>
      <c r="C433" s="64"/>
      <c r="D433" s="64"/>
      <c r="E433" s="64"/>
      <c r="F433" s="64"/>
      <c r="G433" s="64"/>
      <c r="H433" s="87"/>
      <c r="I433" s="64"/>
      <c r="J433" s="64"/>
      <c r="K433" s="64"/>
      <c r="L433" s="64"/>
      <c r="M433" s="79"/>
      <c r="N433" s="64"/>
      <c r="O433" s="64"/>
      <c r="P433" s="64"/>
      <c r="Q433" s="64"/>
      <c r="R433" s="64"/>
      <c r="S433" s="64"/>
      <c r="T433" s="64"/>
      <c r="U433" s="78"/>
      <c r="V433" s="64"/>
      <c r="W433" s="79"/>
      <c r="X433" s="64"/>
      <c r="Y433" s="64"/>
      <c r="Z433" s="64"/>
      <c r="AA433" s="64"/>
      <c r="AB433" s="64"/>
      <c r="AC433" s="64"/>
      <c r="AD433" s="64"/>
      <c r="AE433" s="64"/>
    </row>
    <row r="434" spans="1:31" ht="17.25" customHeight="1">
      <c r="A434" s="79"/>
      <c r="B434" s="64"/>
      <c r="C434" s="64"/>
      <c r="D434" s="64"/>
      <c r="E434" s="64"/>
      <c r="F434" s="64"/>
      <c r="G434" s="64"/>
      <c r="H434" s="87"/>
      <c r="I434" s="64"/>
      <c r="J434" s="64"/>
      <c r="K434" s="64"/>
      <c r="L434" s="64"/>
      <c r="M434" s="79"/>
      <c r="N434" s="64"/>
      <c r="O434" s="64"/>
      <c r="P434" s="64"/>
      <c r="Q434" s="64"/>
      <c r="R434" s="64"/>
      <c r="S434" s="64"/>
      <c r="T434" s="64"/>
      <c r="U434" s="78"/>
      <c r="V434" s="64"/>
      <c r="W434" s="79"/>
      <c r="X434" s="64"/>
      <c r="Y434" s="64"/>
      <c r="Z434" s="64"/>
      <c r="AA434" s="64"/>
      <c r="AB434" s="64"/>
      <c r="AC434" s="64"/>
      <c r="AD434" s="64"/>
      <c r="AE434" s="64"/>
    </row>
    <row r="435" spans="1:31" ht="17.25" customHeight="1">
      <c r="A435" s="79"/>
      <c r="B435" s="64"/>
      <c r="C435" s="64"/>
      <c r="D435" s="64"/>
      <c r="E435" s="64"/>
      <c r="F435" s="64"/>
      <c r="G435" s="64"/>
      <c r="H435" s="87"/>
      <c r="I435" s="64"/>
      <c r="J435" s="64"/>
      <c r="K435" s="64"/>
      <c r="L435" s="64"/>
      <c r="M435" s="79"/>
      <c r="N435" s="64"/>
      <c r="O435" s="64"/>
      <c r="P435" s="64"/>
      <c r="Q435" s="64"/>
      <c r="R435" s="64"/>
      <c r="S435" s="64"/>
      <c r="T435" s="64"/>
      <c r="U435" s="78"/>
      <c r="V435" s="64"/>
      <c r="W435" s="79"/>
      <c r="X435" s="64"/>
      <c r="Y435" s="64"/>
      <c r="Z435" s="64"/>
      <c r="AA435" s="64"/>
      <c r="AB435" s="64"/>
      <c r="AC435" s="64"/>
      <c r="AD435" s="64"/>
      <c r="AE435" s="64"/>
    </row>
    <row r="436" spans="1:31" ht="17.25" customHeight="1">
      <c r="A436" s="79"/>
      <c r="B436" s="64"/>
      <c r="C436" s="64"/>
      <c r="D436" s="64"/>
      <c r="E436" s="64"/>
      <c r="F436" s="64"/>
      <c r="G436" s="64"/>
      <c r="H436" s="87"/>
      <c r="I436" s="64"/>
      <c r="J436" s="64"/>
      <c r="K436" s="64"/>
      <c r="L436" s="64"/>
      <c r="M436" s="79"/>
      <c r="N436" s="64"/>
      <c r="O436" s="64"/>
      <c r="P436" s="64"/>
      <c r="Q436" s="64"/>
      <c r="R436" s="64"/>
      <c r="S436" s="64"/>
      <c r="T436" s="64"/>
      <c r="U436" s="78"/>
      <c r="V436" s="64"/>
      <c r="W436" s="79"/>
      <c r="X436" s="64"/>
      <c r="Y436" s="64"/>
      <c r="Z436" s="64"/>
      <c r="AA436" s="64"/>
      <c r="AB436" s="64"/>
      <c r="AC436" s="64"/>
      <c r="AD436" s="64"/>
      <c r="AE436" s="64"/>
    </row>
    <row r="437" spans="1:31" ht="17.25" customHeight="1">
      <c r="A437" s="79"/>
      <c r="B437" s="64"/>
      <c r="C437" s="64"/>
      <c r="D437" s="64"/>
      <c r="E437" s="64"/>
      <c r="F437" s="64"/>
      <c r="G437" s="64"/>
      <c r="H437" s="87"/>
      <c r="I437" s="64"/>
      <c r="J437" s="64"/>
      <c r="K437" s="64"/>
      <c r="L437" s="64"/>
      <c r="M437" s="79"/>
      <c r="N437" s="64"/>
      <c r="O437" s="64"/>
      <c r="P437" s="64"/>
      <c r="Q437" s="64"/>
      <c r="R437" s="64"/>
      <c r="S437" s="64"/>
      <c r="T437" s="64"/>
      <c r="U437" s="78"/>
      <c r="V437" s="64"/>
      <c r="W437" s="79"/>
      <c r="X437" s="64"/>
      <c r="Y437" s="64"/>
      <c r="Z437" s="64"/>
      <c r="AA437" s="64"/>
      <c r="AB437" s="64"/>
      <c r="AC437" s="64"/>
      <c r="AD437" s="64"/>
      <c r="AE437" s="64"/>
    </row>
    <row r="438" spans="1:31" ht="17.25" customHeight="1">
      <c r="A438" s="79"/>
      <c r="B438" s="64"/>
      <c r="C438" s="64"/>
      <c r="D438" s="64"/>
      <c r="E438" s="64"/>
      <c r="F438" s="64"/>
      <c r="G438" s="64"/>
      <c r="H438" s="87"/>
      <c r="I438" s="64"/>
      <c r="J438" s="64"/>
      <c r="K438" s="64"/>
      <c r="L438" s="64"/>
      <c r="M438" s="79"/>
      <c r="N438" s="64"/>
      <c r="O438" s="64"/>
      <c r="P438" s="64"/>
      <c r="Q438" s="64"/>
      <c r="R438" s="64"/>
      <c r="S438" s="64"/>
      <c r="T438" s="64"/>
      <c r="U438" s="78"/>
      <c r="V438" s="64"/>
      <c r="W438" s="79"/>
      <c r="X438" s="64"/>
      <c r="Y438" s="64"/>
      <c r="Z438" s="64"/>
      <c r="AA438" s="64"/>
      <c r="AB438" s="64"/>
      <c r="AC438" s="64"/>
      <c r="AD438" s="64"/>
      <c r="AE438" s="64"/>
    </row>
    <row r="439" spans="1:31" ht="17.25" customHeight="1">
      <c r="A439" s="79"/>
      <c r="B439" s="64"/>
      <c r="C439" s="64"/>
      <c r="D439" s="64"/>
      <c r="E439" s="64"/>
      <c r="F439" s="64"/>
      <c r="G439" s="64"/>
      <c r="H439" s="87"/>
      <c r="I439" s="64"/>
      <c r="J439" s="64"/>
      <c r="K439" s="64"/>
      <c r="L439" s="64"/>
      <c r="M439" s="79"/>
      <c r="N439" s="64"/>
      <c r="O439" s="64"/>
      <c r="P439" s="64"/>
      <c r="Q439" s="64"/>
      <c r="R439" s="64"/>
      <c r="S439" s="64"/>
      <c r="T439" s="64"/>
      <c r="U439" s="78"/>
      <c r="V439" s="64"/>
      <c r="W439" s="79"/>
      <c r="X439" s="64"/>
      <c r="Y439" s="64"/>
      <c r="Z439" s="64"/>
      <c r="AA439" s="64"/>
      <c r="AB439" s="64"/>
      <c r="AC439" s="64"/>
      <c r="AD439" s="64"/>
      <c r="AE439" s="64"/>
    </row>
    <row r="440" spans="1:31" ht="17.25" customHeight="1">
      <c r="A440" s="79"/>
      <c r="B440" s="64"/>
      <c r="C440" s="64"/>
      <c r="D440" s="64"/>
      <c r="E440" s="64"/>
      <c r="F440" s="64"/>
      <c r="G440" s="64"/>
      <c r="H440" s="87"/>
      <c r="I440" s="64"/>
      <c r="J440" s="64"/>
      <c r="K440" s="64"/>
      <c r="L440" s="64"/>
      <c r="M440" s="79"/>
      <c r="N440" s="64"/>
      <c r="O440" s="64"/>
      <c r="P440" s="64"/>
      <c r="Q440" s="64"/>
      <c r="R440" s="64"/>
      <c r="S440" s="64"/>
      <c r="T440" s="64"/>
      <c r="U440" s="78"/>
      <c r="V440" s="64"/>
      <c r="W440" s="79"/>
      <c r="X440" s="64"/>
      <c r="Y440" s="64"/>
      <c r="Z440" s="64"/>
      <c r="AA440" s="64"/>
      <c r="AB440" s="64"/>
      <c r="AC440" s="64"/>
      <c r="AD440" s="64"/>
      <c r="AE440" s="64"/>
    </row>
    <row r="441" spans="1:31" ht="17.25" customHeight="1">
      <c r="A441" s="79"/>
      <c r="B441" s="64"/>
      <c r="C441" s="64"/>
      <c r="D441" s="64"/>
      <c r="E441" s="64"/>
      <c r="F441" s="64"/>
      <c r="G441" s="64"/>
      <c r="H441" s="87"/>
      <c r="I441" s="64"/>
      <c r="J441" s="64"/>
      <c r="K441" s="64"/>
      <c r="L441" s="64"/>
      <c r="M441" s="79"/>
      <c r="N441" s="64"/>
      <c r="O441" s="64"/>
      <c r="P441" s="64"/>
      <c r="Q441" s="64"/>
      <c r="R441" s="64"/>
      <c r="S441" s="64"/>
      <c r="T441" s="64"/>
      <c r="U441" s="78"/>
      <c r="V441" s="64"/>
      <c r="W441" s="79"/>
      <c r="X441" s="64"/>
      <c r="Y441" s="64"/>
      <c r="Z441" s="64"/>
      <c r="AA441" s="64"/>
      <c r="AB441" s="64"/>
      <c r="AC441" s="64"/>
      <c r="AD441" s="64"/>
      <c r="AE441" s="64"/>
    </row>
    <row r="442" spans="1:31" ht="17.25" customHeight="1">
      <c r="A442" s="79"/>
      <c r="B442" s="64"/>
      <c r="C442" s="64"/>
      <c r="D442" s="64"/>
      <c r="E442" s="64"/>
      <c r="F442" s="64"/>
      <c r="G442" s="64"/>
      <c r="H442" s="87"/>
      <c r="I442" s="64"/>
      <c r="J442" s="64"/>
      <c r="K442" s="64"/>
      <c r="L442" s="64"/>
      <c r="M442" s="79"/>
      <c r="N442" s="64"/>
      <c r="O442" s="64"/>
      <c r="P442" s="64"/>
      <c r="Q442" s="64"/>
      <c r="R442" s="64"/>
      <c r="S442" s="64"/>
      <c r="T442" s="64"/>
      <c r="U442" s="78"/>
      <c r="V442" s="64"/>
      <c r="W442" s="79"/>
      <c r="X442" s="64"/>
      <c r="Y442" s="64"/>
      <c r="Z442" s="64"/>
      <c r="AA442" s="64"/>
      <c r="AB442" s="64"/>
      <c r="AC442" s="64"/>
      <c r="AD442" s="64"/>
      <c r="AE442" s="64"/>
    </row>
    <row r="443" spans="1:31" ht="17.25" customHeight="1">
      <c r="A443" s="79"/>
      <c r="B443" s="64"/>
      <c r="C443" s="64"/>
      <c r="D443" s="64"/>
      <c r="E443" s="64"/>
      <c r="F443" s="64"/>
      <c r="G443" s="64"/>
      <c r="H443" s="87"/>
      <c r="I443" s="64"/>
      <c r="J443" s="64"/>
      <c r="K443" s="64"/>
      <c r="L443" s="64"/>
      <c r="M443" s="79"/>
      <c r="N443" s="64"/>
      <c r="O443" s="64"/>
      <c r="P443" s="64"/>
      <c r="Q443" s="64"/>
      <c r="R443" s="64"/>
      <c r="S443" s="64"/>
      <c r="T443" s="64"/>
      <c r="U443" s="78"/>
      <c r="V443" s="64"/>
      <c r="W443" s="79"/>
      <c r="X443" s="64"/>
      <c r="Y443" s="64"/>
      <c r="Z443" s="64"/>
      <c r="AA443" s="64"/>
      <c r="AB443" s="64"/>
      <c r="AC443" s="64"/>
      <c r="AD443" s="64"/>
      <c r="AE443" s="64"/>
    </row>
    <row r="444" spans="1:31" ht="17.25" customHeight="1">
      <c r="A444" s="79"/>
      <c r="B444" s="64"/>
      <c r="C444" s="64"/>
      <c r="D444" s="64"/>
      <c r="E444" s="64"/>
      <c r="F444" s="64"/>
      <c r="G444" s="64"/>
      <c r="H444" s="87"/>
      <c r="I444" s="64"/>
      <c r="J444" s="64"/>
      <c r="K444" s="64"/>
      <c r="L444" s="64"/>
      <c r="M444" s="79"/>
      <c r="N444" s="64"/>
      <c r="O444" s="64"/>
      <c r="P444" s="64"/>
      <c r="Q444" s="64"/>
      <c r="R444" s="64"/>
      <c r="S444" s="64"/>
      <c r="T444" s="64"/>
      <c r="U444" s="78"/>
      <c r="V444" s="64"/>
      <c r="W444" s="79"/>
      <c r="X444" s="64"/>
      <c r="Y444" s="64"/>
      <c r="Z444" s="64"/>
      <c r="AA444" s="64"/>
      <c r="AB444" s="64"/>
      <c r="AC444" s="64"/>
      <c r="AD444" s="64"/>
      <c r="AE444" s="64"/>
    </row>
    <row r="445" spans="1:31" ht="17.25" customHeight="1">
      <c r="A445" s="79"/>
      <c r="B445" s="64"/>
      <c r="C445" s="64"/>
      <c r="D445" s="64"/>
      <c r="E445" s="64"/>
      <c r="F445" s="64"/>
      <c r="G445" s="64"/>
      <c r="H445" s="87"/>
      <c r="I445" s="64"/>
      <c r="J445" s="64"/>
      <c r="K445" s="64"/>
      <c r="L445" s="64"/>
      <c r="M445" s="79"/>
      <c r="N445" s="64"/>
      <c r="O445" s="64"/>
      <c r="P445" s="64"/>
      <c r="Q445" s="64"/>
      <c r="R445" s="64"/>
      <c r="S445" s="64"/>
      <c r="T445" s="64"/>
      <c r="U445" s="78"/>
      <c r="V445" s="64"/>
      <c r="W445" s="79"/>
      <c r="X445" s="64"/>
      <c r="Y445" s="64"/>
      <c r="Z445" s="64"/>
      <c r="AA445" s="64"/>
      <c r="AB445" s="64"/>
      <c r="AC445" s="64"/>
      <c r="AD445" s="64"/>
      <c r="AE445" s="64"/>
    </row>
    <row r="446" spans="1:31" ht="17.25" customHeight="1">
      <c r="A446" s="79"/>
      <c r="B446" s="64"/>
      <c r="C446" s="64"/>
      <c r="D446" s="64"/>
      <c r="E446" s="64"/>
      <c r="F446" s="64"/>
      <c r="G446" s="64"/>
      <c r="H446" s="87"/>
      <c r="I446" s="64"/>
      <c r="J446" s="64"/>
      <c r="K446" s="64"/>
      <c r="L446" s="64"/>
      <c r="M446" s="79"/>
      <c r="N446" s="64"/>
      <c r="O446" s="64"/>
      <c r="P446" s="64"/>
      <c r="Q446" s="64"/>
      <c r="R446" s="64"/>
      <c r="S446" s="64"/>
      <c r="T446" s="64"/>
      <c r="U446" s="78"/>
      <c r="V446" s="64"/>
      <c r="W446" s="79"/>
      <c r="X446" s="64"/>
      <c r="Y446" s="64"/>
      <c r="Z446" s="64"/>
      <c r="AA446" s="64"/>
      <c r="AB446" s="64"/>
      <c r="AC446" s="64"/>
      <c r="AD446" s="64"/>
      <c r="AE446" s="64"/>
    </row>
    <row r="447" spans="1:31" ht="17.25" customHeight="1">
      <c r="A447" s="79"/>
      <c r="B447" s="64"/>
      <c r="C447" s="64"/>
      <c r="D447" s="64"/>
      <c r="E447" s="64"/>
      <c r="F447" s="64"/>
      <c r="G447" s="64"/>
      <c r="H447" s="87"/>
      <c r="I447" s="64"/>
      <c r="J447" s="64"/>
      <c r="K447" s="64"/>
      <c r="L447" s="64"/>
      <c r="M447" s="79"/>
      <c r="N447" s="64"/>
      <c r="O447" s="64"/>
      <c r="P447" s="64"/>
      <c r="Q447" s="64"/>
      <c r="R447" s="64"/>
      <c r="S447" s="64"/>
      <c r="T447" s="64"/>
      <c r="U447" s="78"/>
      <c r="V447" s="64"/>
      <c r="W447" s="79"/>
      <c r="X447" s="64"/>
      <c r="Y447" s="64"/>
      <c r="Z447" s="64"/>
      <c r="AA447" s="64"/>
      <c r="AB447" s="64"/>
      <c r="AC447" s="64"/>
      <c r="AD447" s="64"/>
      <c r="AE447" s="64"/>
    </row>
    <row r="448" spans="1:31" ht="17.25" customHeight="1">
      <c r="A448" s="79"/>
      <c r="B448" s="64"/>
      <c r="C448" s="64"/>
      <c r="D448" s="64"/>
      <c r="E448" s="64"/>
      <c r="F448" s="64"/>
      <c r="G448" s="64"/>
      <c r="H448" s="87"/>
      <c r="I448" s="64"/>
      <c r="J448" s="64"/>
      <c r="K448" s="64"/>
      <c r="L448" s="64"/>
      <c r="M448" s="79"/>
      <c r="N448" s="64"/>
      <c r="O448" s="64"/>
      <c r="P448" s="64"/>
      <c r="Q448" s="64"/>
      <c r="R448" s="64"/>
      <c r="S448" s="64"/>
      <c r="T448" s="64"/>
      <c r="U448" s="78"/>
      <c r="V448" s="64"/>
      <c r="W448" s="79"/>
      <c r="X448" s="64"/>
      <c r="Y448" s="64"/>
      <c r="Z448" s="64"/>
      <c r="AA448" s="64"/>
      <c r="AB448" s="64"/>
      <c r="AC448" s="64"/>
      <c r="AD448" s="64"/>
      <c r="AE448" s="64"/>
    </row>
    <row r="449" spans="1:31" ht="17.25" customHeight="1">
      <c r="A449" s="79"/>
      <c r="B449" s="64"/>
      <c r="C449" s="64"/>
      <c r="D449" s="64"/>
      <c r="E449" s="64"/>
      <c r="F449" s="64"/>
      <c r="G449" s="64"/>
      <c r="H449" s="87"/>
      <c r="I449" s="64"/>
      <c r="J449" s="64"/>
      <c r="K449" s="64"/>
      <c r="L449" s="64"/>
      <c r="M449" s="79"/>
      <c r="N449" s="64"/>
      <c r="O449" s="64"/>
      <c r="P449" s="64"/>
      <c r="Q449" s="64"/>
      <c r="R449" s="64"/>
      <c r="S449" s="64"/>
      <c r="T449" s="64"/>
      <c r="U449" s="78"/>
      <c r="V449" s="64"/>
      <c r="W449" s="79"/>
      <c r="X449" s="64"/>
      <c r="Y449" s="64"/>
      <c r="Z449" s="64"/>
      <c r="AA449" s="64"/>
      <c r="AB449" s="64"/>
      <c r="AC449" s="64"/>
      <c r="AD449" s="64"/>
      <c r="AE449" s="64"/>
    </row>
    <row r="450" spans="1:31" ht="17.25" customHeight="1">
      <c r="A450" s="79"/>
      <c r="B450" s="64"/>
      <c r="C450" s="64"/>
      <c r="D450" s="64"/>
      <c r="E450" s="64"/>
      <c r="F450" s="64"/>
      <c r="G450" s="64"/>
      <c r="H450" s="87"/>
      <c r="I450" s="64"/>
      <c r="J450" s="64"/>
      <c r="K450" s="64"/>
      <c r="L450" s="64"/>
      <c r="M450" s="79"/>
      <c r="N450" s="64"/>
      <c r="O450" s="64"/>
      <c r="P450" s="64"/>
      <c r="Q450" s="64"/>
      <c r="R450" s="64"/>
      <c r="S450" s="64"/>
      <c r="T450" s="64"/>
      <c r="U450" s="78"/>
      <c r="V450" s="64"/>
      <c r="W450" s="79"/>
      <c r="X450" s="64"/>
      <c r="Y450" s="64"/>
      <c r="Z450" s="64"/>
      <c r="AA450" s="64"/>
      <c r="AB450" s="64"/>
      <c r="AC450" s="64"/>
      <c r="AD450" s="64"/>
      <c r="AE450" s="64"/>
    </row>
    <row r="451" spans="1:31" ht="17.25" customHeight="1">
      <c r="A451" s="79"/>
      <c r="B451" s="64"/>
      <c r="C451" s="64"/>
      <c r="D451" s="64"/>
      <c r="E451" s="64"/>
      <c r="F451" s="64"/>
      <c r="G451" s="64"/>
      <c r="H451" s="87"/>
      <c r="I451" s="64"/>
      <c r="J451" s="64"/>
      <c r="K451" s="64"/>
      <c r="L451" s="64"/>
      <c r="M451" s="79"/>
      <c r="N451" s="64"/>
      <c r="O451" s="64"/>
      <c r="P451" s="64"/>
      <c r="Q451" s="64"/>
      <c r="R451" s="64"/>
      <c r="S451" s="64"/>
      <c r="T451" s="64"/>
      <c r="U451" s="78"/>
      <c r="V451" s="64"/>
      <c r="W451" s="79"/>
      <c r="X451" s="64"/>
      <c r="Y451" s="64"/>
      <c r="Z451" s="64"/>
      <c r="AA451" s="64"/>
      <c r="AB451" s="64"/>
      <c r="AC451" s="64"/>
      <c r="AD451" s="64"/>
      <c r="AE451" s="64"/>
    </row>
    <row r="452" spans="1:31" ht="17.25" customHeight="1">
      <c r="A452" s="79"/>
      <c r="B452" s="64"/>
      <c r="C452" s="64"/>
      <c r="D452" s="64"/>
      <c r="E452" s="64"/>
      <c r="F452" s="64"/>
      <c r="G452" s="64"/>
      <c r="H452" s="87"/>
      <c r="I452" s="64"/>
      <c r="J452" s="64"/>
      <c r="K452" s="64"/>
      <c r="L452" s="64"/>
      <c r="M452" s="79"/>
      <c r="N452" s="64"/>
      <c r="O452" s="64"/>
      <c r="P452" s="64"/>
      <c r="Q452" s="64"/>
      <c r="R452" s="64"/>
      <c r="S452" s="64"/>
      <c r="T452" s="64"/>
      <c r="U452" s="78"/>
      <c r="V452" s="64"/>
      <c r="W452" s="79"/>
      <c r="X452" s="64"/>
      <c r="Y452" s="64"/>
      <c r="Z452" s="64"/>
      <c r="AA452" s="64"/>
      <c r="AB452" s="64"/>
      <c r="AC452" s="64"/>
      <c r="AD452" s="64"/>
      <c r="AE452" s="64"/>
    </row>
    <row r="453" spans="1:31" ht="17.25" customHeight="1">
      <c r="A453" s="79"/>
      <c r="B453" s="64"/>
      <c r="C453" s="64"/>
      <c r="D453" s="64"/>
      <c r="E453" s="64"/>
      <c r="F453" s="64"/>
      <c r="G453" s="64"/>
      <c r="H453" s="87"/>
      <c r="I453" s="64"/>
      <c r="J453" s="64"/>
      <c r="K453" s="64"/>
      <c r="L453" s="64"/>
      <c r="M453" s="79"/>
      <c r="N453" s="64"/>
      <c r="O453" s="64"/>
      <c r="P453" s="64"/>
      <c r="Q453" s="64"/>
      <c r="R453" s="64"/>
      <c r="S453" s="64"/>
      <c r="T453" s="64"/>
      <c r="U453" s="78"/>
      <c r="V453" s="64"/>
      <c r="W453" s="79"/>
      <c r="X453" s="64"/>
      <c r="Y453" s="64"/>
      <c r="Z453" s="64"/>
      <c r="AA453" s="64"/>
      <c r="AB453" s="64"/>
      <c r="AC453" s="64"/>
      <c r="AD453" s="64"/>
      <c r="AE453" s="64"/>
    </row>
    <row r="454" spans="1:31" ht="17.25" customHeight="1">
      <c r="A454" s="79"/>
      <c r="B454" s="64"/>
      <c r="C454" s="64"/>
      <c r="D454" s="64"/>
      <c r="E454" s="64"/>
      <c r="F454" s="64"/>
      <c r="G454" s="64"/>
      <c r="H454" s="87"/>
      <c r="I454" s="64"/>
      <c r="J454" s="64"/>
      <c r="K454" s="64"/>
      <c r="L454" s="64"/>
      <c r="M454" s="79"/>
      <c r="N454" s="64"/>
      <c r="O454" s="64"/>
      <c r="P454" s="64"/>
      <c r="Q454" s="64"/>
      <c r="R454" s="64"/>
      <c r="S454" s="64"/>
      <c r="T454" s="64"/>
      <c r="U454" s="78"/>
      <c r="V454" s="64"/>
      <c r="W454" s="79"/>
      <c r="X454" s="64"/>
      <c r="Y454" s="64"/>
      <c r="Z454" s="64"/>
      <c r="AA454" s="64"/>
      <c r="AB454" s="64"/>
      <c r="AC454" s="64"/>
      <c r="AD454" s="64"/>
      <c r="AE454" s="64"/>
    </row>
    <row r="455" spans="1:31" ht="17.25" customHeight="1">
      <c r="A455" s="79"/>
      <c r="B455" s="64"/>
      <c r="C455" s="64"/>
      <c r="D455" s="64"/>
      <c r="E455" s="64"/>
      <c r="F455" s="64"/>
      <c r="G455" s="64"/>
      <c r="H455" s="87"/>
      <c r="I455" s="64"/>
      <c r="J455" s="64"/>
      <c r="K455" s="64"/>
      <c r="L455" s="64"/>
      <c r="M455" s="79"/>
      <c r="N455" s="64"/>
      <c r="O455" s="64"/>
      <c r="P455" s="64"/>
      <c r="Q455" s="64"/>
      <c r="R455" s="64"/>
      <c r="S455" s="64"/>
      <c r="T455" s="64"/>
      <c r="U455" s="78"/>
      <c r="V455" s="64"/>
      <c r="W455" s="79"/>
      <c r="X455" s="64"/>
      <c r="Y455" s="64"/>
      <c r="Z455" s="64"/>
      <c r="AA455" s="64"/>
      <c r="AB455" s="64"/>
      <c r="AC455" s="64"/>
      <c r="AD455" s="64"/>
      <c r="AE455" s="64"/>
    </row>
    <row r="456" spans="1:31" ht="17.25" customHeight="1">
      <c r="A456" s="79"/>
      <c r="B456" s="64"/>
      <c r="C456" s="64"/>
      <c r="D456" s="64"/>
      <c r="E456" s="64"/>
      <c r="F456" s="64"/>
      <c r="G456" s="64"/>
      <c r="H456" s="87"/>
      <c r="I456" s="64"/>
      <c r="J456" s="64"/>
      <c r="K456" s="64"/>
      <c r="L456" s="64"/>
      <c r="M456" s="79"/>
      <c r="N456" s="64"/>
      <c r="O456" s="64"/>
      <c r="P456" s="64"/>
      <c r="Q456" s="64"/>
      <c r="R456" s="64"/>
      <c r="S456" s="64"/>
      <c r="T456" s="64"/>
      <c r="U456" s="78"/>
      <c r="V456" s="64"/>
      <c r="W456" s="79"/>
      <c r="X456" s="64"/>
      <c r="Y456" s="64"/>
      <c r="Z456" s="64"/>
      <c r="AA456" s="64"/>
      <c r="AB456" s="64"/>
      <c r="AC456" s="64"/>
      <c r="AD456" s="64"/>
      <c r="AE456" s="64"/>
    </row>
    <row r="457" spans="1:31" ht="17.25" customHeight="1">
      <c r="A457" s="79"/>
      <c r="B457" s="64"/>
      <c r="C457" s="64"/>
      <c r="D457" s="64"/>
      <c r="E457" s="64"/>
      <c r="F457" s="64"/>
      <c r="G457" s="64"/>
      <c r="H457" s="87"/>
      <c r="I457" s="64"/>
      <c r="J457" s="64"/>
      <c r="K457" s="64"/>
      <c r="L457" s="64"/>
      <c r="M457" s="79"/>
      <c r="N457" s="64"/>
      <c r="O457" s="64"/>
      <c r="P457" s="64"/>
      <c r="Q457" s="64"/>
      <c r="R457" s="64"/>
      <c r="S457" s="64"/>
      <c r="T457" s="64"/>
      <c r="U457" s="78"/>
      <c r="V457" s="64"/>
      <c r="W457" s="79"/>
      <c r="X457" s="64"/>
      <c r="Y457" s="64"/>
      <c r="Z457" s="64"/>
      <c r="AA457" s="64"/>
      <c r="AB457" s="64"/>
      <c r="AC457" s="64"/>
      <c r="AD457" s="64"/>
      <c r="AE457" s="64"/>
    </row>
    <row r="458" spans="1:31" ht="17.25" customHeight="1">
      <c r="A458" s="79"/>
      <c r="B458" s="64"/>
      <c r="C458" s="64"/>
      <c r="D458" s="64"/>
      <c r="E458" s="64"/>
      <c r="F458" s="64"/>
      <c r="G458" s="64"/>
      <c r="H458" s="87"/>
      <c r="I458" s="64"/>
      <c r="J458" s="64"/>
      <c r="K458" s="64"/>
      <c r="L458" s="64"/>
      <c r="M458" s="79"/>
      <c r="N458" s="64"/>
      <c r="O458" s="64"/>
      <c r="P458" s="64"/>
      <c r="Q458" s="64"/>
      <c r="R458" s="64"/>
      <c r="S458" s="64"/>
      <c r="T458" s="64"/>
      <c r="U458" s="78"/>
      <c r="V458" s="64"/>
      <c r="W458" s="79"/>
      <c r="X458" s="64"/>
      <c r="Y458" s="64"/>
      <c r="Z458" s="64"/>
      <c r="AA458" s="64"/>
      <c r="AB458" s="64"/>
      <c r="AC458" s="64"/>
      <c r="AD458" s="64"/>
      <c r="AE458" s="64"/>
    </row>
    <row r="459" spans="1:31" ht="17.25" customHeight="1">
      <c r="A459" s="79"/>
      <c r="B459" s="64"/>
      <c r="C459" s="64"/>
      <c r="D459" s="64"/>
      <c r="E459" s="64"/>
      <c r="F459" s="64"/>
      <c r="G459" s="64"/>
      <c r="H459" s="87"/>
      <c r="I459" s="64"/>
      <c r="J459" s="64"/>
      <c r="K459" s="64"/>
      <c r="L459" s="64"/>
      <c r="M459" s="79"/>
      <c r="N459" s="64"/>
      <c r="O459" s="64"/>
      <c r="P459" s="64"/>
      <c r="Q459" s="64"/>
      <c r="R459" s="64"/>
      <c r="S459" s="64"/>
      <c r="T459" s="64"/>
      <c r="U459" s="78"/>
      <c r="V459" s="64"/>
      <c r="W459" s="79"/>
      <c r="X459" s="64"/>
      <c r="Y459" s="64"/>
      <c r="Z459" s="64"/>
      <c r="AA459" s="64"/>
      <c r="AB459" s="64"/>
      <c r="AC459" s="64"/>
      <c r="AD459" s="64"/>
      <c r="AE459" s="64"/>
    </row>
    <row r="460" spans="1:31" ht="17.25" customHeight="1">
      <c r="A460" s="79"/>
      <c r="B460" s="64"/>
      <c r="C460" s="64"/>
      <c r="D460" s="64"/>
      <c r="E460" s="64"/>
      <c r="F460" s="64"/>
      <c r="G460" s="64"/>
      <c r="H460" s="87"/>
      <c r="I460" s="64"/>
      <c r="J460" s="64"/>
      <c r="K460" s="64"/>
      <c r="L460" s="64"/>
      <c r="M460" s="79"/>
      <c r="N460" s="64"/>
      <c r="O460" s="64"/>
      <c r="P460" s="64"/>
      <c r="Q460" s="64"/>
      <c r="R460" s="64"/>
      <c r="S460" s="64"/>
      <c r="T460" s="64"/>
      <c r="U460" s="78"/>
      <c r="V460" s="64"/>
      <c r="W460" s="79"/>
      <c r="X460" s="64"/>
      <c r="Y460" s="64"/>
      <c r="Z460" s="64"/>
      <c r="AA460" s="64"/>
      <c r="AB460" s="64"/>
      <c r="AC460" s="64"/>
      <c r="AD460" s="64"/>
      <c r="AE460" s="64"/>
    </row>
    <row r="461" spans="1:31" ht="17.25" customHeight="1">
      <c r="A461" s="79"/>
      <c r="B461" s="64"/>
      <c r="C461" s="64"/>
      <c r="D461" s="64"/>
      <c r="E461" s="64"/>
      <c r="F461" s="64"/>
      <c r="G461" s="64"/>
      <c r="H461" s="87"/>
      <c r="I461" s="64"/>
      <c r="J461" s="64"/>
      <c r="K461" s="64"/>
      <c r="L461" s="64"/>
      <c r="M461" s="79"/>
      <c r="N461" s="64"/>
      <c r="O461" s="64"/>
      <c r="P461" s="64"/>
      <c r="Q461" s="64"/>
      <c r="R461" s="64"/>
      <c r="S461" s="64"/>
      <c r="T461" s="64"/>
      <c r="U461" s="78"/>
      <c r="V461" s="64"/>
      <c r="W461" s="79"/>
      <c r="X461" s="64"/>
      <c r="Y461" s="64"/>
      <c r="Z461" s="64"/>
      <c r="AA461" s="64"/>
      <c r="AB461" s="64"/>
      <c r="AC461" s="64"/>
      <c r="AD461" s="64"/>
      <c r="AE461" s="64"/>
    </row>
    <row r="462" spans="1:31" ht="17.25" customHeight="1">
      <c r="A462" s="79"/>
      <c r="B462" s="64"/>
      <c r="C462" s="64"/>
      <c r="D462" s="64"/>
      <c r="E462" s="64"/>
      <c r="F462" s="64"/>
      <c r="G462" s="64"/>
      <c r="H462" s="87"/>
      <c r="I462" s="64"/>
      <c r="J462" s="64"/>
      <c r="K462" s="64"/>
      <c r="L462" s="64"/>
      <c r="M462" s="79"/>
      <c r="N462" s="64"/>
      <c r="O462" s="64"/>
      <c r="P462" s="64"/>
      <c r="Q462" s="64"/>
      <c r="R462" s="64"/>
      <c r="S462" s="64"/>
      <c r="T462" s="64"/>
      <c r="U462" s="78"/>
      <c r="V462" s="64"/>
      <c r="W462" s="79"/>
      <c r="X462" s="64"/>
      <c r="Y462" s="64"/>
      <c r="Z462" s="64"/>
      <c r="AA462" s="64"/>
      <c r="AB462" s="64"/>
      <c r="AC462" s="64"/>
      <c r="AD462" s="64"/>
      <c r="AE462" s="64"/>
    </row>
    <row r="463" spans="1:31" ht="17.25" customHeight="1">
      <c r="A463" s="79"/>
      <c r="B463" s="64"/>
      <c r="C463" s="64"/>
      <c r="D463" s="64"/>
      <c r="E463" s="64"/>
      <c r="F463" s="64"/>
      <c r="G463" s="64"/>
      <c r="H463" s="87"/>
      <c r="I463" s="64"/>
      <c r="J463" s="64"/>
      <c r="K463" s="64"/>
      <c r="L463" s="64"/>
      <c r="M463" s="79"/>
      <c r="N463" s="64"/>
      <c r="O463" s="64"/>
      <c r="P463" s="64"/>
      <c r="Q463" s="64"/>
      <c r="R463" s="64"/>
      <c r="S463" s="64"/>
      <c r="T463" s="64"/>
      <c r="U463" s="78"/>
      <c r="V463" s="64"/>
      <c r="W463" s="79"/>
      <c r="X463" s="64"/>
      <c r="Y463" s="64"/>
      <c r="Z463" s="64"/>
      <c r="AA463" s="64"/>
      <c r="AB463" s="64"/>
      <c r="AC463" s="64"/>
      <c r="AD463" s="64"/>
      <c r="AE463" s="64"/>
    </row>
    <row r="464" spans="1:31" ht="17.25" customHeight="1">
      <c r="A464" s="79"/>
      <c r="B464" s="64"/>
      <c r="C464" s="64"/>
      <c r="D464" s="64"/>
      <c r="E464" s="64"/>
      <c r="F464" s="64"/>
      <c r="G464" s="64"/>
      <c r="H464" s="87"/>
      <c r="I464" s="64"/>
      <c r="J464" s="64"/>
      <c r="K464" s="64"/>
      <c r="L464" s="64"/>
      <c r="M464" s="79"/>
      <c r="N464" s="64"/>
      <c r="O464" s="64"/>
      <c r="P464" s="64"/>
      <c r="Q464" s="64"/>
      <c r="R464" s="64"/>
      <c r="S464" s="64"/>
      <c r="T464" s="64"/>
      <c r="U464" s="78"/>
      <c r="V464" s="64"/>
      <c r="W464" s="79"/>
      <c r="X464" s="64"/>
      <c r="Y464" s="64"/>
      <c r="Z464" s="64"/>
      <c r="AA464" s="64"/>
      <c r="AB464" s="64"/>
      <c r="AC464" s="64"/>
      <c r="AD464" s="64"/>
      <c r="AE464" s="64"/>
    </row>
    <row r="465" spans="1:31" ht="17.25" customHeight="1">
      <c r="A465" s="79"/>
      <c r="B465" s="64"/>
      <c r="C465" s="64"/>
      <c r="D465" s="64"/>
      <c r="E465" s="64"/>
      <c r="F465" s="64"/>
      <c r="G465" s="64"/>
      <c r="H465" s="87"/>
      <c r="I465" s="64"/>
      <c r="J465" s="64"/>
      <c r="K465" s="64"/>
      <c r="L465" s="64"/>
      <c r="M465" s="79"/>
      <c r="N465" s="64"/>
      <c r="O465" s="64"/>
      <c r="P465" s="64"/>
      <c r="Q465" s="64"/>
      <c r="R465" s="64"/>
      <c r="S465" s="64"/>
      <c r="T465" s="64"/>
      <c r="U465" s="78"/>
      <c r="V465" s="64"/>
      <c r="W465" s="79"/>
      <c r="X465" s="64"/>
      <c r="Y465" s="64"/>
      <c r="Z465" s="64"/>
      <c r="AA465" s="64"/>
      <c r="AB465" s="64"/>
      <c r="AC465" s="64"/>
      <c r="AD465" s="64"/>
      <c r="AE465" s="64"/>
    </row>
    <row r="466" spans="1:31" ht="17.25" customHeight="1">
      <c r="A466" s="79"/>
      <c r="B466" s="64"/>
      <c r="C466" s="64"/>
      <c r="D466" s="64"/>
      <c r="E466" s="64"/>
      <c r="F466" s="64"/>
      <c r="G466" s="64"/>
      <c r="H466" s="87"/>
      <c r="I466" s="64"/>
      <c r="J466" s="64"/>
      <c r="K466" s="64"/>
      <c r="L466" s="64"/>
      <c r="M466" s="79"/>
      <c r="N466" s="64"/>
      <c r="O466" s="64"/>
      <c r="P466" s="64"/>
      <c r="Q466" s="64"/>
      <c r="R466" s="64"/>
      <c r="S466" s="64"/>
      <c r="T466" s="64"/>
      <c r="U466" s="78"/>
      <c r="V466" s="64"/>
      <c r="W466" s="79"/>
      <c r="X466" s="64"/>
      <c r="Y466" s="64"/>
      <c r="Z466" s="64"/>
      <c r="AA466" s="64"/>
      <c r="AB466" s="64"/>
      <c r="AC466" s="64"/>
      <c r="AD466" s="64"/>
      <c r="AE466" s="64"/>
    </row>
    <row r="467" spans="1:31" ht="17.25" customHeight="1">
      <c r="A467" s="79"/>
      <c r="B467" s="64"/>
      <c r="C467" s="64"/>
      <c r="D467" s="64"/>
      <c r="E467" s="64"/>
      <c r="F467" s="64"/>
      <c r="G467" s="64"/>
      <c r="H467" s="87"/>
      <c r="I467" s="64"/>
      <c r="J467" s="64"/>
      <c r="K467" s="64"/>
      <c r="L467" s="64"/>
      <c r="M467" s="79"/>
      <c r="N467" s="64"/>
      <c r="O467" s="64"/>
      <c r="P467" s="64"/>
      <c r="Q467" s="64"/>
      <c r="R467" s="64"/>
      <c r="S467" s="64"/>
      <c r="T467" s="64"/>
      <c r="U467" s="78"/>
      <c r="V467" s="64"/>
      <c r="W467" s="79"/>
      <c r="X467" s="64"/>
      <c r="Y467" s="64"/>
      <c r="Z467" s="64"/>
      <c r="AA467" s="64"/>
      <c r="AB467" s="64"/>
      <c r="AC467" s="64"/>
      <c r="AD467" s="64"/>
      <c r="AE467" s="64"/>
    </row>
    <row r="468" spans="1:31" ht="17.25" customHeight="1">
      <c r="A468" s="79"/>
      <c r="B468" s="64"/>
      <c r="C468" s="64"/>
      <c r="D468" s="64"/>
      <c r="E468" s="64"/>
      <c r="F468" s="64"/>
      <c r="G468" s="64"/>
      <c r="H468" s="87"/>
      <c r="I468" s="64"/>
      <c r="J468" s="64"/>
      <c r="K468" s="64"/>
      <c r="L468" s="64"/>
      <c r="M468" s="79"/>
      <c r="N468" s="64"/>
      <c r="O468" s="64"/>
      <c r="P468" s="64"/>
      <c r="Q468" s="64"/>
      <c r="R468" s="64"/>
      <c r="S468" s="64"/>
      <c r="T468" s="64"/>
      <c r="U468" s="78"/>
      <c r="V468" s="64"/>
      <c r="W468" s="79"/>
      <c r="X468" s="64"/>
      <c r="Y468" s="64"/>
      <c r="Z468" s="64"/>
      <c r="AA468" s="64"/>
      <c r="AB468" s="64"/>
      <c r="AC468" s="64"/>
      <c r="AD468" s="64"/>
      <c r="AE468" s="64"/>
    </row>
    <row r="469" spans="1:31" ht="17.25" customHeight="1">
      <c r="A469" s="79"/>
      <c r="B469" s="64"/>
      <c r="C469" s="64"/>
      <c r="D469" s="64"/>
      <c r="E469" s="64"/>
      <c r="F469" s="64"/>
      <c r="G469" s="64"/>
      <c r="H469" s="87"/>
      <c r="I469" s="64"/>
      <c r="J469" s="64"/>
      <c r="K469" s="64"/>
      <c r="L469" s="64"/>
      <c r="M469" s="79"/>
      <c r="N469" s="64"/>
      <c r="O469" s="64"/>
      <c r="P469" s="64"/>
      <c r="Q469" s="64"/>
      <c r="R469" s="64"/>
      <c r="S469" s="64"/>
      <c r="T469" s="64"/>
      <c r="U469" s="78"/>
      <c r="V469" s="64"/>
      <c r="W469" s="79"/>
      <c r="X469" s="64"/>
      <c r="Y469" s="64"/>
      <c r="Z469" s="64"/>
      <c r="AA469" s="64"/>
      <c r="AB469" s="64"/>
      <c r="AC469" s="64"/>
      <c r="AD469" s="64"/>
      <c r="AE469" s="64"/>
    </row>
    <row r="470" spans="1:31" ht="17.25" customHeight="1">
      <c r="A470" s="79"/>
      <c r="B470" s="64"/>
      <c r="C470" s="64"/>
      <c r="D470" s="64"/>
      <c r="E470" s="64"/>
      <c r="F470" s="64"/>
      <c r="G470" s="64"/>
      <c r="H470" s="87"/>
      <c r="I470" s="64"/>
      <c r="J470" s="64"/>
      <c r="K470" s="64"/>
      <c r="L470" s="64"/>
      <c r="M470" s="79"/>
      <c r="N470" s="64"/>
      <c r="O470" s="64"/>
      <c r="P470" s="64"/>
      <c r="Q470" s="64"/>
      <c r="R470" s="64"/>
      <c r="S470" s="64"/>
      <c r="T470" s="64"/>
      <c r="U470" s="78"/>
      <c r="V470" s="64"/>
      <c r="W470" s="79"/>
      <c r="X470" s="64"/>
      <c r="Y470" s="64"/>
      <c r="Z470" s="64"/>
      <c r="AA470" s="64"/>
      <c r="AB470" s="64"/>
      <c r="AC470" s="64"/>
      <c r="AD470" s="64"/>
      <c r="AE470" s="64"/>
    </row>
    <row r="471" spans="1:31" ht="17.25" customHeight="1">
      <c r="A471" s="79"/>
      <c r="B471" s="64"/>
      <c r="C471" s="64"/>
      <c r="D471" s="64"/>
      <c r="E471" s="64"/>
      <c r="F471" s="64"/>
      <c r="G471" s="64"/>
      <c r="H471" s="87"/>
      <c r="I471" s="64"/>
      <c r="J471" s="64"/>
      <c r="K471" s="64"/>
      <c r="L471" s="64"/>
      <c r="M471" s="79"/>
      <c r="N471" s="64"/>
      <c r="O471" s="64"/>
      <c r="P471" s="64"/>
      <c r="Q471" s="64"/>
      <c r="R471" s="64"/>
      <c r="S471" s="64"/>
      <c r="T471" s="64"/>
      <c r="U471" s="78"/>
      <c r="V471" s="64"/>
      <c r="W471" s="79"/>
      <c r="X471" s="64"/>
      <c r="Y471" s="64"/>
      <c r="Z471" s="64"/>
      <c r="AA471" s="64"/>
      <c r="AB471" s="64"/>
      <c r="AC471" s="64"/>
      <c r="AD471" s="64"/>
      <c r="AE471" s="64"/>
    </row>
    <row r="472" spans="1:31" ht="17.25" customHeight="1">
      <c r="A472" s="79"/>
      <c r="B472" s="64"/>
      <c r="C472" s="64"/>
      <c r="D472" s="64"/>
      <c r="E472" s="64"/>
      <c r="F472" s="64"/>
      <c r="G472" s="64"/>
      <c r="H472" s="87"/>
      <c r="I472" s="64"/>
      <c r="J472" s="64"/>
      <c r="K472" s="64"/>
      <c r="L472" s="64"/>
      <c r="M472" s="79"/>
      <c r="N472" s="64"/>
      <c r="O472" s="64"/>
      <c r="P472" s="64"/>
      <c r="Q472" s="64"/>
      <c r="R472" s="64"/>
      <c r="S472" s="64"/>
      <c r="T472" s="64"/>
      <c r="U472" s="78"/>
      <c r="V472" s="64"/>
      <c r="W472" s="79"/>
      <c r="X472" s="64"/>
      <c r="Y472" s="64"/>
      <c r="Z472" s="64"/>
      <c r="AA472" s="64"/>
      <c r="AB472" s="64"/>
      <c r="AC472" s="64"/>
      <c r="AD472" s="64"/>
      <c r="AE472" s="64"/>
    </row>
    <row r="473" spans="1:31" ht="17.25" customHeight="1">
      <c r="A473" s="79"/>
      <c r="B473" s="64"/>
      <c r="C473" s="64"/>
      <c r="D473" s="64"/>
      <c r="E473" s="64"/>
      <c r="F473" s="64"/>
      <c r="G473" s="64"/>
      <c r="H473" s="87"/>
      <c r="I473" s="64"/>
      <c r="J473" s="64"/>
      <c r="K473" s="64"/>
      <c r="L473" s="64"/>
      <c r="M473" s="79"/>
      <c r="N473" s="64"/>
      <c r="O473" s="64"/>
      <c r="P473" s="64"/>
      <c r="Q473" s="64"/>
      <c r="R473" s="64"/>
      <c r="S473" s="64"/>
      <c r="T473" s="64"/>
      <c r="U473" s="78"/>
      <c r="V473" s="64"/>
      <c r="W473" s="79"/>
      <c r="X473" s="64"/>
      <c r="Y473" s="64"/>
      <c r="Z473" s="64"/>
      <c r="AA473" s="64"/>
      <c r="AB473" s="64"/>
      <c r="AC473" s="64"/>
      <c r="AD473" s="64"/>
      <c r="AE473" s="64"/>
    </row>
    <row r="474" spans="1:31" ht="17.25" customHeight="1">
      <c r="A474" s="79"/>
      <c r="B474" s="64"/>
      <c r="C474" s="64"/>
      <c r="D474" s="64"/>
      <c r="E474" s="64"/>
      <c r="F474" s="64"/>
      <c r="G474" s="64"/>
      <c r="H474" s="87"/>
      <c r="I474" s="64"/>
      <c r="J474" s="64"/>
      <c r="K474" s="64"/>
      <c r="L474" s="64"/>
      <c r="M474" s="79"/>
      <c r="N474" s="64"/>
      <c r="O474" s="64"/>
      <c r="P474" s="64"/>
      <c r="Q474" s="64"/>
      <c r="R474" s="64"/>
      <c r="S474" s="64"/>
      <c r="T474" s="64"/>
      <c r="U474" s="78"/>
      <c r="V474" s="64"/>
      <c r="W474" s="79"/>
      <c r="X474" s="64"/>
      <c r="Y474" s="64"/>
      <c r="Z474" s="64"/>
      <c r="AA474" s="64"/>
      <c r="AB474" s="64"/>
      <c r="AC474" s="64"/>
      <c r="AD474" s="64"/>
      <c r="AE474" s="64"/>
    </row>
    <row r="475" spans="1:31" ht="17.25" customHeight="1">
      <c r="A475" s="79"/>
      <c r="B475" s="64"/>
      <c r="C475" s="64"/>
      <c r="D475" s="64"/>
      <c r="E475" s="64"/>
      <c r="F475" s="64"/>
      <c r="G475" s="64"/>
      <c r="H475" s="87"/>
      <c r="I475" s="64"/>
      <c r="J475" s="64"/>
      <c r="K475" s="64"/>
      <c r="L475" s="64"/>
      <c r="M475" s="79"/>
      <c r="N475" s="64"/>
      <c r="O475" s="64"/>
      <c r="P475" s="64"/>
      <c r="Q475" s="64"/>
      <c r="R475" s="64"/>
      <c r="S475" s="64"/>
      <c r="T475" s="64"/>
      <c r="U475" s="78"/>
      <c r="V475" s="64"/>
      <c r="W475" s="79"/>
      <c r="X475" s="64"/>
      <c r="Y475" s="64"/>
      <c r="Z475" s="64"/>
      <c r="AA475" s="64"/>
      <c r="AB475" s="64"/>
      <c r="AC475" s="64"/>
      <c r="AD475" s="64"/>
      <c r="AE475" s="64"/>
    </row>
    <row r="476" spans="1:31" ht="17.25" customHeight="1">
      <c r="A476" s="79"/>
      <c r="B476" s="64"/>
      <c r="C476" s="64"/>
      <c r="D476" s="64"/>
      <c r="E476" s="64"/>
      <c r="F476" s="64"/>
      <c r="G476" s="64"/>
      <c r="H476" s="87"/>
      <c r="I476" s="64"/>
      <c r="J476" s="64"/>
      <c r="K476" s="64"/>
      <c r="L476" s="64"/>
      <c r="M476" s="79"/>
      <c r="N476" s="64"/>
      <c r="O476" s="64"/>
      <c r="P476" s="64"/>
      <c r="Q476" s="64"/>
      <c r="R476" s="64"/>
      <c r="S476" s="64"/>
      <c r="T476" s="64"/>
      <c r="U476" s="78"/>
      <c r="V476" s="64"/>
      <c r="W476" s="79"/>
      <c r="X476" s="64"/>
      <c r="Y476" s="64"/>
      <c r="Z476" s="64"/>
      <c r="AA476" s="64"/>
      <c r="AB476" s="64"/>
      <c r="AC476" s="64"/>
      <c r="AD476" s="64"/>
      <c r="AE476" s="64"/>
    </row>
    <row r="477" spans="1:31" ht="17.25" customHeight="1">
      <c r="A477" s="79"/>
      <c r="B477" s="64"/>
      <c r="C477" s="64"/>
      <c r="D477" s="64"/>
      <c r="E477" s="64"/>
      <c r="F477" s="64"/>
      <c r="G477" s="64"/>
      <c r="H477" s="87"/>
      <c r="I477" s="64"/>
      <c r="J477" s="64"/>
      <c r="K477" s="64"/>
      <c r="L477" s="64"/>
      <c r="M477" s="79"/>
      <c r="N477" s="64"/>
      <c r="O477" s="64"/>
      <c r="P477" s="64"/>
      <c r="Q477" s="64"/>
      <c r="R477" s="64"/>
      <c r="S477" s="64"/>
      <c r="T477" s="64"/>
      <c r="U477" s="78"/>
      <c r="V477" s="64"/>
      <c r="W477" s="79"/>
      <c r="X477" s="64"/>
      <c r="Y477" s="64"/>
      <c r="Z477" s="64"/>
      <c r="AA477" s="64"/>
      <c r="AB477" s="64"/>
      <c r="AC477" s="64"/>
      <c r="AD477" s="64"/>
      <c r="AE477" s="64"/>
    </row>
    <row r="478" spans="1:31" ht="17.25" customHeight="1">
      <c r="A478" s="79"/>
      <c r="B478" s="64"/>
      <c r="C478" s="64"/>
      <c r="D478" s="64"/>
      <c r="E478" s="64"/>
      <c r="F478" s="64"/>
      <c r="G478" s="64"/>
      <c r="H478" s="87"/>
      <c r="I478" s="64"/>
      <c r="J478" s="64"/>
      <c r="K478" s="64"/>
      <c r="L478" s="64"/>
      <c r="M478" s="79"/>
      <c r="N478" s="64"/>
      <c r="O478" s="64"/>
      <c r="P478" s="64"/>
      <c r="Q478" s="64"/>
      <c r="R478" s="64"/>
      <c r="S478" s="64"/>
      <c r="T478" s="64"/>
      <c r="U478" s="78"/>
      <c r="V478" s="64"/>
      <c r="W478" s="79"/>
      <c r="X478" s="64"/>
      <c r="Y478" s="64"/>
      <c r="Z478" s="64"/>
      <c r="AA478" s="64"/>
      <c r="AB478" s="64"/>
      <c r="AC478" s="64"/>
      <c r="AD478" s="64"/>
      <c r="AE478" s="64"/>
    </row>
    <row r="479" spans="1:31" ht="17.25" customHeight="1">
      <c r="A479" s="79"/>
      <c r="B479" s="64"/>
      <c r="C479" s="64"/>
      <c r="D479" s="64"/>
      <c r="E479" s="64"/>
      <c r="F479" s="64"/>
      <c r="G479" s="64"/>
      <c r="H479" s="87"/>
      <c r="I479" s="64"/>
      <c r="J479" s="64"/>
      <c r="K479" s="64"/>
      <c r="L479" s="64"/>
      <c r="M479" s="79"/>
      <c r="N479" s="64"/>
      <c r="O479" s="64"/>
      <c r="P479" s="64"/>
      <c r="Q479" s="64"/>
      <c r="R479" s="64"/>
      <c r="S479" s="64"/>
      <c r="T479" s="64"/>
      <c r="U479" s="78"/>
      <c r="V479" s="64"/>
      <c r="W479" s="79"/>
      <c r="X479" s="64"/>
      <c r="Y479" s="64"/>
      <c r="Z479" s="64"/>
      <c r="AA479" s="64"/>
      <c r="AB479" s="64"/>
      <c r="AC479" s="64"/>
      <c r="AD479" s="64"/>
      <c r="AE479" s="64"/>
    </row>
    <row r="480" spans="1:31" ht="17.25" customHeight="1">
      <c r="A480" s="79"/>
      <c r="B480" s="64"/>
      <c r="C480" s="64"/>
      <c r="D480" s="64"/>
      <c r="E480" s="64"/>
      <c r="F480" s="64"/>
      <c r="G480" s="64"/>
      <c r="H480" s="87"/>
      <c r="I480" s="64"/>
      <c r="J480" s="64"/>
      <c r="K480" s="64"/>
      <c r="L480" s="64"/>
      <c r="M480" s="79"/>
      <c r="N480" s="64"/>
      <c r="O480" s="64"/>
      <c r="P480" s="64"/>
      <c r="Q480" s="64"/>
      <c r="R480" s="64"/>
      <c r="S480" s="64"/>
      <c r="T480" s="64"/>
      <c r="U480" s="78"/>
      <c r="V480" s="64"/>
      <c r="W480" s="79"/>
      <c r="X480" s="64"/>
      <c r="Y480" s="64"/>
      <c r="Z480" s="64"/>
      <c r="AA480" s="64"/>
      <c r="AB480" s="64"/>
      <c r="AC480" s="64"/>
      <c r="AD480" s="64"/>
      <c r="AE480" s="64"/>
    </row>
    <row r="481" spans="1:31" ht="17.25" customHeight="1">
      <c r="A481" s="79"/>
      <c r="B481" s="64"/>
      <c r="C481" s="64"/>
      <c r="D481" s="64"/>
      <c r="E481" s="64"/>
      <c r="F481" s="64"/>
      <c r="G481" s="64"/>
      <c r="H481" s="87"/>
      <c r="I481" s="64"/>
      <c r="J481" s="64"/>
      <c r="K481" s="64"/>
      <c r="L481" s="64"/>
      <c r="M481" s="79"/>
      <c r="N481" s="64"/>
      <c r="O481" s="64"/>
      <c r="P481" s="64"/>
      <c r="Q481" s="64"/>
      <c r="R481" s="64"/>
      <c r="S481" s="64"/>
      <c r="T481" s="64"/>
      <c r="U481" s="78"/>
      <c r="V481" s="64"/>
      <c r="W481" s="79"/>
      <c r="X481" s="64"/>
      <c r="Y481" s="64"/>
      <c r="Z481" s="64"/>
      <c r="AA481" s="64"/>
      <c r="AB481" s="64"/>
      <c r="AC481" s="64"/>
      <c r="AD481" s="64"/>
      <c r="AE481" s="64"/>
    </row>
    <row r="482" spans="1:31" ht="17.25" customHeight="1">
      <c r="A482" s="79"/>
      <c r="B482" s="64"/>
      <c r="C482" s="64"/>
      <c r="D482" s="64"/>
      <c r="E482" s="64"/>
      <c r="F482" s="64"/>
      <c r="G482" s="64"/>
      <c r="H482" s="87"/>
      <c r="I482" s="64"/>
      <c r="J482" s="64"/>
      <c r="K482" s="64"/>
      <c r="L482" s="64"/>
      <c r="M482" s="79"/>
      <c r="N482" s="64"/>
      <c r="O482" s="64"/>
      <c r="P482" s="64"/>
      <c r="Q482" s="64"/>
      <c r="R482" s="64"/>
      <c r="S482" s="64"/>
      <c r="T482" s="64"/>
      <c r="U482" s="78"/>
      <c r="V482" s="64"/>
      <c r="W482" s="79"/>
      <c r="X482" s="64"/>
      <c r="Y482" s="64"/>
      <c r="Z482" s="64"/>
      <c r="AA482" s="64"/>
      <c r="AB482" s="64"/>
      <c r="AC482" s="64"/>
      <c r="AD482" s="64"/>
      <c r="AE482" s="64"/>
    </row>
    <row r="483" spans="1:31" ht="17.25" customHeight="1">
      <c r="A483" s="79"/>
      <c r="B483" s="64"/>
      <c r="C483" s="64"/>
      <c r="D483" s="64"/>
      <c r="E483" s="64"/>
      <c r="F483" s="64"/>
      <c r="G483" s="64"/>
      <c r="H483" s="87"/>
      <c r="I483" s="64"/>
      <c r="J483" s="64"/>
      <c r="K483" s="64"/>
      <c r="L483" s="64"/>
      <c r="M483" s="79"/>
      <c r="N483" s="64"/>
      <c r="O483" s="64"/>
      <c r="P483" s="64"/>
      <c r="Q483" s="64"/>
      <c r="R483" s="64"/>
      <c r="S483" s="64"/>
      <c r="T483" s="64"/>
      <c r="U483" s="78"/>
      <c r="V483" s="64"/>
      <c r="W483" s="79"/>
      <c r="X483" s="64"/>
      <c r="Y483" s="64"/>
      <c r="Z483" s="64"/>
      <c r="AA483" s="64"/>
      <c r="AB483" s="64"/>
      <c r="AC483" s="64"/>
      <c r="AD483" s="64"/>
      <c r="AE483" s="64"/>
    </row>
    <row r="484" spans="1:31" ht="17.25" customHeight="1">
      <c r="A484" s="79"/>
      <c r="B484" s="64"/>
      <c r="C484" s="64"/>
      <c r="D484" s="64"/>
      <c r="E484" s="64"/>
      <c r="F484" s="64"/>
      <c r="G484" s="64"/>
      <c r="H484" s="87"/>
      <c r="I484" s="64"/>
      <c r="J484" s="64"/>
      <c r="K484" s="64"/>
      <c r="L484" s="64"/>
      <c r="M484" s="79"/>
      <c r="N484" s="64"/>
      <c r="O484" s="64"/>
      <c r="P484" s="64"/>
      <c r="Q484" s="64"/>
      <c r="R484" s="64"/>
      <c r="S484" s="64"/>
      <c r="T484" s="64"/>
      <c r="U484" s="78"/>
      <c r="V484" s="64"/>
      <c r="W484" s="79"/>
      <c r="X484" s="64"/>
      <c r="Y484" s="64"/>
      <c r="Z484" s="64"/>
      <c r="AA484" s="64"/>
      <c r="AB484" s="64"/>
      <c r="AC484" s="64"/>
      <c r="AD484" s="64"/>
      <c r="AE484" s="64"/>
    </row>
    <row r="485" spans="1:31" ht="17.25" customHeight="1">
      <c r="A485" s="79"/>
      <c r="B485" s="64"/>
      <c r="C485" s="64"/>
      <c r="D485" s="64"/>
      <c r="E485" s="64"/>
      <c r="F485" s="64"/>
      <c r="G485" s="64"/>
      <c r="H485" s="87"/>
      <c r="I485" s="64"/>
      <c r="J485" s="64"/>
      <c r="K485" s="64"/>
      <c r="L485" s="64"/>
      <c r="M485" s="79"/>
      <c r="N485" s="64"/>
      <c r="O485" s="64"/>
      <c r="P485" s="64"/>
      <c r="Q485" s="64"/>
      <c r="R485" s="64"/>
      <c r="S485" s="64"/>
      <c r="T485" s="64"/>
      <c r="U485" s="78"/>
      <c r="V485" s="64"/>
      <c r="W485" s="79"/>
      <c r="X485" s="64"/>
      <c r="Y485" s="64"/>
      <c r="Z485" s="64"/>
      <c r="AA485" s="64"/>
      <c r="AB485" s="64"/>
      <c r="AC485" s="64"/>
      <c r="AD485" s="64"/>
      <c r="AE485" s="64"/>
    </row>
    <row r="486" spans="1:31" ht="17.25" customHeight="1">
      <c r="A486" s="79"/>
      <c r="B486" s="64"/>
      <c r="C486" s="64"/>
      <c r="D486" s="64"/>
      <c r="E486" s="64"/>
      <c r="F486" s="64"/>
      <c r="G486" s="64"/>
      <c r="H486" s="87"/>
      <c r="I486" s="64"/>
      <c r="J486" s="64"/>
      <c r="K486" s="64"/>
      <c r="L486" s="64"/>
      <c r="M486" s="79"/>
      <c r="N486" s="64"/>
      <c r="O486" s="64"/>
      <c r="P486" s="64"/>
      <c r="Q486" s="64"/>
      <c r="R486" s="64"/>
      <c r="S486" s="64"/>
      <c r="T486" s="64"/>
      <c r="U486" s="78"/>
      <c r="V486" s="64"/>
      <c r="W486" s="79"/>
      <c r="X486" s="64"/>
      <c r="Y486" s="64"/>
      <c r="Z486" s="64"/>
      <c r="AA486" s="64"/>
      <c r="AB486" s="64"/>
      <c r="AC486" s="64"/>
      <c r="AD486" s="64"/>
      <c r="AE486" s="64"/>
    </row>
    <row r="487" spans="1:31" ht="17.25" customHeight="1">
      <c r="A487" s="79"/>
      <c r="B487" s="64"/>
      <c r="C487" s="64"/>
      <c r="D487" s="64"/>
      <c r="E487" s="64"/>
      <c r="F487" s="64"/>
      <c r="G487" s="64"/>
      <c r="H487" s="87"/>
      <c r="I487" s="64"/>
      <c r="J487" s="64"/>
      <c r="K487" s="64"/>
      <c r="L487" s="64"/>
      <c r="M487" s="79"/>
      <c r="N487" s="64"/>
      <c r="O487" s="64"/>
      <c r="P487" s="64"/>
      <c r="Q487" s="64"/>
      <c r="R487" s="64"/>
      <c r="S487" s="64"/>
      <c r="T487" s="64"/>
      <c r="U487" s="78"/>
      <c r="V487" s="64"/>
      <c r="W487" s="79"/>
      <c r="X487" s="64"/>
      <c r="Y487" s="64"/>
      <c r="Z487" s="64"/>
      <c r="AA487" s="64"/>
      <c r="AB487" s="64"/>
      <c r="AC487" s="64"/>
      <c r="AD487" s="64"/>
      <c r="AE487" s="64"/>
    </row>
    <row r="488" spans="1:31" ht="17.25" customHeight="1">
      <c r="A488" s="79"/>
      <c r="B488" s="64"/>
      <c r="C488" s="64"/>
      <c r="D488" s="64"/>
      <c r="E488" s="64"/>
      <c r="F488" s="64"/>
      <c r="G488" s="64"/>
      <c r="H488" s="87"/>
      <c r="I488" s="64"/>
      <c r="J488" s="64"/>
      <c r="K488" s="64"/>
      <c r="L488" s="64"/>
      <c r="M488" s="79"/>
      <c r="N488" s="64"/>
      <c r="O488" s="64"/>
      <c r="P488" s="64"/>
      <c r="Q488" s="64"/>
      <c r="R488" s="64"/>
      <c r="S488" s="64"/>
      <c r="T488" s="64"/>
      <c r="U488" s="78"/>
      <c r="V488" s="64"/>
      <c r="W488" s="79"/>
      <c r="X488" s="64"/>
      <c r="Y488" s="64"/>
      <c r="Z488" s="64"/>
      <c r="AA488" s="64"/>
      <c r="AB488" s="64"/>
      <c r="AC488" s="64"/>
      <c r="AD488" s="64"/>
      <c r="AE488" s="64"/>
    </row>
    <row r="489" spans="1:31" ht="17.25" customHeight="1">
      <c r="A489" s="79"/>
      <c r="B489" s="64"/>
      <c r="C489" s="64"/>
      <c r="D489" s="64"/>
      <c r="E489" s="64"/>
      <c r="F489" s="64"/>
      <c r="G489" s="64"/>
      <c r="H489" s="87"/>
      <c r="I489" s="64"/>
      <c r="J489" s="64"/>
      <c r="K489" s="64"/>
      <c r="L489" s="64"/>
      <c r="M489" s="79"/>
      <c r="N489" s="64"/>
      <c r="O489" s="64"/>
      <c r="P489" s="64"/>
      <c r="Q489" s="64"/>
      <c r="R489" s="64"/>
      <c r="S489" s="64"/>
      <c r="T489" s="64"/>
      <c r="U489" s="78"/>
      <c r="V489" s="64"/>
      <c r="W489" s="79"/>
      <c r="X489" s="64"/>
      <c r="Y489" s="64"/>
      <c r="Z489" s="64"/>
      <c r="AA489" s="64"/>
      <c r="AB489" s="64"/>
      <c r="AC489" s="64"/>
      <c r="AD489" s="64"/>
      <c r="AE489" s="64"/>
    </row>
    <row r="490" spans="1:31" ht="17.25" customHeight="1">
      <c r="A490" s="79"/>
      <c r="B490" s="64"/>
      <c r="C490" s="64"/>
      <c r="D490" s="64"/>
      <c r="E490" s="64"/>
      <c r="F490" s="64"/>
      <c r="G490" s="64"/>
      <c r="H490" s="87"/>
      <c r="I490" s="64"/>
      <c r="J490" s="64"/>
      <c r="K490" s="64"/>
      <c r="L490" s="64"/>
      <c r="M490" s="79"/>
      <c r="N490" s="64"/>
      <c r="O490" s="64"/>
      <c r="P490" s="64"/>
      <c r="Q490" s="64"/>
      <c r="R490" s="64"/>
      <c r="S490" s="64"/>
      <c r="T490" s="64"/>
      <c r="U490" s="78"/>
      <c r="V490" s="64"/>
      <c r="W490" s="79"/>
      <c r="X490" s="64"/>
      <c r="Y490" s="64"/>
      <c r="Z490" s="64"/>
      <c r="AA490" s="64"/>
      <c r="AB490" s="64"/>
      <c r="AC490" s="64"/>
      <c r="AD490" s="64"/>
      <c r="AE490" s="64"/>
    </row>
    <row r="491" spans="1:31" ht="17.25" customHeight="1">
      <c r="A491" s="79"/>
      <c r="B491" s="64"/>
      <c r="C491" s="64"/>
      <c r="D491" s="64"/>
      <c r="E491" s="64"/>
      <c r="F491" s="64"/>
      <c r="G491" s="64"/>
      <c r="H491" s="87"/>
      <c r="I491" s="64"/>
      <c r="J491" s="64"/>
      <c r="K491" s="64"/>
      <c r="L491" s="64"/>
      <c r="M491" s="79"/>
      <c r="N491" s="64"/>
      <c r="O491" s="64"/>
      <c r="P491" s="64"/>
      <c r="Q491" s="64"/>
      <c r="R491" s="64"/>
      <c r="S491" s="64"/>
      <c r="T491" s="64"/>
      <c r="U491" s="78"/>
      <c r="V491" s="64"/>
      <c r="W491" s="79"/>
      <c r="X491" s="64"/>
      <c r="Y491" s="64"/>
      <c r="Z491" s="64"/>
      <c r="AA491" s="64"/>
      <c r="AB491" s="64"/>
      <c r="AC491" s="64"/>
      <c r="AD491" s="64"/>
      <c r="AE491" s="64"/>
    </row>
    <row r="492" spans="1:31" ht="17.25" customHeight="1">
      <c r="A492" s="79"/>
      <c r="B492" s="64"/>
      <c r="C492" s="64"/>
      <c r="D492" s="64"/>
      <c r="E492" s="64"/>
      <c r="F492" s="64"/>
      <c r="G492" s="64"/>
      <c r="H492" s="87"/>
      <c r="I492" s="64"/>
      <c r="J492" s="64"/>
      <c r="K492" s="64"/>
      <c r="L492" s="64"/>
      <c r="M492" s="79"/>
      <c r="N492" s="64"/>
      <c r="O492" s="64"/>
      <c r="P492" s="64"/>
      <c r="Q492" s="64"/>
      <c r="R492" s="64"/>
      <c r="S492" s="64"/>
      <c r="T492" s="64"/>
      <c r="U492" s="78"/>
      <c r="V492" s="64"/>
      <c r="W492" s="79"/>
      <c r="X492" s="64"/>
      <c r="Y492" s="64"/>
      <c r="Z492" s="64"/>
      <c r="AA492" s="64"/>
      <c r="AB492" s="64"/>
      <c r="AC492" s="64"/>
      <c r="AD492" s="64"/>
      <c r="AE492" s="64"/>
    </row>
    <row r="493" spans="1:31" ht="17.25" customHeight="1">
      <c r="A493" s="79"/>
      <c r="B493" s="64"/>
      <c r="C493" s="64"/>
      <c r="D493" s="64"/>
      <c r="E493" s="64"/>
      <c r="F493" s="64"/>
      <c r="G493" s="64"/>
      <c r="H493" s="87"/>
      <c r="I493" s="64"/>
      <c r="J493" s="64"/>
      <c r="K493" s="64"/>
      <c r="L493" s="64"/>
      <c r="M493" s="79"/>
      <c r="N493" s="64"/>
      <c r="O493" s="64"/>
      <c r="P493" s="64"/>
      <c r="Q493" s="64"/>
      <c r="R493" s="64"/>
      <c r="S493" s="64"/>
      <c r="T493" s="64"/>
      <c r="U493" s="78"/>
      <c r="V493" s="64"/>
      <c r="W493" s="79"/>
      <c r="X493" s="64"/>
      <c r="Y493" s="64"/>
      <c r="Z493" s="64"/>
      <c r="AA493" s="64"/>
      <c r="AB493" s="64"/>
      <c r="AC493" s="64"/>
      <c r="AD493" s="64"/>
      <c r="AE493" s="64"/>
    </row>
    <row r="494" spans="1:31" ht="17.25" customHeight="1">
      <c r="A494" s="79"/>
      <c r="B494" s="64"/>
      <c r="C494" s="64"/>
      <c r="D494" s="64"/>
      <c r="E494" s="64"/>
      <c r="F494" s="64"/>
      <c r="G494" s="64"/>
      <c r="H494" s="87"/>
      <c r="I494" s="64"/>
      <c r="J494" s="64"/>
      <c r="K494" s="64"/>
      <c r="L494" s="64"/>
      <c r="M494" s="79"/>
      <c r="N494" s="64"/>
      <c r="O494" s="64"/>
      <c r="P494" s="64"/>
      <c r="Q494" s="64"/>
      <c r="R494" s="64"/>
      <c r="S494" s="64"/>
      <c r="T494" s="64"/>
      <c r="U494" s="78"/>
      <c r="V494" s="64"/>
      <c r="W494" s="79"/>
      <c r="X494" s="64"/>
      <c r="Y494" s="64"/>
      <c r="Z494" s="64"/>
      <c r="AA494" s="64"/>
      <c r="AB494" s="64"/>
      <c r="AC494" s="64"/>
      <c r="AD494" s="64"/>
      <c r="AE494" s="64"/>
    </row>
    <row r="495" spans="1:31" ht="17.25" customHeight="1">
      <c r="A495" s="79"/>
      <c r="B495" s="64"/>
      <c r="C495" s="64"/>
      <c r="D495" s="64"/>
      <c r="E495" s="64"/>
      <c r="F495" s="64"/>
      <c r="G495" s="64"/>
      <c r="H495" s="87"/>
      <c r="I495" s="64"/>
      <c r="J495" s="64"/>
      <c r="K495" s="64"/>
      <c r="L495" s="64"/>
      <c r="M495" s="79"/>
      <c r="N495" s="64"/>
      <c r="O495" s="64"/>
      <c r="P495" s="64"/>
      <c r="Q495" s="64"/>
      <c r="R495" s="64"/>
      <c r="S495" s="64"/>
      <c r="T495" s="64"/>
      <c r="U495" s="78"/>
      <c r="V495" s="64"/>
      <c r="W495" s="79"/>
      <c r="X495" s="64"/>
      <c r="Y495" s="64"/>
      <c r="Z495" s="64"/>
      <c r="AA495" s="64"/>
      <c r="AB495" s="64"/>
      <c r="AC495" s="64"/>
      <c r="AD495" s="64"/>
      <c r="AE495" s="64"/>
    </row>
    <row r="496" spans="1:31" ht="17.25" customHeight="1">
      <c r="A496" s="79"/>
      <c r="B496" s="64"/>
      <c r="C496" s="64"/>
      <c r="D496" s="64"/>
      <c r="E496" s="64"/>
      <c r="F496" s="64"/>
      <c r="G496" s="64"/>
      <c r="H496" s="87"/>
      <c r="I496" s="64"/>
      <c r="J496" s="64"/>
      <c r="K496" s="64"/>
      <c r="L496" s="64"/>
      <c r="M496" s="79"/>
      <c r="N496" s="64"/>
      <c r="O496" s="64"/>
      <c r="P496" s="64"/>
      <c r="Q496" s="64"/>
      <c r="R496" s="64"/>
      <c r="S496" s="64"/>
      <c r="T496" s="64"/>
      <c r="U496" s="78"/>
      <c r="V496" s="64"/>
      <c r="W496" s="79"/>
      <c r="X496" s="64"/>
      <c r="Y496" s="64"/>
      <c r="Z496" s="64"/>
      <c r="AA496" s="64"/>
      <c r="AB496" s="64"/>
      <c r="AC496" s="64"/>
      <c r="AD496" s="64"/>
      <c r="AE496" s="64"/>
    </row>
    <row r="497" spans="1:31" ht="17.25" customHeight="1">
      <c r="A497" s="79"/>
      <c r="B497" s="64"/>
      <c r="C497" s="64"/>
      <c r="D497" s="64"/>
      <c r="E497" s="64"/>
      <c r="F497" s="64"/>
      <c r="G497" s="64"/>
      <c r="H497" s="87"/>
      <c r="I497" s="64"/>
      <c r="J497" s="64"/>
      <c r="K497" s="64"/>
      <c r="L497" s="64"/>
      <c r="M497" s="79"/>
      <c r="N497" s="64"/>
      <c r="O497" s="64"/>
      <c r="P497" s="64"/>
      <c r="Q497" s="64"/>
      <c r="R497" s="64"/>
      <c r="S497" s="64"/>
      <c r="T497" s="64"/>
      <c r="U497" s="78"/>
      <c r="V497" s="64"/>
      <c r="W497" s="79"/>
      <c r="X497" s="64"/>
      <c r="Y497" s="64"/>
      <c r="Z497" s="64"/>
      <c r="AA497" s="64"/>
      <c r="AB497" s="64"/>
      <c r="AC497" s="64"/>
      <c r="AD497" s="64"/>
      <c r="AE497" s="64"/>
    </row>
    <row r="498" spans="1:31" ht="17.25" customHeight="1">
      <c r="A498" s="79"/>
      <c r="B498" s="64"/>
      <c r="C498" s="64"/>
      <c r="D498" s="64"/>
      <c r="E498" s="64"/>
      <c r="F498" s="64"/>
      <c r="G498" s="64"/>
      <c r="H498" s="87"/>
      <c r="I498" s="64"/>
      <c r="J498" s="64"/>
      <c r="K498" s="64"/>
      <c r="L498" s="64"/>
      <c r="M498" s="79"/>
      <c r="N498" s="64"/>
      <c r="O498" s="64"/>
      <c r="P498" s="64"/>
      <c r="Q498" s="64"/>
      <c r="R498" s="64"/>
      <c r="S498" s="64"/>
      <c r="T498" s="64"/>
      <c r="U498" s="78"/>
      <c r="V498" s="64"/>
      <c r="W498" s="79"/>
      <c r="X498" s="64"/>
      <c r="Y498" s="64"/>
      <c r="Z498" s="64"/>
      <c r="AA498" s="64"/>
      <c r="AB498" s="64"/>
      <c r="AC498" s="64"/>
      <c r="AD498" s="64"/>
      <c r="AE498" s="64"/>
    </row>
    <row r="499" spans="1:31" ht="17.25" customHeight="1">
      <c r="A499" s="79"/>
      <c r="B499" s="64"/>
      <c r="C499" s="64"/>
      <c r="D499" s="64"/>
      <c r="E499" s="64"/>
      <c r="F499" s="64"/>
      <c r="G499" s="64"/>
      <c r="H499" s="87"/>
      <c r="I499" s="64"/>
      <c r="J499" s="64"/>
      <c r="K499" s="64"/>
      <c r="L499" s="64"/>
      <c r="M499" s="79"/>
      <c r="N499" s="64"/>
      <c r="O499" s="64"/>
      <c r="P499" s="64"/>
      <c r="Q499" s="64"/>
      <c r="R499" s="64"/>
      <c r="S499" s="64"/>
      <c r="T499" s="64"/>
      <c r="U499" s="78"/>
      <c r="V499" s="64"/>
      <c r="W499" s="79"/>
      <c r="X499" s="64"/>
      <c r="Y499" s="64"/>
      <c r="Z499" s="64"/>
      <c r="AA499" s="64"/>
      <c r="AB499" s="64"/>
      <c r="AC499" s="64"/>
      <c r="AD499" s="64"/>
      <c r="AE499" s="64"/>
    </row>
    <row r="500" spans="1:31" ht="17.25" customHeight="1">
      <c r="A500" s="79"/>
      <c r="B500" s="64"/>
      <c r="C500" s="64"/>
      <c r="D500" s="64"/>
      <c r="E500" s="64"/>
      <c r="F500" s="64"/>
      <c r="G500" s="64"/>
      <c r="H500" s="87"/>
      <c r="I500" s="64"/>
      <c r="J500" s="64"/>
      <c r="K500" s="64"/>
      <c r="L500" s="64"/>
      <c r="M500" s="79"/>
      <c r="N500" s="64"/>
      <c r="O500" s="64"/>
      <c r="P500" s="64"/>
      <c r="Q500" s="64"/>
      <c r="R500" s="64"/>
      <c r="S500" s="64"/>
      <c r="T500" s="64"/>
      <c r="U500" s="78"/>
      <c r="V500" s="64"/>
      <c r="W500" s="79"/>
      <c r="X500" s="64"/>
      <c r="Y500" s="64"/>
      <c r="Z500" s="64"/>
      <c r="AA500" s="64"/>
      <c r="AB500" s="64"/>
      <c r="AC500" s="64"/>
      <c r="AD500" s="64"/>
      <c r="AE500" s="64"/>
    </row>
    <row r="501" spans="1:31" ht="17.25" customHeight="1">
      <c r="A501" s="79"/>
      <c r="B501" s="64"/>
      <c r="C501" s="64"/>
      <c r="D501" s="64"/>
      <c r="E501" s="64"/>
      <c r="F501" s="64"/>
      <c r="G501" s="64"/>
      <c r="H501" s="87"/>
      <c r="I501" s="64"/>
      <c r="J501" s="64"/>
      <c r="K501" s="64"/>
      <c r="L501" s="64"/>
      <c r="M501" s="79"/>
      <c r="N501" s="64"/>
      <c r="O501" s="64"/>
      <c r="P501" s="64"/>
      <c r="Q501" s="64"/>
      <c r="R501" s="64"/>
      <c r="S501" s="64"/>
      <c r="T501" s="64"/>
      <c r="U501" s="78"/>
      <c r="V501" s="64"/>
      <c r="W501" s="79"/>
      <c r="X501" s="64"/>
      <c r="Y501" s="64"/>
      <c r="Z501" s="64"/>
      <c r="AA501" s="64"/>
      <c r="AB501" s="64"/>
      <c r="AC501" s="64"/>
      <c r="AD501" s="64"/>
      <c r="AE501" s="64"/>
    </row>
    <row r="502" spans="1:31" ht="17.25" customHeight="1">
      <c r="A502" s="79"/>
      <c r="B502" s="64"/>
      <c r="C502" s="64"/>
      <c r="D502" s="64"/>
      <c r="E502" s="64"/>
      <c r="F502" s="64"/>
      <c r="G502" s="64"/>
      <c r="H502" s="87"/>
      <c r="I502" s="64"/>
      <c r="J502" s="64"/>
      <c r="K502" s="64"/>
      <c r="L502" s="64"/>
      <c r="M502" s="79"/>
      <c r="N502" s="64"/>
      <c r="O502" s="64"/>
      <c r="P502" s="64"/>
      <c r="Q502" s="64"/>
      <c r="R502" s="64"/>
      <c r="S502" s="64"/>
      <c r="T502" s="64"/>
      <c r="U502" s="78"/>
      <c r="V502" s="64"/>
      <c r="W502" s="79"/>
      <c r="X502" s="64"/>
      <c r="Y502" s="64"/>
      <c r="Z502" s="64"/>
      <c r="AA502" s="64"/>
      <c r="AB502" s="64"/>
      <c r="AC502" s="64"/>
      <c r="AD502" s="64"/>
      <c r="AE502" s="64"/>
    </row>
    <row r="503" spans="1:31" ht="17.25" customHeight="1">
      <c r="A503" s="79"/>
      <c r="B503" s="64"/>
      <c r="C503" s="64"/>
      <c r="D503" s="64"/>
      <c r="E503" s="64"/>
      <c r="F503" s="64"/>
      <c r="G503" s="64"/>
      <c r="H503" s="87"/>
      <c r="I503" s="64"/>
      <c r="J503" s="64"/>
      <c r="K503" s="64"/>
      <c r="L503" s="64"/>
      <c r="M503" s="79"/>
      <c r="N503" s="64"/>
      <c r="O503" s="64"/>
      <c r="P503" s="64"/>
      <c r="Q503" s="64"/>
      <c r="R503" s="64"/>
      <c r="S503" s="64"/>
      <c r="T503" s="64"/>
      <c r="U503" s="78"/>
      <c r="V503" s="64"/>
      <c r="W503" s="79"/>
      <c r="X503" s="64"/>
      <c r="Y503" s="64"/>
      <c r="Z503" s="64"/>
      <c r="AA503" s="64"/>
      <c r="AB503" s="64"/>
      <c r="AC503" s="64"/>
      <c r="AD503" s="64"/>
      <c r="AE503" s="64"/>
    </row>
    <row r="504" spans="1:31" ht="17.25" customHeight="1">
      <c r="A504" s="79"/>
      <c r="B504" s="64"/>
      <c r="C504" s="64"/>
      <c r="D504" s="64"/>
      <c r="E504" s="64"/>
      <c r="F504" s="64"/>
      <c r="G504" s="64"/>
      <c r="H504" s="87"/>
      <c r="I504" s="64"/>
      <c r="J504" s="64"/>
      <c r="K504" s="64"/>
      <c r="L504" s="64"/>
      <c r="M504" s="79"/>
      <c r="N504" s="64"/>
      <c r="O504" s="64"/>
      <c r="P504" s="64"/>
      <c r="Q504" s="64"/>
      <c r="R504" s="64"/>
      <c r="S504" s="64"/>
      <c r="T504" s="64"/>
      <c r="U504" s="78"/>
      <c r="V504" s="64"/>
      <c r="W504" s="79"/>
      <c r="X504" s="64"/>
      <c r="Y504" s="64"/>
      <c r="Z504" s="64"/>
      <c r="AA504" s="64"/>
      <c r="AB504" s="64"/>
      <c r="AC504" s="64"/>
      <c r="AD504" s="64"/>
      <c r="AE504" s="64"/>
    </row>
    <row r="505" spans="1:31" ht="17.25" customHeight="1">
      <c r="A505" s="79"/>
      <c r="B505" s="64"/>
      <c r="C505" s="64"/>
      <c r="D505" s="64"/>
      <c r="E505" s="64"/>
      <c r="F505" s="64"/>
      <c r="G505" s="64"/>
      <c r="H505" s="87"/>
      <c r="I505" s="64"/>
      <c r="J505" s="64"/>
      <c r="K505" s="64"/>
      <c r="L505" s="64"/>
      <c r="M505" s="79"/>
      <c r="N505" s="64"/>
      <c r="O505" s="64"/>
      <c r="P505" s="64"/>
      <c r="Q505" s="64"/>
      <c r="R505" s="64"/>
      <c r="S505" s="64"/>
      <c r="T505" s="64"/>
      <c r="U505" s="78"/>
      <c r="V505" s="64"/>
      <c r="W505" s="79"/>
      <c r="X505" s="64"/>
      <c r="Y505" s="64"/>
      <c r="Z505" s="64"/>
      <c r="AA505" s="64"/>
      <c r="AB505" s="64"/>
      <c r="AC505" s="64"/>
      <c r="AD505" s="64"/>
      <c r="AE505" s="64"/>
    </row>
    <row r="506" spans="1:31" ht="17.25" customHeight="1">
      <c r="A506" s="79"/>
      <c r="B506" s="64"/>
      <c r="C506" s="64"/>
      <c r="D506" s="64"/>
      <c r="E506" s="64"/>
      <c r="F506" s="64"/>
      <c r="G506" s="64"/>
      <c r="H506" s="87"/>
      <c r="I506" s="64"/>
      <c r="J506" s="64"/>
      <c r="K506" s="64"/>
      <c r="L506" s="64"/>
      <c r="M506" s="79"/>
      <c r="N506" s="64"/>
      <c r="O506" s="64"/>
      <c r="P506" s="64"/>
      <c r="Q506" s="64"/>
      <c r="R506" s="64"/>
      <c r="S506" s="64"/>
      <c r="T506" s="64"/>
      <c r="U506" s="78"/>
      <c r="V506" s="64"/>
      <c r="W506" s="79"/>
      <c r="X506" s="64"/>
      <c r="Y506" s="64"/>
      <c r="Z506" s="64"/>
      <c r="AA506" s="64"/>
      <c r="AB506" s="64"/>
      <c r="AC506" s="64"/>
      <c r="AD506" s="64"/>
      <c r="AE506" s="64"/>
    </row>
    <row r="507" spans="1:31" ht="17.25" customHeight="1">
      <c r="A507" s="79"/>
      <c r="B507" s="64"/>
      <c r="C507" s="64"/>
      <c r="D507" s="64"/>
      <c r="E507" s="64"/>
      <c r="F507" s="64"/>
      <c r="G507" s="64"/>
      <c r="H507" s="87"/>
      <c r="I507" s="64"/>
      <c r="J507" s="64"/>
      <c r="K507" s="64"/>
      <c r="L507" s="64"/>
      <c r="M507" s="79"/>
      <c r="N507" s="64"/>
      <c r="O507" s="64"/>
      <c r="P507" s="64"/>
      <c r="Q507" s="64"/>
      <c r="R507" s="64"/>
      <c r="S507" s="64"/>
      <c r="T507" s="64"/>
      <c r="U507" s="78"/>
      <c r="V507" s="64"/>
      <c r="W507" s="79"/>
      <c r="X507" s="64"/>
      <c r="Y507" s="64"/>
      <c r="Z507" s="64"/>
      <c r="AA507" s="64"/>
      <c r="AB507" s="64"/>
      <c r="AC507" s="64"/>
      <c r="AD507" s="64"/>
      <c r="AE507" s="64"/>
    </row>
    <row r="508" spans="1:31" ht="17.25" customHeight="1">
      <c r="A508" s="79"/>
      <c r="B508" s="64"/>
      <c r="C508" s="64"/>
      <c r="D508" s="64"/>
      <c r="E508" s="64"/>
      <c r="F508" s="64"/>
      <c r="G508" s="64"/>
      <c r="H508" s="87"/>
      <c r="I508" s="64"/>
      <c r="J508" s="64"/>
      <c r="K508" s="64"/>
      <c r="L508" s="64"/>
      <c r="M508" s="79"/>
      <c r="N508" s="64"/>
      <c r="O508" s="64"/>
      <c r="P508" s="64"/>
      <c r="Q508" s="64"/>
      <c r="R508" s="64"/>
      <c r="S508" s="64"/>
      <c r="T508" s="64"/>
      <c r="U508" s="78"/>
      <c r="V508" s="64"/>
      <c r="W508" s="79"/>
      <c r="X508" s="64"/>
      <c r="Y508" s="64"/>
      <c r="Z508" s="64"/>
      <c r="AA508" s="64"/>
      <c r="AB508" s="64"/>
      <c r="AC508" s="64"/>
      <c r="AD508" s="64"/>
      <c r="AE508" s="64"/>
    </row>
    <row r="509" spans="1:31" ht="17.25" customHeight="1">
      <c r="A509" s="79"/>
      <c r="B509" s="64"/>
      <c r="C509" s="64"/>
      <c r="D509" s="64"/>
      <c r="E509" s="64"/>
      <c r="F509" s="64"/>
      <c r="G509" s="64"/>
      <c r="H509" s="87"/>
      <c r="I509" s="64"/>
      <c r="J509" s="64"/>
      <c r="K509" s="64"/>
      <c r="L509" s="64"/>
      <c r="M509" s="79"/>
      <c r="N509" s="64"/>
      <c r="O509" s="64"/>
      <c r="P509" s="64"/>
      <c r="Q509" s="64"/>
      <c r="R509" s="64"/>
      <c r="S509" s="64"/>
      <c r="T509" s="64"/>
      <c r="U509" s="78"/>
      <c r="V509" s="64"/>
      <c r="W509" s="79"/>
      <c r="X509" s="64"/>
      <c r="Y509" s="64"/>
      <c r="Z509" s="64"/>
      <c r="AA509" s="64"/>
      <c r="AB509" s="64"/>
      <c r="AC509" s="64"/>
      <c r="AD509" s="64"/>
      <c r="AE509" s="64"/>
    </row>
    <row r="510" spans="1:31" ht="17.25" customHeight="1">
      <c r="A510" s="79"/>
      <c r="B510" s="64"/>
      <c r="C510" s="64"/>
      <c r="D510" s="64"/>
      <c r="E510" s="64"/>
      <c r="F510" s="64"/>
      <c r="G510" s="64"/>
      <c r="H510" s="87"/>
      <c r="I510" s="64"/>
      <c r="J510" s="64"/>
      <c r="K510" s="64"/>
      <c r="L510" s="64"/>
      <c r="M510" s="79"/>
      <c r="N510" s="64"/>
      <c r="O510" s="64"/>
      <c r="P510" s="64"/>
      <c r="Q510" s="64"/>
      <c r="R510" s="64"/>
      <c r="S510" s="64"/>
      <c r="T510" s="64"/>
      <c r="U510" s="78"/>
      <c r="V510" s="64"/>
      <c r="W510" s="79"/>
      <c r="X510" s="64"/>
      <c r="Y510" s="64"/>
      <c r="Z510" s="64"/>
      <c r="AA510" s="64"/>
      <c r="AB510" s="64"/>
      <c r="AC510" s="64"/>
      <c r="AD510" s="64"/>
      <c r="AE510" s="64"/>
    </row>
    <row r="511" spans="1:31" ht="17.25" customHeight="1">
      <c r="A511" s="79"/>
      <c r="B511" s="64"/>
      <c r="C511" s="64"/>
      <c r="D511" s="64"/>
      <c r="E511" s="64"/>
      <c r="F511" s="64"/>
      <c r="G511" s="64"/>
      <c r="H511" s="87"/>
      <c r="I511" s="64"/>
      <c r="J511" s="64"/>
      <c r="K511" s="64"/>
      <c r="L511" s="64"/>
      <c r="M511" s="79"/>
      <c r="N511" s="64"/>
      <c r="O511" s="64"/>
      <c r="P511" s="64"/>
      <c r="Q511" s="64"/>
      <c r="R511" s="64"/>
      <c r="S511" s="64"/>
      <c r="T511" s="64"/>
      <c r="U511" s="78"/>
      <c r="V511" s="64"/>
      <c r="W511" s="79"/>
      <c r="X511" s="64"/>
      <c r="Y511" s="64"/>
      <c r="Z511" s="64"/>
      <c r="AA511" s="64"/>
      <c r="AB511" s="64"/>
      <c r="AC511" s="64"/>
      <c r="AD511" s="64"/>
      <c r="AE511" s="64"/>
    </row>
    <row r="512" spans="1:31" ht="17.25" customHeight="1">
      <c r="A512" s="79"/>
      <c r="B512" s="64"/>
      <c r="C512" s="64"/>
      <c r="D512" s="64"/>
      <c r="E512" s="64"/>
      <c r="F512" s="64"/>
      <c r="G512" s="64"/>
      <c r="H512" s="87"/>
      <c r="I512" s="64"/>
      <c r="J512" s="64"/>
      <c r="K512" s="64"/>
      <c r="L512" s="64"/>
      <c r="M512" s="79"/>
      <c r="N512" s="64"/>
      <c r="O512" s="64"/>
      <c r="P512" s="64"/>
      <c r="Q512" s="64"/>
      <c r="R512" s="64"/>
      <c r="S512" s="64"/>
      <c r="T512" s="64"/>
      <c r="U512" s="78"/>
      <c r="V512" s="64"/>
      <c r="W512" s="79"/>
      <c r="X512" s="64"/>
      <c r="Y512" s="64"/>
      <c r="Z512" s="64"/>
      <c r="AA512" s="64"/>
      <c r="AB512" s="64"/>
      <c r="AC512" s="64"/>
      <c r="AD512" s="64"/>
      <c r="AE512" s="64"/>
    </row>
    <row r="513" spans="1:31" ht="17.25" customHeight="1">
      <c r="A513" s="79"/>
      <c r="B513" s="64"/>
      <c r="C513" s="64"/>
      <c r="D513" s="64"/>
      <c r="E513" s="64"/>
      <c r="F513" s="64"/>
      <c r="G513" s="64"/>
      <c r="H513" s="87"/>
      <c r="I513" s="64"/>
      <c r="J513" s="64"/>
      <c r="K513" s="64"/>
      <c r="L513" s="64"/>
      <c r="M513" s="79"/>
      <c r="N513" s="64"/>
      <c r="O513" s="64"/>
      <c r="P513" s="64"/>
      <c r="Q513" s="64"/>
      <c r="R513" s="64"/>
      <c r="S513" s="64"/>
      <c r="T513" s="64"/>
      <c r="U513" s="78"/>
      <c r="V513" s="64"/>
      <c r="W513" s="79"/>
      <c r="X513" s="64"/>
      <c r="Y513" s="64"/>
      <c r="Z513" s="64"/>
      <c r="AA513" s="64"/>
      <c r="AB513" s="64"/>
      <c r="AC513" s="64"/>
      <c r="AD513" s="64"/>
      <c r="AE513" s="64"/>
    </row>
    <row r="514" spans="1:31" ht="17.25" customHeight="1">
      <c r="A514" s="79"/>
      <c r="B514" s="64"/>
      <c r="C514" s="64"/>
      <c r="D514" s="64"/>
      <c r="E514" s="64"/>
      <c r="F514" s="64"/>
      <c r="G514" s="64"/>
      <c r="H514" s="87"/>
      <c r="I514" s="64"/>
      <c r="J514" s="64"/>
      <c r="K514" s="64"/>
      <c r="L514" s="64"/>
      <c r="M514" s="79"/>
      <c r="N514" s="64"/>
      <c r="O514" s="64"/>
      <c r="P514" s="64"/>
      <c r="Q514" s="64"/>
      <c r="R514" s="64"/>
      <c r="S514" s="64"/>
      <c r="T514" s="64"/>
      <c r="U514" s="78"/>
      <c r="V514" s="64"/>
      <c r="W514" s="79"/>
      <c r="X514" s="64"/>
      <c r="Y514" s="64"/>
      <c r="Z514" s="64"/>
      <c r="AA514" s="64"/>
      <c r="AB514" s="64"/>
      <c r="AC514" s="64"/>
      <c r="AD514" s="64"/>
      <c r="AE514" s="64"/>
    </row>
    <row r="515" spans="1:31" ht="17.25" customHeight="1">
      <c r="A515" s="79"/>
      <c r="B515" s="64"/>
      <c r="C515" s="64"/>
      <c r="D515" s="64"/>
      <c r="E515" s="64"/>
      <c r="F515" s="64"/>
      <c r="G515" s="64"/>
      <c r="H515" s="87"/>
      <c r="I515" s="64"/>
      <c r="J515" s="64"/>
      <c r="K515" s="64"/>
      <c r="L515" s="64"/>
      <c r="M515" s="79"/>
      <c r="N515" s="64"/>
      <c r="O515" s="64"/>
      <c r="P515" s="64"/>
      <c r="Q515" s="64"/>
      <c r="R515" s="64"/>
      <c r="S515" s="64"/>
      <c r="T515" s="64"/>
      <c r="U515" s="78"/>
      <c r="V515" s="64"/>
      <c r="W515" s="79"/>
      <c r="X515" s="64"/>
      <c r="Y515" s="64"/>
      <c r="Z515" s="64"/>
      <c r="AA515" s="64"/>
      <c r="AB515" s="64"/>
      <c r="AC515" s="64"/>
      <c r="AD515" s="64"/>
      <c r="AE515" s="64"/>
    </row>
    <row r="516" spans="1:31" ht="17.25" customHeight="1">
      <c r="A516" s="79"/>
      <c r="B516" s="64"/>
      <c r="C516" s="64"/>
      <c r="D516" s="64"/>
      <c r="E516" s="64"/>
      <c r="F516" s="64"/>
      <c r="G516" s="64"/>
      <c r="H516" s="87"/>
      <c r="I516" s="64"/>
      <c r="J516" s="64"/>
      <c r="K516" s="64"/>
      <c r="L516" s="64"/>
      <c r="M516" s="79"/>
      <c r="N516" s="64"/>
      <c r="O516" s="64"/>
      <c r="P516" s="64"/>
      <c r="Q516" s="64"/>
      <c r="R516" s="64"/>
      <c r="S516" s="64"/>
      <c r="T516" s="64"/>
      <c r="U516" s="78"/>
      <c r="V516" s="64"/>
      <c r="W516" s="79"/>
      <c r="X516" s="64"/>
      <c r="Y516" s="64"/>
      <c r="Z516" s="64"/>
      <c r="AA516" s="64"/>
      <c r="AB516" s="64"/>
      <c r="AC516" s="64"/>
      <c r="AD516" s="64"/>
      <c r="AE516" s="64"/>
    </row>
    <row r="517" spans="1:31" ht="17.25" customHeight="1">
      <c r="A517" s="79"/>
      <c r="B517" s="64"/>
      <c r="C517" s="64"/>
      <c r="D517" s="64"/>
      <c r="E517" s="64"/>
      <c r="F517" s="64"/>
      <c r="G517" s="64"/>
      <c r="H517" s="87"/>
      <c r="I517" s="64"/>
      <c r="J517" s="64"/>
      <c r="K517" s="64"/>
      <c r="L517" s="64"/>
      <c r="M517" s="79"/>
      <c r="N517" s="64"/>
      <c r="O517" s="64"/>
      <c r="P517" s="64"/>
      <c r="Q517" s="64"/>
      <c r="R517" s="64"/>
      <c r="S517" s="64"/>
      <c r="T517" s="64"/>
      <c r="U517" s="78"/>
      <c r="V517" s="64"/>
      <c r="W517" s="79"/>
      <c r="X517" s="64"/>
      <c r="Y517" s="64"/>
      <c r="Z517" s="64"/>
      <c r="AA517" s="64"/>
      <c r="AB517" s="64"/>
      <c r="AC517" s="64"/>
      <c r="AD517" s="64"/>
      <c r="AE517" s="64"/>
    </row>
    <row r="518" spans="1:31" ht="17.25" customHeight="1">
      <c r="A518" s="79"/>
      <c r="B518" s="64"/>
      <c r="C518" s="64"/>
      <c r="D518" s="64"/>
      <c r="E518" s="64"/>
      <c r="F518" s="64"/>
      <c r="G518" s="64"/>
      <c r="H518" s="87"/>
      <c r="I518" s="64"/>
      <c r="J518" s="64"/>
      <c r="K518" s="64"/>
      <c r="L518" s="64"/>
      <c r="M518" s="79"/>
      <c r="N518" s="64"/>
      <c r="O518" s="64"/>
      <c r="P518" s="64"/>
      <c r="Q518" s="64"/>
      <c r="R518" s="64"/>
      <c r="S518" s="64"/>
      <c r="T518" s="64"/>
      <c r="U518" s="78"/>
      <c r="V518" s="64"/>
      <c r="W518" s="79"/>
      <c r="X518" s="64"/>
      <c r="Y518" s="64"/>
      <c r="Z518" s="64"/>
      <c r="AA518" s="64"/>
      <c r="AB518" s="64"/>
      <c r="AC518" s="64"/>
      <c r="AD518" s="64"/>
      <c r="AE518" s="64"/>
    </row>
    <row r="519" spans="1:31" ht="17.25" customHeight="1">
      <c r="A519" s="79"/>
      <c r="B519" s="64"/>
      <c r="C519" s="64"/>
      <c r="D519" s="64"/>
      <c r="E519" s="64"/>
      <c r="F519" s="64"/>
      <c r="G519" s="64"/>
      <c r="H519" s="87"/>
      <c r="I519" s="64"/>
      <c r="J519" s="64"/>
      <c r="K519" s="64"/>
      <c r="L519" s="64"/>
      <c r="M519" s="79"/>
      <c r="N519" s="64"/>
      <c r="O519" s="64"/>
      <c r="P519" s="64"/>
      <c r="Q519" s="64"/>
      <c r="R519" s="64"/>
      <c r="S519" s="64"/>
      <c r="T519" s="64"/>
      <c r="U519" s="78"/>
      <c r="V519" s="64"/>
      <c r="W519" s="79"/>
      <c r="X519" s="64"/>
      <c r="Y519" s="64"/>
      <c r="Z519" s="64"/>
      <c r="AA519" s="64"/>
      <c r="AB519" s="64"/>
      <c r="AC519" s="64"/>
      <c r="AD519" s="64"/>
      <c r="AE519" s="64"/>
    </row>
    <row r="520" spans="1:31" ht="17.25" customHeight="1">
      <c r="A520" s="79"/>
      <c r="B520" s="64"/>
      <c r="C520" s="64"/>
      <c r="D520" s="64"/>
      <c r="E520" s="64"/>
      <c r="F520" s="64"/>
      <c r="G520" s="64"/>
      <c r="H520" s="87"/>
      <c r="I520" s="64"/>
      <c r="J520" s="64"/>
      <c r="K520" s="64"/>
      <c r="L520" s="64"/>
      <c r="M520" s="79"/>
      <c r="N520" s="64"/>
      <c r="O520" s="64"/>
      <c r="P520" s="64"/>
      <c r="Q520" s="64"/>
      <c r="R520" s="64"/>
      <c r="S520" s="64"/>
      <c r="T520" s="64"/>
      <c r="U520" s="78"/>
      <c r="V520" s="64"/>
      <c r="W520" s="79"/>
      <c r="X520" s="64"/>
      <c r="Y520" s="64"/>
      <c r="Z520" s="64"/>
      <c r="AA520" s="64"/>
      <c r="AB520" s="64"/>
      <c r="AC520" s="64"/>
      <c r="AD520" s="64"/>
      <c r="AE520" s="64"/>
    </row>
    <row r="521" spans="1:31" ht="17.25" customHeight="1">
      <c r="A521" s="79"/>
      <c r="B521" s="64"/>
      <c r="C521" s="64"/>
      <c r="D521" s="64"/>
      <c r="E521" s="64"/>
      <c r="F521" s="64"/>
      <c r="G521" s="64"/>
      <c r="H521" s="87"/>
      <c r="I521" s="64"/>
      <c r="J521" s="64"/>
      <c r="K521" s="64"/>
      <c r="L521" s="64"/>
      <c r="M521" s="79"/>
      <c r="N521" s="64"/>
      <c r="O521" s="64"/>
      <c r="P521" s="64"/>
      <c r="Q521" s="64"/>
      <c r="R521" s="64"/>
      <c r="S521" s="64"/>
      <c r="T521" s="64"/>
      <c r="U521" s="78"/>
      <c r="V521" s="64"/>
      <c r="W521" s="79"/>
      <c r="X521" s="64"/>
      <c r="Y521" s="64"/>
      <c r="Z521" s="64"/>
      <c r="AA521" s="64"/>
      <c r="AB521" s="64"/>
      <c r="AC521" s="64"/>
      <c r="AD521" s="64"/>
      <c r="AE521" s="64"/>
    </row>
    <row r="522" spans="1:31" ht="17.25" customHeight="1">
      <c r="A522" s="79"/>
      <c r="B522" s="64"/>
      <c r="C522" s="64"/>
      <c r="D522" s="64"/>
      <c r="E522" s="64"/>
      <c r="F522" s="64"/>
      <c r="G522" s="64"/>
      <c r="H522" s="87"/>
      <c r="I522" s="64"/>
      <c r="J522" s="64"/>
      <c r="K522" s="64"/>
      <c r="L522" s="64"/>
      <c r="M522" s="79"/>
      <c r="N522" s="64"/>
      <c r="O522" s="64"/>
      <c r="P522" s="64"/>
      <c r="Q522" s="64"/>
      <c r="R522" s="64"/>
      <c r="S522" s="64"/>
      <c r="T522" s="64"/>
      <c r="U522" s="78"/>
      <c r="V522" s="64"/>
      <c r="W522" s="79"/>
      <c r="X522" s="64"/>
      <c r="Y522" s="64"/>
      <c r="Z522" s="64"/>
      <c r="AA522" s="64"/>
      <c r="AB522" s="64"/>
      <c r="AC522" s="64"/>
      <c r="AD522" s="64"/>
      <c r="AE522" s="64"/>
    </row>
    <row r="523" spans="1:31" ht="17.25" customHeight="1">
      <c r="A523" s="79"/>
      <c r="B523" s="64"/>
      <c r="C523" s="64"/>
      <c r="D523" s="64"/>
      <c r="E523" s="64"/>
      <c r="F523" s="64"/>
      <c r="G523" s="64"/>
      <c r="H523" s="87"/>
      <c r="I523" s="64"/>
      <c r="J523" s="64"/>
      <c r="K523" s="64"/>
      <c r="L523" s="64"/>
      <c r="M523" s="79"/>
      <c r="N523" s="64"/>
      <c r="O523" s="64"/>
      <c r="P523" s="64"/>
      <c r="Q523" s="64"/>
      <c r="R523" s="64"/>
      <c r="S523" s="64"/>
      <c r="T523" s="64"/>
      <c r="U523" s="78"/>
      <c r="V523" s="64"/>
      <c r="W523" s="79"/>
      <c r="X523" s="64"/>
      <c r="Y523" s="64"/>
      <c r="Z523" s="64"/>
      <c r="AA523" s="64"/>
      <c r="AB523" s="64"/>
      <c r="AC523" s="64"/>
      <c r="AD523" s="64"/>
      <c r="AE523" s="64"/>
    </row>
    <row r="524" spans="1:31" ht="17.25" customHeight="1">
      <c r="A524" s="79"/>
      <c r="B524" s="64"/>
      <c r="C524" s="64"/>
      <c r="D524" s="64"/>
      <c r="E524" s="64"/>
      <c r="F524" s="64"/>
      <c r="G524" s="64"/>
      <c r="H524" s="87"/>
      <c r="I524" s="64"/>
      <c r="J524" s="64"/>
      <c r="K524" s="64"/>
      <c r="L524" s="64"/>
      <c r="M524" s="79"/>
      <c r="N524" s="64"/>
      <c r="O524" s="64"/>
      <c r="P524" s="64"/>
      <c r="Q524" s="64"/>
      <c r="R524" s="64"/>
      <c r="S524" s="64"/>
      <c r="T524" s="64"/>
      <c r="U524" s="78"/>
      <c r="V524" s="64"/>
      <c r="W524" s="79"/>
      <c r="X524" s="64"/>
      <c r="Y524" s="64"/>
      <c r="Z524" s="64"/>
      <c r="AA524" s="64"/>
      <c r="AB524" s="64"/>
      <c r="AC524" s="64"/>
      <c r="AD524" s="64"/>
      <c r="AE524" s="64"/>
    </row>
    <row r="525" spans="1:31" ht="17.25" customHeight="1">
      <c r="A525" s="79"/>
      <c r="B525" s="64"/>
      <c r="C525" s="64"/>
      <c r="D525" s="64"/>
      <c r="E525" s="64"/>
      <c r="F525" s="64"/>
      <c r="G525" s="64"/>
      <c r="H525" s="87"/>
      <c r="I525" s="64"/>
      <c r="J525" s="64"/>
      <c r="K525" s="64"/>
      <c r="L525" s="64"/>
      <c r="M525" s="79"/>
      <c r="N525" s="64"/>
      <c r="O525" s="64"/>
      <c r="P525" s="64"/>
      <c r="Q525" s="64"/>
      <c r="R525" s="64"/>
      <c r="S525" s="64"/>
      <c r="T525" s="64"/>
      <c r="U525" s="78"/>
      <c r="V525" s="64"/>
      <c r="W525" s="79"/>
      <c r="X525" s="64"/>
      <c r="Y525" s="64"/>
      <c r="Z525" s="64"/>
      <c r="AA525" s="64"/>
      <c r="AB525" s="64"/>
      <c r="AC525" s="64"/>
      <c r="AD525" s="64"/>
      <c r="AE525" s="64"/>
    </row>
    <row r="526" spans="1:31" ht="17.25" customHeight="1">
      <c r="A526" s="79"/>
      <c r="B526" s="64"/>
      <c r="C526" s="64"/>
      <c r="D526" s="64"/>
      <c r="E526" s="64"/>
      <c r="F526" s="64"/>
      <c r="G526" s="64"/>
      <c r="H526" s="87"/>
      <c r="I526" s="64"/>
      <c r="J526" s="64"/>
      <c r="K526" s="64"/>
      <c r="L526" s="64"/>
      <c r="M526" s="79"/>
      <c r="N526" s="64"/>
      <c r="O526" s="64"/>
      <c r="P526" s="64"/>
      <c r="Q526" s="64"/>
      <c r="R526" s="64"/>
      <c r="S526" s="64"/>
      <c r="T526" s="64"/>
      <c r="U526" s="78"/>
      <c r="V526" s="64"/>
      <c r="W526" s="79"/>
      <c r="X526" s="64"/>
      <c r="Y526" s="64"/>
      <c r="Z526" s="64"/>
      <c r="AA526" s="64"/>
      <c r="AB526" s="64"/>
      <c r="AC526" s="64"/>
      <c r="AD526" s="64"/>
      <c r="AE526" s="64"/>
    </row>
    <row r="527" spans="1:31" ht="17.25" customHeight="1">
      <c r="A527" s="79"/>
      <c r="B527" s="64"/>
      <c r="C527" s="64"/>
      <c r="D527" s="64"/>
      <c r="E527" s="64"/>
      <c r="F527" s="64"/>
      <c r="G527" s="64"/>
      <c r="H527" s="87"/>
      <c r="I527" s="64"/>
      <c r="J527" s="64"/>
      <c r="K527" s="64"/>
      <c r="L527" s="64"/>
      <c r="M527" s="79"/>
      <c r="N527" s="64"/>
      <c r="O527" s="64"/>
      <c r="P527" s="64"/>
      <c r="Q527" s="64"/>
      <c r="R527" s="64"/>
      <c r="S527" s="64"/>
      <c r="T527" s="64"/>
      <c r="U527" s="78"/>
      <c r="V527" s="64"/>
      <c r="W527" s="79"/>
      <c r="X527" s="64"/>
      <c r="Y527" s="64"/>
      <c r="Z527" s="64"/>
      <c r="AA527" s="64"/>
      <c r="AB527" s="64"/>
      <c r="AC527" s="64"/>
      <c r="AD527" s="64"/>
      <c r="AE527" s="64"/>
    </row>
    <row r="528" spans="1:31" ht="17.25" customHeight="1">
      <c r="A528" s="79"/>
      <c r="B528" s="64"/>
      <c r="C528" s="64"/>
      <c r="D528" s="64"/>
      <c r="E528" s="64"/>
      <c r="F528" s="64"/>
      <c r="G528" s="64"/>
      <c r="H528" s="87"/>
      <c r="I528" s="64"/>
      <c r="J528" s="64"/>
      <c r="K528" s="64"/>
      <c r="L528" s="64"/>
      <c r="M528" s="79"/>
      <c r="N528" s="64"/>
      <c r="O528" s="64"/>
      <c r="P528" s="64"/>
      <c r="Q528" s="64"/>
      <c r="R528" s="64"/>
      <c r="S528" s="64"/>
      <c r="T528" s="64"/>
      <c r="U528" s="78"/>
      <c r="V528" s="64"/>
      <c r="W528" s="79"/>
      <c r="X528" s="64"/>
      <c r="Y528" s="64"/>
      <c r="Z528" s="64"/>
      <c r="AA528" s="64"/>
      <c r="AB528" s="64"/>
      <c r="AC528" s="64"/>
      <c r="AD528" s="64"/>
      <c r="AE528" s="64"/>
    </row>
    <row r="529" spans="1:31" ht="17.25" customHeight="1">
      <c r="A529" s="79"/>
      <c r="B529" s="64"/>
      <c r="C529" s="64"/>
      <c r="D529" s="64"/>
      <c r="E529" s="64"/>
      <c r="F529" s="64"/>
      <c r="G529" s="64"/>
      <c r="H529" s="87"/>
      <c r="I529" s="64"/>
      <c r="J529" s="64"/>
      <c r="K529" s="64"/>
      <c r="L529" s="64"/>
      <c r="M529" s="79"/>
      <c r="N529" s="64"/>
      <c r="O529" s="64"/>
      <c r="P529" s="64"/>
      <c r="Q529" s="64"/>
      <c r="R529" s="64"/>
      <c r="S529" s="64"/>
      <c r="T529" s="64"/>
      <c r="U529" s="78"/>
      <c r="V529" s="64"/>
      <c r="W529" s="79"/>
      <c r="X529" s="64"/>
      <c r="Y529" s="64"/>
      <c r="Z529" s="64"/>
      <c r="AA529" s="64"/>
      <c r="AB529" s="64"/>
      <c r="AC529" s="64"/>
      <c r="AD529" s="64"/>
      <c r="AE529" s="64"/>
    </row>
    <row r="530" spans="1:31" ht="17.25" customHeight="1">
      <c r="A530" s="79"/>
      <c r="B530" s="64"/>
      <c r="C530" s="64"/>
      <c r="D530" s="64"/>
      <c r="E530" s="64"/>
      <c r="F530" s="64"/>
      <c r="G530" s="64"/>
      <c r="H530" s="87"/>
      <c r="I530" s="64"/>
      <c r="J530" s="64"/>
      <c r="K530" s="64"/>
      <c r="L530" s="64"/>
      <c r="M530" s="79"/>
      <c r="N530" s="64"/>
      <c r="O530" s="64"/>
      <c r="P530" s="64"/>
      <c r="Q530" s="64"/>
      <c r="R530" s="64"/>
      <c r="S530" s="64"/>
      <c r="T530" s="64"/>
      <c r="U530" s="78"/>
      <c r="V530" s="64"/>
      <c r="W530" s="79"/>
      <c r="X530" s="64"/>
      <c r="Y530" s="64"/>
      <c r="Z530" s="64"/>
      <c r="AA530" s="64"/>
      <c r="AB530" s="64"/>
      <c r="AC530" s="64"/>
      <c r="AD530" s="64"/>
      <c r="AE530" s="64"/>
    </row>
    <row r="531" spans="1:31" ht="17.25" customHeight="1">
      <c r="A531" s="79"/>
      <c r="B531" s="64"/>
      <c r="C531" s="64"/>
      <c r="D531" s="64"/>
      <c r="E531" s="64"/>
      <c r="F531" s="64"/>
      <c r="G531" s="64"/>
      <c r="H531" s="87"/>
      <c r="I531" s="64"/>
      <c r="J531" s="64"/>
      <c r="K531" s="64"/>
      <c r="L531" s="64"/>
      <c r="M531" s="79"/>
      <c r="N531" s="64"/>
      <c r="O531" s="64"/>
      <c r="P531" s="64"/>
      <c r="Q531" s="64"/>
      <c r="R531" s="64"/>
      <c r="S531" s="64"/>
      <c r="T531" s="64"/>
      <c r="U531" s="78"/>
      <c r="V531" s="64"/>
      <c r="W531" s="79"/>
      <c r="X531" s="64"/>
      <c r="Y531" s="64"/>
      <c r="Z531" s="64"/>
      <c r="AA531" s="64"/>
      <c r="AB531" s="64"/>
      <c r="AC531" s="64"/>
      <c r="AD531" s="64"/>
      <c r="AE531" s="64"/>
    </row>
    <row r="532" spans="1:31" ht="17.25" customHeight="1">
      <c r="A532" s="79"/>
      <c r="B532" s="64"/>
      <c r="C532" s="64"/>
      <c r="D532" s="64"/>
      <c r="E532" s="64"/>
      <c r="F532" s="64"/>
      <c r="G532" s="64"/>
      <c r="H532" s="87"/>
      <c r="I532" s="64"/>
      <c r="J532" s="64"/>
      <c r="K532" s="64"/>
      <c r="L532" s="64"/>
      <c r="M532" s="79"/>
      <c r="N532" s="64"/>
      <c r="O532" s="64"/>
      <c r="P532" s="64"/>
      <c r="Q532" s="64"/>
      <c r="R532" s="64"/>
      <c r="S532" s="64"/>
      <c r="T532" s="64"/>
      <c r="U532" s="78"/>
      <c r="V532" s="64"/>
      <c r="W532" s="79"/>
      <c r="X532" s="64"/>
      <c r="Y532" s="64"/>
      <c r="Z532" s="64"/>
      <c r="AA532" s="64"/>
      <c r="AB532" s="64"/>
      <c r="AC532" s="64"/>
      <c r="AD532" s="64"/>
      <c r="AE532" s="64"/>
    </row>
    <row r="533" spans="1:31" ht="17.25" customHeight="1">
      <c r="A533" s="79"/>
      <c r="B533" s="64"/>
      <c r="C533" s="64"/>
      <c r="D533" s="64"/>
      <c r="E533" s="64"/>
      <c r="F533" s="64"/>
      <c r="G533" s="64"/>
      <c r="H533" s="87"/>
      <c r="I533" s="64"/>
      <c r="J533" s="64"/>
      <c r="K533" s="64"/>
      <c r="L533" s="64"/>
      <c r="M533" s="79"/>
      <c r="N533" s="64"/>
      <c r="O533" s="64"/>
      <c r="P533" s="64"/>
      <c r="Q533" s="64"/>
      <c r="R533" s="64"/>
      <c r="S533" s="64"/>
      <c r="T533" s="64"/>
      <c r="U533" s="78"/>
      <c r="V533" s="64"/>
      <c r="W533" s="79"/>
      <c r="X533" s="64"/>
      <c r="Y533" s="64"/>
      <c r="Z533" s="64"/>
      <c r="AA533" s="64"/>
      <c r="AB533" s="64"/>
      <c r="AC533" s="64"/>
      <c r="AD533" s="64"/>
      <c r="AE533" s="64"/>
    </row>
    <row r="534" spans="1:31" ht="17.25" customHeight="1">
      <c r="A534" s="79"/>
      <c r="B534" s="64"/>
      <c r="C534" s="64"/>
      <c r="D534" s="64"/>
      <c r="E534" s="64"/>
      <c r="F534" s="64"/>
      <c r="G534" s="64"/>
      <c r="H534" s="87"/>
      <c r="I534" s="64"/>
      <c r="J534" s="64"/>
      <c r="K534" s="64"/>
      <c r="L534" s="64"/>
      <c r="M534" s="79"/>
      <c r="N534" s="64"/>
      <c r="O534" s="64"/>
      <c r="P534" s="64"/>
      <c r="Q534" s="64"/>
      <c r="R534" s="64"/>
      <c r="S534" s="64"/>
      <c r="T534" s="64"/>
      <c r="U534" s="78"/>
      <c r="V534" s="64"/>
      <c r="W534" s="79"/>
      <c r="X534" s="64"/>
      <c r="Y534" s="64"/>
      <c r="Z534" s="64"/>
      <c r="AA534" s="64"/>
      <c r="AB534" s="64"/>
      <c r="AC534" s="64"/>
      <c r="AD534" s="64"/>
      <c r="AE534" s="64"/>
    </row>
    <row r="535" spans="1:31" ht="17.25" customHeight="1">
      <c r="A535" s="79"/>
      <c r="B535" s="64"/>
      <c r="C535" s="64"/>
      <c r="D535" s="64"/>
      <c r="E535" s="64"/>
      <c r="F535" s="64"/>
      <c r="G535" s="64"/>
      <c r="H535" s="87"/>
      <c r="I535" s="64"/>
      <c r="J535" s="64"/>
      <c r="K535" s="64"/>
      <c r="L535" s="64"/>
      <c r="M535" s="79"/>
      <c r="N535" s="64"/>
      <c r="O535" s="64"/>
      <c r="P535" s="64"/>
      <c r="Q535" s="64"/>
      <c r="R535" s="64"/>
      <c r="S535" s="64"/>
      <c r="T535" s="64"/>
      <c r="U535" s="78"/>
      <c r="V535" s="64"/>
      <c r="W535" s="79"/>
      <c r="X535" s="64"/>
      <c r="Y535" s="64"/>
      <c r="Z535" s="64"/>
      <c r="AA535" s="64"/>
      <c r="AB535" s="64"/>
      <c r="AC535" s="64"/>
      <c r="AD535" s="64"/>
      <c r="AE535" s="64"/>
    </row>
    <row r="536" spans="1:31" ht="17.25" customHeight="1">
      <c r="A536" s="79"/>
      <c r="B536" s="64"/>
      <c r="C536" s="64"/>
      <c r="D536" s="64"/>
      <c r="E536" s="64"/>
      <c r="F536" s="64"/>
      <c r="G536" s="64"/>
      <c r="H536" s="87"/>
      <c r="I536" s="64"/>
      <c r="J536" s="64"/>
      <c r="K536" s="64"/>
      <c r="L536" s="64"/>
      <c r="M536" s="79"/>
      <c r="N536" s="64"/>
      <c r="O536" s="64"/>
      <c r="P536" s="64"/>
      <c r="Q536" s="64"/>
      <c r="R536" s="64"/>
      <c r="S536" s="64"/>
      <c r="T536" s="64"/>
      <c r="U536" s="78"/>
      <c r="V536" s="64"/>
      <c r="W536" s="79"/>
      <c r="X536" s="64"/>
      <c r="Y536" s="64"/>
      <c r="Z536" s="64"/>
      <c r="AA536" s="64"/>
      <c r="AB536" s="64"/>
      <c r="AC536" s="64"/>
      <c r="AD536" s="64"/>
      <c r="AE536" s="64"/>
    </row>
    <row r="537" spans="1:31" ht="17.25" customHeight="1">
      <c r="A537" s="79"/>
      <c r="B537" s="64"/>
      <c r="C537" s="64"/>
      <c r="D537" s="64"/>
      <c r="E537" s="64"/>
      <c r="F537" s="64"/>
      <c r="G537" s="64"/>
      <c r="H537" s="87"/>
      <c r="I537" s="64"/>
      <c r="J537" s="64"/>
      <c r="K537" s="64"/>
      <c r="L537" s="64"/>
      <c r="M537" s="79"/>
      <c r="N537" s="64"/>
      <c r="O537" s="64"/>
      <c r="P537" s="64"/>
      <c r="Q537" s="64"/>
      <c r="R537" s="64"/>
      <c r="S537" s="64"/>
      <c r="T537" s="64"/>
      <c r="U537" s="78"/>
      <c r="V537" s="64"/>
      <c r="W537" s="79"/>
      <c r="X537" s="64"/>
      <c r="Y537" s="64"/>
      <c r="Z537" s="64"/>
      <c r="AA537" s="64"/>
      <c r="AB537" s="64"/>
      <c r="AC537" s="64"/>
      <c r="AD537" s="64"/>
      <c r="AE537" s="64"/>
    </row>
    <row r="538" spans="1:31" ht="17.25" customHeight="1">
      <c r="A538" s="79"/>
      <c r="B538" s="64"/>
      <c r="C538" s="64"/>
      <c r="D538" s="64"/>
      <c r="E538" s="64"/>
      <c r="F538" s="64"/>
      <c r="G538" s="64"/>
      <c r="H538" s="87"/>
      <c r="I538" s="64"/>
      <c r="J538" s="64"/>
      <c r="K538" s="64"/>
      <c r="L538" s="64"/>
      <c r="M538" s="79"/>
      <c r="N538" s="64"/>
      <c r="O538" s="64"/>
      <c r="P538" s="64"/>
      <c r="Q538" s="64"/>
      <c r="R538" s="64"/>
      <c r="S538" s="64"/>
      <c r="T538" s="64"/>
      <c r="U538" s="78"/>
      <c r="V538" s="64"/>
      <c r="W538" s="79"/>
      <c r="X538" s="64"/>
      <c r="Y538" s="64"/>
      <c r="Z538" s="64"/>
      <c r="AA538" s="64"/>
      <c r="AB538" s="64"/>
      <c r="AC538" s="64"/>
      <c r="AD538" s="64"/>
      <c r="AE538" s="64"/>
    </row>
    <row r="539" spans="1:31" ht="17.25" customHeight="1">
      <c r="A539" s="79"/>
      <c r="B539" s="64"/>
      <c r="C539" s="64"/>
      <c r="D539" s="64"/>
      <c r="E539" s="64"/>
      <c r="F539" s="64"/>
      <c r="G539" s="64"/>
      <c r="H539" s="87"/>
      <c r="I539" s="64"/>
      <c r="J539" s="64"/>
      <c r="K539" s="64"/>
      <c r="L539" s="64"/>
      <c r="M539" s="79"/>
      <c r="N539" s="64"/>
      <c r="O539" s="64"/>
      <c r="P539" s="64"/>
      <c r="Q539" s="64"/>
      <c r="R539" s="64"/>
      <c r="S539" s="64"/>
      <c r="T539" s="64"/>
      <c r="U539" s="78"/>
      <c r="V539" s="64"/>
      <c r="W539" s="79"/>
      <c r="X539" s="64"/>
      <c r="Y539" s="64"/>
      <c r="Z539" s="64"/>
      <c r="AA539" s="64"/>
      <c r="AB539" s="64"/>
      <c r="AC539" s="64"/>
      <c r="AD539" s="64"/>
      <c r="AE539" s="64"/>
    </row>
    <row r="540" spans="1:31" ht="17.25" customHeight="1">
      <c r="A540" s="79"/>
      <c r="B540" s="64"/>
      <c r="C540" s="64"/>
      <c r="D540" s="64"/>
      <c r="E540" s="64"/>
      <c r="F540" s="64"/>
      <c r="G540" s="64"/>
      <c r="H540" s="87"/>
      <c r="I540" s="64"/>
      <c r="J540" s="64"/>
      <c r="K540" s="64"/>
      <c r="L540" s="64"/>
      <c r="M540" s="79"/>
      <c r="N540" s="64"/>
      <c r="O540" s="64"/>
      <c r="P540" s="64"/>
      <c r="Q540" s="64"/>
      <c r="R540" s="64"/>
      <c r="S540" s="64"/>
      <c r="T540" s="64"/>
      <c r="U540" s="78"/>
      <c r="V540" s="64"/>
      <c r="W540" s="79"/>
      <c r="X540" s="64"/>
      <c r="Y540" s="64"/>
      <c r="Z540" s="64"/>
      <c r="AA540" s="64"/>
      <c r="AB540" s="64"/>
      <c r="AC540" s="64"/>
      <c r="AD540" s="64"/>
      <c r="AE540" s="64"/>
    </row>
    <row r="541" spans="1:31" ht="17.25" customHeight="1">
      <c r="A541" s="79"/>
      <c r="B541" s="64"/>
      <c r="C541" s="64"/>
      <c r="D541" s="64"/>
      <c r="E541" s="64"/>
      <c r="F541" s="64"/>
      <c r="G541" s="64"/>
      <c r="H541" s="87"/>
      <c r="I541" s="64"/>
      <c r="J541" s="64"/>
      <c r="K541" s="64"/>
      <c r="L541" s="64"/>
      <c r="M541" s="79"/>
      <c r="N541" s="64"/>
      <c r="O541" s="64"/>
      <c r="P541" s="64"/>
      <c r="Q541" s="64"/>
      <c r="R541" s="64"/>
      <c r="S541" s="64"/>
      <c r="T541" s="64"/>
      <c r="U541" s="78"/>
      <c r="V541" s="64"/>
      <c r="W541" s="79"/>
      <c r="X541" s="64"/>
      <c r="Y541" s="64"/>
      <c r="Z541" s="64"/>
      <c r="AA541" s="64"/>
      <c r="AB541" s="64"/>
      <c r="AC541" s="64"/>
      <c r="AD541" s="64"/>
      <c r="AE541" s="64"/>
    </row>
    <row r="542" spans="1:31" ht="17.25" customHeight="1">
      <c r="A542" s="79"/>
      <c r="B542" s="64"/>
      <c r="C542" s="64"/>
      <c r="D542" s="64"/>
      <c r="E542" s="64"/>
      <c r="F542" s="64"/>
      <c r="G542" s="64"/>
      <c r="H542" s="87"/>
      <c r="I542" s="64"/>
      <c r="J542" s="64"/>
      <c r="K542" s="64"/>
      <c r="L542" s="64"/>
      <c r="M542" s="79"/>
      <c r="N542" s="64"/>
      <c r="O542" s="64"/>
      <c r="P542" s="64"/>
      <c r="Q542" s="64"/>
      <c r="R542" s="64"/>
      <c r="S542" s="64"/>
      <c r="T542" s="64"/>
      <c r="U542" s="78"/>
      <c r="V542" s="64"/>
      <c r="W542" s="79"/>
      <c r="X542" s="64"/>
      <c r="Y542" s="64"/>
      <c r="Z542" s="64"/>
      <c r="AA542" s="64"/>
      <c r="AB542" s="64"/>
      <c r="AC542" s="64"/>
      <c r="AD542" s="64"/>
      <c r="AE542" s="64"/>
    </row>
    <row r="543" spans="1:31" ht="17.25" customHeight="1">
      <c r="A543" s="79"/>
      <c r="B543" s="64"/>
      <c r="C543" s="64"/>
      <c r="D543" s="64"/>
      <c r="E543" s="64"/>
      <c r="F543" s="64"/>
      <c r="G543" s="64"/>
      <c r="H543" s="87"/>
      <c r="I543" s="64"/>
      <c r="J543" s="64"/>
      <c r="K543" s="64"/>
      <c r="L543" s="64"/>
      <c r="M543" s="79"/>
      <c r="N543" s="64"/>
      <c r="O543" s="64"/>
      <c r="P543" s="64"/>
      <c r="Q543" s="64"/>
      <c r="R543" s="64"/>
      <c r="S543" s="64"/>
      <c r="T543" s="64"/>
      <c r="U543" s="78"/>
      <c r="V543" s="64"/>
      <c r="W543" s="79"/>
      <c r="X543" s="64"/>
      <c r="Y543" s="64"/>
      <c r="Z543" s="64"/>
      <c r="AA543" s="64"/>
      <c r="AB543" s="64"/>
      <c r="AC543" s="64"/>
      <c r="AD543" s="64"/>
      <c r="AE543" s="64"/>
    </row>
    <row r="544" spans="1:31" ht="17.25" customHeight="1">
      <c r="A544" s="79"/>
      <c r="B544" s="64"/>
      <c r="C544" s="64"/>
      <c r="D544" s="64"/>
      <c r="E544" s="64"/>
      <c r="F544" s="64"/>
      <c r="G544" s="64"/>
      <c r="H544" s="87"/>
      <c r="I544" s="64"/>
      <c r="J544" s="64"/>
      <c r="K544" s="64"/>
      <c r="L544" s="64"/>
      <c r="M544" s="79"/>
      <c r="N544" s="64"/>
      <c r="O544" s="64"/>
      <c r="P544" s="64"/>
      <c r="Q544" s="64"/>
      <c r="R544" s="64"/>
      <c r="S544" s="64"/>
      <c r="T544" s="64"/>
      <c r="U544" s="78"/>
      <c r="V544" s="64"/>
      <c r="W544" s="79"/>
      <c r="X544" s="64"/>
      <c r="Y544" s="64"/>
      <c r="Z544" s="64"/>
      <c r="AA544" s="64"/>
      <c r="AB544" s="64"/>
      <c r="AC544" s="64"/>
      <c r="AD544" s="64"/>
      <c r="AE544" s="64"/>
    </row>
    <row r="545" spans="1:31" ht="17.25" customHeight="1">
      <c r="A545" s="79"/>
      <c r="B545" s="64"/>
      <c r="C545" s="64"/>
      <c r="D545" s="64"/>
      <c r="E545" s="64"/>
      <c r="F545" s="64"/>
      <c r="G545" s="64"/>
      <c r="H545" s="87"/>
      <c r="I545" s="64"/>
      <c r="J545" s="64"/>
      <c r="K545" s="64"/>
      <c r="L545" s="64"/>
      <c r="M545" s="79"/>
      <c r="N545" s="64"/>
      <c r="O545" s="64"/>
      <c r="P545" s="64"/>
      <c r="Q545" s="64"/>
      <c r="R545" s="64"/>
      <c r="S545" s="64"/>
      <c r="T545" s="64"/>
      <c r="U545" s="78"/>
      <c r="V545" s="64"/>
      <c r="W545" s="79"/>
      <c r="X545" s="64"/>
      <c r="Y545" s="64"/>
      <c r="Z545" s="64"/>
      <c r="AA545" s="64"/>
      <c r="AB545" s="64"/>
      <c r="AC545" s="64"/>
      <c r="AD545" s="64"/>
      <c r="AE545" s="64"/>
    </row>
    <row r="546" spans="1:31" ht="17.25" customHeight="1">
      <c r="A546" s="79"/>
      <c r="B546" s="64"/>
      <c r="C546" s="64"/>
      <c r="D546" s="64"/>
      <c r="E546" s="64"/>
      <c r="F546" s="64"/>
      <c r="G546" s="64"/>
      <c r="H546" s="87"/>
      <c r="I546" s="64"/>
      <c r="J546" s="64"/>
      <c r="K546" s="64"/>
      <c r="L546" s="64"/>
      <c r="M546" s="79"/>
      <c r="N546" s="64"/>
      <c r="O546" s="64"/>
      <c r="P546" s="64"/>
      <c r="Q546" s="64"/>
      <c r="R546" s="64"/>
      <c r="S546" s="64"/>
      <c r="T546" s="64"/>
      <c r="U546" s="78"/>
      <c r="V546" s="64"/>
      <c r="W546" s="79"/>
      <c r="X546" s="64"/>
      <c r="Y546" s="64"/>
      <c r="Z546" s="64"/>
      <c r="AA546" s="64"/>
      <c r="AB546" s="64"/>
      <c r="AC546" s="64"/>
      <c r="AD546" s="64"/>
      <c r="AE546" s="64"/>
    </row>
    <row r="547" spans="1:31" ht="17.25" customHeight="1">
      <c r="A547" s="79"/>
      <c r="B547" s="64"/>
      <c r="C547" s="64"/>
      <c r="D547" s="64"/>
      <c r="E547" s="64"/>
      <c r="F547" s="64"/>
      <c r="G547" s="64"/>
      <c r="H547" s="87"/>
      <c r="I547" s="64"/>
      <c r="J547" s="64"/>
      <c r="K547" s="64"/>
      <c r="L547" s="64"/>
      <c r="M547" s="79"/>
      <c r="N547" s="64"/>
      <c r="O547" s="64"/>
      <c r="P547" s="64"/>
      <c r="Q547" s="64"/>
      <c r="R547" s="64"/>
      <c r="S547" s="64"/>
      <c r="T547" s="64"/>
      <c r="U547" s="78"/>
      <c r="V547" s="64"/>
      <c r="W547" s="79"/>
      <c r="X547" s="64"/>
      <c r="Y547" s="64"/>
      <c r="Z547" s="64"/>
      <c r="AA547" s="64"/>
      <c r="AB547" s="64"/>
      <c r="AC547" s="64"/>
      <c r="AD547" s="64"/>
      <c r="AE547" s="64"/>
    </row>
    <row r="548" spans="1:31" ht="17.25" customHeight="1">
      <c r="A548" s="79"/>
      <c r="B548" s="64"/>
      <c r="C548" s="64"/>
      <c r="D548" s="64"/>
      <c r="E548" s="64"/>
      <c r="F548" s="64"/>
      <c r="G548" s="64"/>
      <c r="H548" s="87"/>
      <c r="I548" s="64"/>
      <c r="J548" s="64"/>
      <c r="K548" s="64"/>
      <c r="L548" s="64"/>
      <c r="M548" s="79"/>
      <c r="N548" s="64"/>
      <c r="O548" s="64"/>
      <c r="P548" s="64"/>
      <c r="Q548" s="64"/>
      <c r="R548" s="64"/>
      <c r="S548" s="64"/>
      <c r="T548" s="64"/>
      <c r="U548" s="78"/>
      <c r="V548" s="64"/>
      <c r="W548" s="79"/>
      <c r="X548" s="64"/>
      <c r="Y548" s="64"/>
      <c r="Z548" s="64"/>
      <c r="AA548" s="64"/>
      <c r="AB548" s="64"/>
      <c r="AC548" s="64"/>
      <c r="AD548" s="64"/>
      <c r="AE548" s="64"/>
    </row>
    <row r="549" spans="1:31" ht="17.25" customHeight="1">
      <c r="A549" s="79"/>
      <c r="B549" s="64"/>
      <c r="C549" s="64"/>
      <c r="D549" s="64"/>
      <c r="E549" s="64"/>
      <c r="F549" s="64"/>
      <c r="G549" s="64"/>
      <c r="H549" s="87"/>
      <c r="I549" s="64"/>
      <c r="J549" s="64"/>
      <c r="K549" s="64"/>
      <c r="L549" s="64"/>
      <c r="M549" s="79"/>
      <c r="N549" s="64"/>
      <c r="O549" s="64"/>
      <c r="P549" s="64"/>
      <c r="Q549" s="64"/>
      <c r="R549" s="64"/>
      <c r="S549" s="64"/>
      <c r="T549" s="64"/>
      <c r="U549" s="78"/>
      <c r="V549" s="64"/>
      <c r="W549" s="79"/>
      <c r="X549" s="64"/>
      <c r="Y549" s="64"/>
      <c r="Z549" s="64"/>
      <c r="AA549" s="64"/>
      <c r="AB549" s="64"/>
      <c r="AC549" s="64"/>
      <c r="AD549" s="64"/>
      <c r="AE549" s="64"/>
    </row>
    <row r="550" spans="1:31" ht="17.25" customHeight="1">
      <c r="A550" s="79"/>
      <c r="B550" s="64"/>
      <c r="C550" s="64"/>
      <c r="D550" s="64"/>
      <c r="E550" s="64"/>
      <c r="F550" s="64"/>
      <c r="G550" s="64"/>
      <c r="H550" s="87"/>
      <c r="I550" s="64"/>
      <c r="J550" s="64"/>
      <c r="K550" s="64"/>
      <c r="L550" s="64"/>
      <c r="M550" s="79"/>
      <c r="N550" s="64"/>
      <c r="O550" s="64"/>
      <c r="P550" s="64"/>
      <c r="Q550" s="64"/>
      <c r="R550" s="64"/>
      <c r="S550" s="64"/>
      <c r="T550" s="64"/>
      <c r="U550" s="78"/>
      <c r="V550" s="64"/>
      <c r="W550" s="79"/>
      <c r="X550" s="64"/>
      <c r="Y550" s="64"/>
      <c r="Z550" s="64"/>
      <c r="AA550" s="64"/>
      <c r="AB550" s="64"/>
      <c r="AC550" s="64"/>
      <c r="AD550" s="64"/>
      <c r="AE550" s="64"/>
    </row>
    <row r="551" spans="1:31" ht="17.25" customHeight="1">
      <c r="A551" s="79"/>
      <c r="B551" s="64"/>
      <c r="C551" s="64"/>
      <c r="D551" s="64"/>
      <c r="E551" s="64"/>
      <c r="F551" s="64"/>
      <c r="G551" s="64"/>
      <c r="H551" s="87"/>
      <c r="I551" s="64"/>
      <c r="J551" s="64"/>
      <c r="K551" s="64"/>
      <c r="L551" s="64"/>
      <c r="M551" s="79"/>
      <c r="N551" s="64"/>
      <c r="O551" s="64"/>
      <c r="P551" s="64"/>
      <c r="Q551" s="64"/>
      <c r="R551" s="64"/>
      <c r="S551" s="64"/>
      <c r="T551" s="64"/>
      <c r="U551" s="78"/>
      <c r="V551" s="64"/>
      <c r="W551" s="79"/>
      <c r="X551" s="64"/>
      <c r="Y551" s="64"/>
      <c r="Z551" s="64"/>
      <c r="AA551" s="64"/>
      <c r="AB551" s="64"/>
      <c r="AC551" s="64"/>
      <c r="AD551" s="64"/>
      <c r="AE551" s="64"/>
    </row>
    <row r="552" spans="1:31" ht="17.25" customHeight="1">
      <c r="A552" s="79"/>
      <c r="B552" s="64"/>
      <c r="C552" s="64"/>
      <c r="D552" s="64"/>
      <c r="E552" s="64"/>
      <c r="F552" s="64"/>
      <c r="G552" s="64"/>
      <c r="H552" s="87"/>
      <c r="I552" s="64"/>
      <c r="J552" s="64"/>
      <c r="K552" s="64"/>
      <c r="L552" s="64"/>
      <c r="M552" s="79"/>
      <c r="N552" s="64"/>
      <c r="O552" s="64"/>
      <c r="P552" s="64"/>
      <c r="Q552" s="64"/>
      <c r="R552" s="64"/>
      <c r="S552" s="64"/>
      <c r="T552" s="64"/>
      <c r="U552" s="78"/>
      <c r="V552" s="64"/>
      <c r="W552" s="79"/>
      <c r="X552" s="64"/>
      <c r="Y552" s="64"/>
      <c r="Z552" s="64"/>
      <c r="AA552" s="64"/>
      <c r="AB552" s="64"/>
      <c r="AC552" s="64"/>
      <c r="AD552" s="64"/>
      <c r="AE552" s="64"/>
    </row>
    <row r="553" spans="1:31" ht="17.25" customHeight="1">
      <c r="A553" s="79"/>
      <c r="B553" s="64"/>
      <c r="C553" s="64"/>
      <c r="D553" s="64"/>
      <c r="E553" s="64"/>
      <c r="F553" s="64"/>
      <c r="G553" s="64"/>
      <c r="H553" s="87"/>
      <c r="I553" s="64"/>
      <c r="J553" s="64"/>
      <c r="K553" s="64"/>
      <c r="L553" s="64"/>
      <c r="M553" s="79"/>
      <c r="N553" s="64"/>
      <c r="O553" s="64"/>
      <c r="P553" s="64"/>
      <c r="Q553" s="64"/>
      <c r="R553" s="64"/>
      <c r="S553" s="64"/>
      <c r="T553" s="64"/>
      <c r="U553" s="78"/>
      <c r="V553" s="64"/>
      <c r="W553" s="79"/>
      <c r="X553" s="64"/>
      <c r="Y553" s="64"/>
      <c r="Z553" s="64"/>
      <c r="AA553" s="64"/>
      <c r="AB553" s="64"/>
      <c r="AC553" s="64"/>
      <c r="AD553" s="64"/>
      <c r="AE553" s="64"/>
    </row>
    <row r="554" spans="1:31" ht="17.25" customHeight="1">
      <c r="A554" s="79"/>
      <c r="B554" s="64"/>
      <c r="C554" s="64"/>
      <c r="D554" s="64"/>
      <c r="E554" s="64"/>
      <c r="F554" s="64"/>
      <c r="G554" s="64"/>
      <c r="H554" s="87"/>
      <c r="I554" s="64"/>
      <c r="J554" s="64"/>
      <c r="K554" s="64"/>
      <c r="L554" s="64"/>
      <c r="M554" s="79"/>
      <c r="N554" s="64"/>
      <c r="O554" s="64"/>
      <c r="P554" s="64"/>
      <c r="Q554" s="64"/>
      <c r="R554" s="64"/>
      <c r="S554" s="64"/>
      <c r="T554" s="64"/>
      <c r="U554" s="78"/>
      <c r="V554" s="64"/>
      <c r="W554" s="79"/>
      <c r="X554" s="64"/>
      <c r="Y554" s="64"/>
      <c r="Z554" s="64"/>
      <c r="AA554" s="64"/>
      <c r="AB554" s="64"/>
      <c r="AC554" s="64"/>
      <c r="AD554" s="64"/>
      <c r="AE554" s="64"/>
    </row>
    <row r="555" spans="1:31" ht="17.25" customHeight="1">
      <c r="A555" s="79"/>
      <c r="B555" s="64"/>
      <c r="C555" s="64"/>
      <c r="D555" s="64"/>
      <c r="E555" s="64"/>
      <c r="F555" s="64"/>
      <c r="G555" s="64"/>
      <c r="H555" s="87"/>
      <c r="I555" s="64"/>
      <c r="J555" s="64"/>
      <c r="K555" s="64"/>
      <c r="L555" s="64"/>
      <c r="M555" s="79"/>
      <c r="N555" s="64"/>
      <c r="O555" s="64"/>
      <c r="P555" s="64"/>
      <c r="Q555" s="64"/>
      <c r="R555" s="64"/>
      <c r="S555" s="64"/>
      <c r="T555" s="64"/>
      <c r="U555" s="78"/>
      <c r="V555" s="64"/>
      <c r="W555" s="79"/>
      <c r="X555" s="64"/>
      <c r="Y555" s="64"/>
      <c r="Z555" s="64"/>
      <c r="AA555" s="64"/>
      <c r="AB555" s="64"/>
      <c r="AC555" s="64"/>
      <c r="AD555" s="64"/>
      <c r="AE555" s="64"/>
    </row>
    <row r="556" spans="1:31" ht="17.25" customHeight="1">
      <c r="A556" s="79"/>
      <c r="B556" s="64"/>
      <c r="C556" s="64"/>
      <c r="D556" s="64"/>
      <c r="E556" s="64"/>
      <c r="F556" s="64"/>
      <c r="G556" s="64"/>
      <c r="H556" s="87"/>
      <c r="I556" s="64"/>
      <c r="J556" s="64"/>
      <c r="K556" s="64"/>
      <c r="L556" s="64"/>
      <c r="M556" s="79"/>
      <c r="N556" s="64"/>
      <c r="O556" s="64"/>
      <c r="P556" s="64"/>
      <c r="Q556" s="64"/>
      <c r="R556" s="64"/>
      <c r="S556" s="64"/>
      <c r="T556" s="64"/>
      <c r="U556" s="78"/>
      <c r="V556" s="64"/>
      <c r="W556" s="79"/>
      <c r="X556" s="64"/>
      <c r="Y556" s="64"/>
      <c r="Z556" s="64"/>
      <c r="AA556" s="64"/>
      <c r="AB556" s="64"/>
      <c r="AC556" s="64"/>
      <c r="AD556" s="64"/>
      <c r="AE556" s="64"/>
    </row>
    <row r="557" spans="1:31" ht="17.25" customHeight="1">
      <c r="A557" s="79"/>
      <c r="B557" s="64"/>
      <c r="C557" s="64"/>
      <c r="D557" s="64"/>
      <c r="E557" s="64"/>
      <c r="F557" s="64"/>
      <c r="G557" s="64"/>
      <c r="H557" s="87"/>
      <c r="I557" s="64"/>
      <c r="J557" s="64"/>
      <c r="K557" s="64"/>
      <c r="L557" s="64"/>
      <c r="M557" s="79"/>
      <c r="N557" s="64"/>
      <c r="O557" s="64"/>
      <c r="P557" s="64"/>
      <c r="Q557" s="64"/>
      <c r="R557" s="64"/>
      <c r="S557" s="64"/>
      <c r="T557" s="64"/>
      <c r="U557" s="78"/>
      <c r="V557" s="64"/>
      <c r="W557" s="79"/>
      <c r="X557" s="64"/>
      <c r="Y557" s="64"/>
      <c r="Z557" s="64"/>
      <c r="AA557" s="64"/>
      <c r="AB557" s="64"/>
      <c r="AC557" s="64"/>
      <c r="AD557" s="64"/>
      <c r="AE557" s="64"/>
    </row>
    <row r="558" spans="1:31" ht="17.25" customHeight="1">
      <c r="A558" s="79"/>
      <c r="B558" s="64"/>
      <c r="C558" s="64"/>
      <c r="D558" s="64"/>
      <c r="E558" s="64"/>
      <c r="F558" s="64"/>
      <c r="G558" s="64"/>
      <c r="H558" s="87"/>
      <c r="I558" s="64"/>
      <c r="J558" s="64"/>
      <c r="K558" s="64"/>
      <c r="L558" s="64"/>
      <c r="M558" s="79"/>
      <c r="N558" s="64"/>
      <c r="O558" s="64"/>
      <c r="P558" s="64"/>
      <c r="Q558" s="64"/>
      <c r="R558" s="64"/>
      <c r="S558" s="64"/>
      <c r="T558" s="64"/>
      <c r="U558" s="78"/>
      <c r="V558" s="64"/>
      <c r="W558" s="79"/>
      <c r="X558" s="64"/>
      <c r="Y558" s="64"/>
      <c r="Z558" s="64"/>
      <c r="AA558" s="64"/>
      <c r="AB558" s="64"/>
      <c r="AC558" s="64"/>
      <c r="AD558" s="64"/>
      <c r="AE558" s="64"/>
    </row>
    <row r="559" spans="1:31" ht="17.25" customHeight="1">
      <c r="A559" s="79"/>
      <c r="B559" s="64"/>
      <c r="C559" s="64"/>
      <c r="D559" s="64"/>
      <c r="E559" s="64"/>
      <c r="F559" s="64"/>
      <c r="G559" s="64"/>
      <c r="H559" s="87"/>
      <c r="I559" s="64"/>
      <c r="J559" s="64"/>
      <c r="K559" s="64"/>
      <c r="L559" s="64"/>
      <c r="M559" s="79"/>
      <c r="N559" s="64"/>
      <c r="O559" s="64"/>
      <c r="P559" s="64"/>
      <c r="Q559" s="64"/>
      <c r="R559" s="64"/>
      <c r="S559" s="64"/>
      <c r="T559" s="64"/>
      <c r="U559" s="78"/>
      <c r="V559" s="64"/>
      <c r="W559" s="79"/>
      <c r="X559" s="64"/>
      <c r="Y559" s="64"/>
      <c r="Z559" s="64"/>
      <c r="AA559" s="64"/>
      <c r="AB559" s="64"/>
      <c r="AC559" s="64"/>
      <c r="AD559" s="64"/>
      <c r="AE559" s="64"/>
    </row>
    <row r="560" spans="1:31" ht="17.25" customHeight="1">
      <c r="A560" s="79"/>
      <c r="B560" s="64"/>
      <c r="C560" s="64"/>
      <c r="D560" s="64"/>
      <c r="E560" s="64"/>
      <c r="F560" s="64"/>
      <c r="G560" s="64"/>
      <c r="H560" s="87"/>
      <c r="I560" s="64"/>
      <c r="J560" s="64"/>
      <c r="K560" s="64"/>
      <c r="L560" s="64"/>
      <c r="M560" s="79"/>
      <c r="N560" s="64"/>
      <c r="O560" s="64"/>
      <c r="P560" s="64"/>
      <c r="Q560" s="64"/>
      <c r="R560" s="64"/>
      <c r="S560" s="64"/>
      <c r="T560" s="64"/>
      <c r="U560" s="78"/>
      <c r="V560" s="64"/>
      <c r="W560" s="79"/>
      <c r="X560" s="64"/>
      <c r="Y560" s="64"/>
      <c r="Z560" s="64"/>
      <c r="AA560" s="64"/>
      <c r="AB560" s="64"/>
      <c r="AC560" s="64"/>
      <c r="AD560" s="64"/>
      <c r="AE560" s="64"/>
    </row>
    <row r="561" spans="1:31" ht="17.25" customHeight="1">
      <c r="A561" s="79"/>
      <c r="B561" s="64"/>
      <c r="C561" s="64"/>
      <c r="D561" s="64"/>
      <c r="E561" s="64"/>
      <c r="F561" s="64"/>
      <c r="G561" s="64"/>
      <c r="H561" s="87"/>
      <c r="I561" s="64"/>
      <c r="J561" s="64"/>
      <c r="K561" s="64"/>
      <c r="L561" s="64"/>
      <c r="M561" s="79"/>
      <c r="N561" s="64"/>
      <c r="O561" s="64"/>
      <c r="P561" s="64"/>
      <c r="Q561" s="64"/>
      <c r="R561" s="64"/>
      <c r="S561" s="64"/>
      <c r="T561" s="64"/>
      <c r="U561" s="78"/>
      <c r="V561" s="64"/>
      <c r="W561" s="79"/>
      <c r="X561" s="64"/>
      <c r="Y561" s="64"/>
      <c r="Z561" s="64"/>
      <c r="AA561" s="64"/>
      <c r="AB561" s="64"/>
      <c r="AC561" s="64"/>
      <c r="AD561" s="64"/>
      <c r="AE561" s="64"/>
    </row>
    <row r="562" spans="1:31" ht="17.25" customHeight="1">
      <c r="A562" s="79"/>
      <c r="B562" s="64"/>
      <c r="C562" s="64"/>
      <c r="D562" s="64"/>
      <c r="E562" s="64"/>
      <c r="F562" s="64"/>
      <c r="G562" s="64"/>
      <c r="H562" s="87"/>
      <c r="I562" s="64"/>
      <c r="J562" s="64"/>
      <c r="K562" s="64"/>
      <c r="L562" s="64"/>
      <c r="M562" s="79"/>
      <c r="N562" s="64"/>
      <c r="O562" s="64"/>
      <c r="P562" s="64"/>
      <c r="Q562" s="64"/>
      <c r="R562" s="64"/>
      <c r="S562" s="64"/>
      <c r="T562" s="64"/>
      <c r="U562" s="78"/>
      <c r="V562" s="64"/>
      <c r="W562" s="79"/>
      <c r="X562" s="64"/>
      <c r="Y562" s="64"/>
      <c r="Z562" s="64"/>
      <c r="AA562" s="64"/>
      <c r="AB562" s="64"/>
      <c r="AC562" s="64"/>
      <c r="AD562" s="64"/>
      <c r="AE562" s="64"/>
    </row>
    <row r="563" spans="1:31" ht="17.25" customHeight="1">
      <c r="A563" s="79"/>
      <c r="B563" s="64"/>
      <c r="C563" s="64"/>
      <c r="D563" s="64"/>
      <c r="E563" s="64"/>
      <c r="F563" s="64"/>
      <c r="G563" s="64"/>
      <c r="H563" s="87"/>
      <c r="I563" s="64"/>
      <c r="J563" s="64"/>
      <c r="K563" s="64"/>
      <c r="L563" s="64"/>
      <c r="M563" s="79"/>
      <c r="N563" s="64"/>
      <c r="O563" s="64"/>
      <c r="P563" s="64"/>
      <c r="Q563" s="64"/>
      <c r="R563" s="64"/>
      <c r="S563" s="64"/>
      <c r="T563" s="64"/>
      <c r="U563" s="78"/>
      <c r="V563" s="64"/>
      <c r="W563" s="79"/>
      <c r="X563" s="64"/>
      <c r="Y563" s="64"/>
      <c r="Z563" s="64"/>
      <c r="AA563" s="64"/>
      <c r="AB563" s="64"/>
      <c r="AC563" s="64"/>
      <c r="AD563" s="64"/>
      <c r="AE563" s="64"/>
    </row>
    <row r="564" spans="1:31" ht="17.25" customHeight="1">
      <c r="A564" s="79"/>
      <c r="B564" s="64"/>
      <c r="C564" s="64"/>
      <c r="D564" s="64"/>
      <c r="E564" s="64"/>
      <c r="F564" s="64"/>
      <c r="G564" s="64"/>
      <c r="H564" s="87"/>
      <c r="I564" s="64"/>
      <c r="J564" s="64"/>
      <c r="K564" s="64"/>
      <c r="L564" s="64"/>
      <c r="M564" s="79"/>
      <c r="N564" s="64"/>
      <c r="O564" s="64"/>
      <c r="P564" s="64"/>
      <c r="Q564" s="64"/>
      <c r="R564" s="64"/>
      <c r="S564" s="64"/>
      <c r="T564" s="64"/>
      <c r="U564" s="78"/>
      <c r="V564" s="64"/>
      <c r="W564" s="79"/>
      <c r="X564" s="64"/>
      <c r="Y564" s="64"/>
      <c r="Z564" s="64"/>
      <c r="AA564" s="64"/>
      <c r="AB564" s="64"/>
      <c r="AC564" s="64"/>
      <c r="AD564" s="64"/>
      <c r="AE564" s="64"/>
    </row>
    <row r="565" spans="1:31" ht="17.25" customHeight="1">
      <c r="A565" s="79"/>
      <c r="B565" s="64"/>
      <c r="C565" s="64"/>
      <c r="D565" s="64"/>
      <c r="E565" s="64"/>
      <c r="F565" s="64"/>
      <c r="G565" s="64"/>
      <c r="H565" s="87"/>
      <c r="I565" s="64"/>
      <c r="J565" s="64"/>
      <c r="K565" s="64"/>
      <c r="L565" s="64"/>
      <c r="M565" s="79"/>
      <c r="N565" s="64"/>
      <c r="O565" s="64"/>
      <c r="P565" s="64"/>
      <c r="Q565" s="64"/>
      <c r="R565" s="64"/>
      <c r="S565" s="64"/>
      <c r="T565" s="64"/>
      <c r="U565" s="78"/>
      <c r="V565" s="64"/>
      <c r="W565" s="79"/>
      <c r="X565" s="64"/>
      <c r="Y565" s="64"/>
      <c r="Z565" s="64"/>
      <c r="AA565" s="64"/>
      <c r="AB565" s="64"/>
      <c r="AC565" s="64"/>
      <c r="AD565" s="64"/>
      <c r="AE565" s="64"/>
    </row>
    <row r="566" spans="1:31" ht="17.25" customHeight="1">
      <c r="A566" s="79"/>
      <c r="B566" s="64"/>
      <c r="C566" s="64"/>
      <c r="D566" s="64"/>
      <c r="E566" s="64"/>
      <c r="F566" s="64"/>
      <c r="G566" s="64"/>
      <c r="H566" s="87"/>
      <c r="I566" s="64"/>
      <c r="J566" s="64"/>
      <c r="K566" s="64"/>
      <c r="L566" s="64"/>
      <c r="M566" s="79"/>
      <c r="N566" s="64"/>
      <c r="O566" s="64"/>
      <c r="P566" s="64"/>
      <c r="Q566" s="64"/>
      <c r="R566" s="64"/>
      <c r="S566" s="64"/>
      <c r="T566" s="64"/>
      <c r="U566" s="78"/>
      <c r="V566" s="64"/>
      <c r="W566" s="79"/>
      <c r="X566" s="64"/>
      <c r="Y566" s="64"/>
      <c r="Z566" s="64"/>
      <c r="AA566" s="64"/>
      <c r="AB566" s="64"/>
      <c r="AC566" s="64"/>
      <c r="AD566" s="64"/>
      <c r="AE566" s="64"/>
    </row>
    <row r="567" spans="1:31" ht="17.25" customHeight="1">
      <c r="A567" s="79"/>
      <c r="B567" s="64"/>
      <c r="C567" s="64"/>
      <c r="D567" s="64"/>
      <c r="E567" s="64"/>
      <c r="F567" s="64"/>
      <c r="G567" s="64"/>
      <c r="H567" s="87"/>
      <c r="I567" s="64"/>
      <c r="J567" s="64"/>
      <c r="K567" s="64"/>
      <c r="L567" s="64"/>
      <c r="M567" s="79"/>
      <c r="N567" s="64"/>
      <c r="O567" s="64"/>
      <c r="P567" s="64"/>
      <c r="Q567" s="64"/>
      <c r="R567" s="64"/>
      <c r="S567" s="64"/>
      <c r="T567" s="64"/>
      <c r="U567" s="78"/>
      <c r="V567" s="64"/>
      <c r="W567" s="79"/>
      <c r="X567" s="64"/>
      <c r="Y567" s="64"/>
      <c r="Z567" s="64"/>
      <c r="AA567" s="64"/>
      <c r="AB567" s="64"/>
      <c r="AC567" s="64"/>
      <c r="AD567" s="64"/>
      <c r="AE567" s="64"/>
    </row>
    <row r="568" spans="1:31" ht="17.25" customHeight="1">
      <c r="A568" s="79"/>
      <c r="B568" s="64"/>
      <c r="C568" s="64"/>
      <c r="D568" s="64"/>
      <c r="E568" s="64"/>
      <c r="F568" s="64"/>
      <c r="G568" s="64"/>
      <c r="H568" s="87"/>
      <c r="I568" s="64"/>
      <c r="J568" s="64"/>
      <c r="K568" s="64"/>
      <c r="L568" s="64"/>
      <c r="M568" s="79"/>
      <c r="N568" s="64"/>
      <c r="O568" s="64"/>
      <c r="P568" s="64"/>
      <c r="Q568" s="64"/>
      <c r="R568" s="64"/>
      <c r="S568" s="64"/>
      <c r="T568" s="64"/>
      <c r="U568" s="78"/>
      <c r="V568" s="64"/>
      <c r="W568" s="79"/>
      <c r="X568" s="64"/>
      <c r="Y568" s="64"/>
      <c r="Z568" s="64"/>
      <c r="AA568" s="64"/>
      <c r="AB568" s="64"/>
      <c r="AC568" s="64"/>
      <c r="AD568" s="64"/>
      <c r="AE568" s="64"/>
    </row>
    <row r="569" spans="1:31" ht="17.25" customHeight="1">
      <c r="A569" s="79"/>
      <c r="B569" s="64"/>
      <c r="C569" s="64"/>
      <c r="D569" s="64"/>
      <c r="E569" s="64"/>
      <c r="F569" s="64"/>
      <c r="G569" s="64"/>
      <c r="H569" s="87"/>
      <c r="I569" s="64"/>
      <c r="J569" s="64"/>
      <c r="K569" s="64"/>
      <c r="L569" s="64"/>
      <c r="M569" s="79"/>
      <c r="N569" s="64"/>
      <c r="O569" s="64"/>
      <c r="P569" s="64"/>
      <c r="Q569" s="64"/>
      <c r="R569" s="64"/>
      <c r="S569" s="64"/>
      <c r="T569" s="64"/>
      <c r="U569" s="78"/>
      <c r="V569" s="64"/>
      <c r="W569" s="79"/>
      <c r="X569" s="64"/>
      <c r="Y569" s="64"/>
      <c r="Z569" s="64"/>
      <c r="AA569" s="64"/>
      <c r="AB569" s="64"/>
      <c r="AC569" s="64"/>
      <c r="AD569" s="64"/>
      <c r="AE569" s="64"/>
    </row>
    <row r="570" spans="1:31" ht="17.25" customHeight="1">
      <c r="A570" s="79"/>
      <c r="B570" s="64"/>
      <c r="C570" s="64"/>
      <c r="D570" s="64"/>
      <c r="E570" s="64"/>
      <c r="F570" s="64"/>
      <c r="G570" s="64"/>
      <c r="H570" s="87"/>
      <c r="I570" s="64"/>
      <c r="J570" s="64"/>
      <c r="K570" s="64"/>
      <c r="L570" s="64"/>
      <c r="M570" s="79"/>
      <c r="N570" s="64"/>
      <c r="O570" s="64"/>
      <c r="P570" s="64"/>
      <c r="Q570" s="64"/>
      <c r="R570" s="64"/>
      <c r="S570" s="64"/>
      <c r="T570" s="64"/>
      <c r="U570" s="78"/>
      <c r="V570" s="64"/>
      <c r="W570" s="79"/>
      <c r="X570" s="64"/>
      <c r="Y570" s="64"/>
      <c r="Z570" s="64"/>
      <c r="AA570" s="64"/>
      <c r="AB570" s="64"/>
      <c r="AC570" s="64"/>
      <c r="AD570" s="64"/>
      <c r="AE570" s="64"/>
    </row>
    <row r="571" spans="1:31" ht="17.25" customHeight="1">
      <c r="A571" s="79"/>
      <c r="B571" s="64"/>
      <c r="C571" s="64"/>
      <c r="D571" s="64"/>
      <c r="E571" s="64"/>
      <c r="F571" s="64"/>
      <c r="G571" s="64"/>
      <c r="H571" s="87"/>
      <c r="I571" s="64"/>
      <c r="J571" s="64"/>
      <c r="K571" s="64"/>
      <c r="L571" s="64"/>
      <c r="M571" s="79"/>
      <c r="N571" s="64"/>
      <c r="O571" s="64"/>
      <c r="P571" s="64"/>
      <c r="Q571" s="64"/>
      <c r="R571" s="64"/>
      <c r="S571" s="64"/>
      <c r="T571" s="64"/>
      <c r="U571" s="78"/>
      <c r="V571" s="64"/>
      <c r="W571" s="79"/>
      <c r="X571" s="64"/>
      <c r="Y571" s="64"/>
      <c r="Z571" s="64"/>
      <c r="AA571" s="64"/>
      <c r="AB571" s="64"/>
      <c r="AC571" s="64"/>
      <c r="AD571" s="64"/>
      <c r="AE571" s="64"/>
    </row>
    <row r="572" spans="1:31" ht="17.25" customHeight="1">
      <c r="A572" s="79"/>
      <c r="B572" s="64"/>
      <c r="C572" s="64"/>
      <c r="D572" s="64"/>
      <c r="E572" s="64"/>
      <c r="F572" s="64"/>
      <c r="G572" s="64"/>
      <c r="H572" s="87"/>
      <c r="I572" s="64"/>
      <c r="J572" s="64"/>
      <c r="K572" s="64"/>
      <c r="L572" s="64"/>
      <c r="M572" s="79"/>
      <c r="N572" s="64"/>
      <c r="O572" s="64"/>
      <c r="P572" s="64"/>
      <c r="Q572" s="64"/>
      <c r="R572" s="64"/>
      <c r="S572" s="64"/>
      <c r="T572" s="64"/>
      <c r="U572" s="78"/>
      <c r="V572" s="64"/>
      <c r="W572" s="79"/>
      <c r="X572" s="64"/>
      <c r="Y572" s="64"/>
      <c r="Z572" s="64"/>
      <c r="AA572" s="64"/>
      <c r="AB572" s="64"/>
      <c r="AC572" s="64"/>
      <c r="AD572" s="64"/>
      <c r="AE572" s="64"/>
    </row>
    <row r="573" spans="1:31" ht="17.25" customHeight="1">
      <c r="A573" s="79"/>
      <c r="B573" s="64"/>
      <c r="C573" s="64"/>
      <c r="D573" s="64"/>
      <c r="E573" s="64"/>
      <c r="F573" s="64"/>
      <c r="G573" s="64"/>
      <c r="H573" s="87"/>
      <c r="I573" s="64"/>
      <c r="J573" s="64"/>
      <c r="K573" s="64"/>
      <c r="L573" s="64"/>
      <c r="M573" s="79"/>
      <c r="N573" s="64"/>
      <c r="O573" s="64"/>
      <c r="P573" s="64"/>
      <c r="Q573" s="64"/>
      <c r="R573" s="64"/>
      <c r="S573" s="64"/>
      <c r="T573" s="64"/>
      <c r="U573" s="78"/>
      <c r="V573" s="64"/>
      <c r="W573" s="79"/>
      <c r="X573" s="64"/>
      <c r="Y573" s="64"/>
      <c r="Z573" s="64"/>
      <c r="AA573" s="64"/>
      <c r="AB573" s="64"/>
      <c r="AC573" s="64"/>
      <c r="AD573" s="64"/>
      <c r="AE573" s="64"/>
    </row>
    <row r="574" spans="1:31" ht="17.25" customHeight="1">
      <c r="A574" s="79"/>
      <c r="B574" s="64"/>
      <c r="C574" s="64"/>
      <c r="D574" s="64"/>
      <c r="E574" s="64"/>
      <c r="F574" s="64"/>
      <c r="G574" s="64"/>
      <c r="H574" s="87"/>
      <c r="I574" s="64"/>
      <c r="J574" s="64"/>
      <c r="K574" s="64"/>
      <c r="L574" s="64"/>
      <c r="M574" s="79"/>
      <c r="N574" s="64"/>
      <c r="O574" s="64"/>
      <c r="P574" s="64"/>
      <c r="Q574" s="64"/>
      <c r="R574" s="64"/>
      <c r="S574" s="64"/>
      <c r="T574" s="64"/>
      <c r="U574" s="78"/>
      <c r="V574" s="64"/>
      <c r="W574" s="79"/>
      <c r="X574" s="64"/>
      <c r="Y574" s="64"/>
      <c r="Z574" s="64"/>
      <c r="AA574" s="64"/>
      <c r="AB574" s="64"/>
      <c r="AC574" s="64"/>
      <c r="AD574" s="64"/>
      <c r="AE574" s="64"/>
    </row>
    <row r="575" spans="1:31" ht="17.25" customHeight="1">
      <c r="A575" s="79"/>
      <c r="B575" s="64"/>
      <c r="C575" s="64"/>
      <c r="D575" s="64"/>
      <c r="E575" s="64"/>
      <c r="F575" s="64"/>
      <c r="G575" s="64"/>
      <c r="H575" s="87"/>
      <c r="I575" s="64"/>
      <c r="J575" s="64"/>
      <c r="K575" s="64"/>
      <c r="L575" s="64"/>
      <c r="M575" s="79"/>
      <c r="N575" s="64"/>
      <c r="O575" s="64"/>
      <c r="P575" s="64"/>
      <c r="Q575" s="64"/>
      <c r="R575" s="64"/>
      <c r="S575" s="64"/>
      <c r="T575" s="64"/>
      <c r="U575" s="78"/>
      <c r="V575" s="64"/>
      <c r="W575" s="79"/>
      <c r="X575" s="64"/>
      <c r="Y575" s="64"/>
      <c r="Z575" s="64"/>
      <c r="AA575" s="64"/>
      <c r="AB575" s="64"/>
      <c r="AC575" s="64"/>
      <c r="AD575" s="64"/>
      <c r="AE575" s="64"/>
    </row>
    <row r="576" spans="1:31" ht="17.25" customHeight="1">
      <c r="A576" s="79"/>
      <c r="B576" s="64"/>
      <c r="C576" s="64"/>
      <c r="D576" s="64"/>
      <c r="E576" s="64"/>
      <c r="F576" s="64"/>
      <c r="G576" s="64"/>
      <c r="H576" s="87"/>
      <c r="I576" s="64"/>
      <c r="J576" s="64"/>
      <c r="K576" s="64"/>
      <c r="L576" s="64"/>
      <c r="M576" s="79"/>
      <c r="N576" s="64"/>
      <c r="O576" s="64"/>
      <c r="P576" s="64"/>
      <c r="Q576" s="64"/>
      <c r="R576" s="64"/>
      <c r="S576" s="64"/>
      <c r="T576" s="64"/>
      <c r="U576" s="78"/>
      <c r="V576" s="64"/>
      <c r="W576" s="79"/>
      <c r="X576" s="64"/>
      <c r="Y576" s="64"/>
      <c r="Z576" s="64"/>
      <c r="AA576" s="64"/>
      <c r="AB576" s="64"/>
      <c r="AC576" s="64"/>
      <c r="AD576" s="64"/>
      <c r="AE576" s="64"/>
    </row>
    <row r="577" spans="1:31" ht="17.25" customHeight="1">
      <c r="A577" s="79"/>
      <c r="B577" s="64"/>
      <c r="C577" s="64"/>
      <c r="D577" s="64"/>
      <c r="E577" s="64"/>
      <c r="F577" s="64"/>
      <c r="G577" s="64"/>
      <c r="H577" s="87"/>
      <c r="I577" s="64"/>
      <c r="J577" s="64"/>
      <c r="K577" s="64"/>
      <c r="L577" s="64"/>
      <c r="M577" s="79"/>
      <c r="N577" s="64"/>
      <c r="O577" s="64"/>
      <c r="P577" s="64"/>
      <c r="Q577" s="64"/>
      <c r="R577" s="64"/>
      <c r="S577" s="64"/>
      <c r="T577" s="64"/>
      <c r="U577" s="78"/>
      <c r="V577" s="64"/>
      <c r="W577" s="79"/>
      <c r="X577" s="64"/>
      <c r="Y577" s="64"/>
      <c r="Z577" s="64"/>
      <c r="AA577" s="64"/>
      <c r="AB577" s="64"/>
      <c r="AC577" s="64"/>
      <c r="AD577" s="64"/>
      <c r="AE577" s="64"/>
    </row>
    <row r="578" spans="1:31" ht="17.25" customHeight="1">
      <c r="A578" s="79"/>
      <c r="B578" s="64"/>
      <c r="C578" s="64"/>
      <c r="D578" s="64"/>
      <c r="E578" s="64"/>
      <c r="F578" s="64"/>
      <c r="G578" s="64"/>
      <c r="H578" s="87"/>
      <c r="I578" s="64"/>
      <c r="J578" s="64"/>
      <c r="K578" s="64"/>
      <c r="L578" s="64"/>
      <c r="M578" s="79"/>
      <c r="N578" s="64"/>
      <c r="O578" s="64"/>
      <c r="P578" s="64"/>
      <c r="Q578" s="64"/>
      <c r="R578" s="64"/>
      <c r="S578" s="64"/>
      <c r="T578" s="64"/>
      <c r="U578" s="78"/>
      <c r="V578" s="64"/>
      <c r="W578" s="79"/>
      <c r="X578" s="64"/>
      <c r="Y578" s="64"/>
      <c r="Z578" s="64"/>
      <c r="AA578" s="64"/>
      <c r="AB578" s="64"/>
      <c r="AC578" s="64"/>
      <c r="AD578" s="64"/>
      <c r="AE578" s="64"/>
    </row>
    <row r="579" spans="1:31" ht="17.25" customHeight="1">
      <c r="A579" s="79"/>
      <c r="B579" s="64"/>
      <c r="C579" s="64"/>
      <c r="D579" s="64"/>
      <c r="E579" s="64"/>
      <c r="F579" s="64"/>
      <c r="G579" s="64"/>
      <c r="H579" s="87"/>
      <c r="I579" s="64"/>
      <c r="J579" s="64"/>
      <c r="K579" s="64"/>
      <c r="L579" s="64"/>
      <c r="M579" s="79"/>
      <c r="N579" s="64"/>
      <c r="O579" s="64"/>
      <c r="P579" s="64"/>
      <c r="Q579" s="64"/>
      <c r="R579" s="64"/>
      <c r="S579" s="64"/>
      <c r="T579" s="64"/>
      <c r="U579" s="78"/>
      <c r="V579" s="64"/>
      <c r="W579" s="79"/>
      <c r="X579" s="64"/>
      <c r="Y579" s="64"/>
      <c r="Z579" s="64"/>
      <c r="AA579" s="64"/>
      <c r="AB579" s="64"/>
      <c r="AC579" s="64"/>
      <c r="AD579" s="64"/>
      <c r="AE579" s="64"/>
    </row>
    <row r="580" spans="1:31" ht="17.25" customHeight="1">
      <c r="A580" s="79"/>
      <c r="B580" s="64"/>
      <c r="C580" s="64"/>
      <c r="D580" s="64"/>
      <c r="E580" s="64"/>
      <c r="F580" s="64"/>
      <c r="G580" s="64"/>
      <c r="H580" s="87"/>
      <c r="I580" s="64"/>
      <c r="J580" s="64"/>
      <c r="K580" s="64"/>
      <c r="L580" s="64"/>
      <c r="M580" s="79"/>
      <c r="N580" s="64"/>
      <c r="O580" s="64"/>
      <c r="P580" s="64"/>
      <c r="Q580" s="64"/>
      <c r="R580" s="64"/>
      <c r="S580" s="64"/>
      <c r="T580" s="64"/>
      <c r="U580" s="78"/>
      <c r="V580" s="64"/>
      <c r="W580" s="79"/>
      <c r="X580" s="64"/>
      <c r="Y580" s="64"/>
      <c r="Z580" s="64"/>
      <c r="AA580" s="64"/>
      <c r="AB580" s="64"/>
      <c r="AC580" s="64"/>
      <c r="AD580" s="64"/>
      <c r="AE580" s="64"/>
    </row>
    <row r="581" spans="1:31" ht="17.25" customHeight="1">
      <c r="A581" s="79"/>
      <c r="B581" s="64"/>
      <c r="C581" s="64"/>
      <c r="D581" s="64"/>
      <c r="E581" s="64"/>
      <c r="F581" s="64"/>
      <c r="G581" s="64"/>
      <c r="H581" s="87"/>
      <c r="I581" s="64"/>
      <c r="J581" s="64"/>
      <c r="K581" s="64"/>
      <c r="L581" s="64"/>
      <c r="M581" s="79"/>
      <c r="N581" s="64"/>
      <c r="O581" s="64"/>
      <c r="P581" s="64"/>
      <c r="Q581" s="64"/>
      <c r="R581" s="64"/>
      <c r="S581" s="64"/>
      <c r="T581" s="64"/>
      <c r="U581" s="78"/>
      <c r="V581" s="64"/>
      <c r="W581" s="79"/>
      <c r="X581" s="64"/>
      <c r="Y581" s="64"/>
      <c r="Z581" s="64"/>
      <c r="AA581" s="64"/>
      <c r="AB581" s="64"/>
      <c r="AC581" s="64"/>
      <c r="AD581" s="64"/>
      <c r="AE581" s="64"/>
    </row>
    <row r="582" spans="1:31" ht="17.25" customHeight="1">
      <c r="A582" s="79"/>
      <c r="B582" s="64"/>
      <c r="C582" s="64"/>
      <c r="D582" s="64"/>
      <c r="E582" s="64"/>
      <c r="F582" s="64"/>
      <c r="G582" s="64"/>
      <c r="H582" s="87"/>
      <c r="I582" s="64"/>
      <c r="J582" s="64"/>
      <c r="K582" s="64"/>
      <c r="L582" s="64"/>
      <c r="M582" s="79"/>
      <c r="N582" s="64"/>
      <c r="O582" s="64"/>
      <c r="P582" s="64"/>
      <c r="Q582" s="64"/>
      <c r="R582" s="64"/>
      <c r="S582" s="64"/>
      <c r="T582" s="64"/>
      <c r="U582" s="78"/>
      <c r="V582" s="64"/>
      <c r="W582" s="79"/>
      <c r="X582" s="64"/>
      <c r="Y582" s="64"/>
      <c r="Z582" s="64"/>
      <c r="AA582" s="64"/>
      <c r="AB582" s="64"/>
      <c r="AC582" s="64"/>
      <c r="AD582" s="64"/>
      <c r="AE582" s="64"/>
    </row>
    <row r="583" spans="1:31" ht="17.25" customHeight="1">
      <c r="A583" s="79"/>
      <c r="B583" s="64"/>
      <c r="C583" s="64"/>
      <c r="D583" s="64"/>
      <c r="E583" s="64"/>
      <c r="F583" s="64"/>
      <c r="G583" s="64"/>
      <c r="H583" s="87"/>
      <c r="I583" s="64"/>
      <c r="J583" s="64"/>
      <c r="K583" s="64"/>
      <c r="L583" s="64"/>
      <c r="M583" s="79"/>
      <c r="N583" s="64"/>
      <c r="O583" s="64"/>
      <c r="P583" s="64"/>
      <c r="Q583" s="64"/>
      <c r="R583" s="64"/>
      <c r="S583" s="64"/>
      <c r="T583" s="64"/>
      <c r="U583" s="78"/>
      <c r="V583" s="64"/>
      <c r="W583" s="79"/>
      <c r="X583" s="64"/>
      <c r="Y583" s="64"/>
      <c r="Z583" s="64"/>
      <c r="AA583" s="64"/>
      <c r="AB583" s="64"/>
      <c r="AC583" s="64"/>
      <c r="AD583" s="64"/>
      <c r="AE583" s="64"/>
    </row>
    <row r="584" spans="1:31" ht="17.25" customHeight="1">
      <c r="A584" s="79"/>
      <c r="B584" s="64"/>
      <c r="C584" s="64"/>
      <c r="D584" s="64"/>
      <c r="E584" s="64"/>
      <c r="F584" s="64"/>
      <c r="G584" s="64"/>
      <c r="H584" s="87"/>
      <c r="I584" s="64"/>
      <c r="J584" s="64"/>
      <c r="K584" s="64"/>
      <c r="L584" s="64"/>
      <c r="M584" s="79"/>
      <c r="N584" s="64"/>
      <c r="O584" s="64"/>
      <c r="P584" s="64"/>
      <c r="Q584" s="64"/>
      <c r="R584" s="64"/>
      <c r="S584" s="64"/>
      <c r="T584" s="64"/>
      <c r="U584" s="78"/>
      <c r="V584" s="64"/>
      <c r="W584" s="79"/>
      <c r="X584" s="64"/>
      <c r="Y584" s="64"/>
      <c r="Z584" s="64"/>
      <c r="AA584" s="64"/>
      <c r="AB584" s="64"/>
      <c r="AC584" s="64"/>
      <c r="AD584" s="64"/>
      <c r="AE584" s="64"/>
    </row>
    <row r="585" spans="1:31" ht="17.25" customHeight="1">
      <c r="A585" s="79"/>
      <c r="B585" s="64"/>
      <c r="C585" s="64"/>
      <c r="D585" s="64"/>
      <c r="E585" s="64"/>
      <c r="F585" s="64"/>
      <c r="G585" s="64"/>
      <c r="H585" s="87"/>
      <c r="I585" s="64"/>
      <c r="J585" s="64"/>
      <c r="K585" s="64"/>
      <c r="L585" s="64"/>
      <c r="M585" s="79"/>
      <c r="N585" s="64"/>
      <c r="O585" s="64"/>
      <c r="P585" s="64"/>
      <c r="Q585" s="64"/>
      <c r="R585" s="64"/>
      <c r="S585" s="64"/>
      <c r="T585" s="64"/>
      <c r="U585" s="78"/>
      <c r="V585" s="64"/>
      <c r="W585" s="79"/>
      <c r="X585" s="64"/>
      <c r="Y585" s="64"/>
      <c r="Z585" s="64"/>
      <c r="AA585" s="64"/>
      <c r="AB585" s="64"/>
      <c r="AC585" s="64"/>
      <c r="AD585" s="64"/>
      <c r="AE585" s="64"/>
    </row>
    <row r="586" spans="1:31" ht="17.25" customHeight="1">
      <c r="A586" s="79"/>
      <c r="B586" s="64"/>
      <c r="C586" s="64"/>
      <c r="D586" s="64"/>
      <c r="E586" s="64"/>
      <c r="F586" s="64"/>
      <c r="G586" s="64"/>
      <c r="H586" s="87"/>
      <c r="I586" s="64"/>
      <c r="J586" s="64"/>
      <c r="K586" s="64"/>
      <c r="L586" s="64"/>
      <c r="M586" s="79"/>
      <c r="N586" s="64"/>
      <c r="O586" s="64"/>
      <c r="P586" s="64"/>
      <c r="Q586" s="64"/>
      <c r="R586" s="64"/>
      <c r="S586" s="64"/>
      <c r="T586" s="64"/>
      <c r="U586" s="78"/>
      <c r="V586" s="64"/>
      <c r="W586" s="79"/>
      <c r="X586" s="64"/>
      <c r="Y586" s="64"/>
      <c r="Z586" s="64"/>
      <c r="AA586" s="64"/>
      <c r="AB586" s="64"/>
      <c r="AC586" s="64"/>
      <c r="AD586" s="64"/>
      <c r="AE586" s="64"/>
    </row>
    <row r="587" spans="1:31" ht="17.25" customHeight="1">
      <c r="A587" s="79"/>
      <c r="B587" s="64"/>
      <c r="C587" s="64"/>
      <c r="D587" s="64"/>
      <c r="E587" s="64"/>
      <c r="F587" s="64"/>
      <c r="G587" s="64"/>
      <c r="H587" s="87"/>
      <c r="I587" s="64"/>
      <c r="J587" s="64"/>
      <c r="K587" s="64"/>
      <c r="L587" s="64"/>
      <c r="M587" s="79"/>
      <c r="N587" s="64"/>
      <c r="O587" s="64"/>
      <c r="P587" s="64"/>
      <c r="Q587" s="64"/>
      <c r="R587" s="64"/>
      <c r="S587" s="64"/>
      <c r="T587" s="64"/>
      <c r="U587" s="78"/>
      <c r="V587" s="64"/>
      <c r="W587" s="79"/>
      <c r="X587" s="64"/>
      <c r="Y587" s="64"/>
      <c r="Z587" s="64"/>
      <c r="AA587" s="64"/>
      <c r="AB587" s="64"/>
      <c r="AC587" s="64"/>
      <c r="AD587" s="64"/>
      <c r="AE587" s="64"/>
    </row>
    <row r="588" spans="1:31" ht="17.25" customHeight="1">
      <c r="A588" s="79"/>
      <c r="B588" s="64"/>
      <c r="C588" s="64"/>
      <c r="D588" s="64"/>
      <c r="E588" s="64"/>
      <c r="F588" s="64"/>
      <c r="G588" s="64"/>
      <c r="H588" s="87"/>
      <c r="I588" s="64"/>
      <c r="J588" s="64"/>
      <c r="K588" s="64"/>
      <c r="L588" s="64"/>
      <c r="M588" s="79"/>
      <c r="N588" s="64"/>
      <c r="O588" s="64"/>
      <c r="P588" s="64"/>
      <c r="Q588" s="64"/>
      <c r="R588" s="64"/>
      <c r="S588" s="64"/>
      <c r="T588" s="64"/>
      <c r="U588" s="78"/>
      <c r="V588" s="64"/>
      <c r="W588" s="79"/>
      <c r="X588" s="64"/>
      <c r="Y588" s="64"/>
      <c r="Z588" s="64"/>
      <c r="AA588" s="64"/>
      <c r="AB588" s="64"/>
      <c r="AC588" s="64"/>
      <c r="AD588" s="64"/>
      <c r="AE588" s="64"/>
    </row>
    <row r="589" spans="1:31" ht="17.25" customHeight="1">
      <c r="A589" s="79"/>
      <c r="B589" s="64"/>
      <c r="C589" s="64"/>
      <c r="D589" s="64"/>
      <c r="E589" s="64"/>
      <c r="F589" s="64"/>
      <c r="G589" s="64"/>
      <c r="H589" s="87"/>
      <c r="I589" s="64"/>
      <c r="J589" s="64"/>
      <c r="K589" s="64"/>
      <c r="L589" s="64"/>
      <c r="M589" s="79"/>
      <c r="N589" s="64"/>
      <c r="O589" s="64"/>
      <c r="P589" s="64"/>
      <c r="Q589" s="64"/>
      <c r="R589" s="64"/>
      <c r="S589" s="64"/>
      <c r="T589" s="64"/>
      <c r="U589" s="78"/>
      <c r="V589" s="64"/>
      <c r="W589" s="79"/>
      <c r="X589" s="64"/>
      <c r="Y589" s="64"/>
      <c r="Z589" s="64"/>
      <c r="AA589" s="64"/>
      <c r="AB589" s="64"/>
      <c r="AC589" s="64"/>
      <c r="AD589" s="64"/>
      <c r="AE589" s="64"/>
    </row>
    <row r="590" spans="1:31" ht="17.25" customHeight="1">
      <c r="A590" s="79"/>
      <c r="B590" s="64"/>
      <c r="C590" s="64"/>
      <c r="D590" s="64"/>
      <c r="E590" s="64"/>
      <c r="F590" s="64"/>
      <c r="G590" s="64"/>
      <c r="H590" s="87"/>
      <c r="I590" s="64"/>
      <c r="J590" s="64"/>
      <c r="K590" s="64"/>
      <c r="L590" s="64"/>
      <c r="M590" s="79"/>
      <c r="N590" s="64"/>
      <c r="O590" s="64"/>
      <c r="P590" s="64"/>
      <c r="Q590" s="64"/>
      <c r="R590" s="64"/>
      <c r="S590" s="64"/>
      <c r="T590" s="64"/>
      <c r="U590" s="78"/>
      <c r="V590" s="64"/>
      <c r="W590" s="79"/>
      <c r="X590" s="64"/>
      <c r="Y590" s="64"/>
      <c r="Z590" s="64"/>
      <c r="AA590" s="64"/>
      <c r="AB590" s="64"/>
      <c r="AC590" s="64"/>
      <c r="AD590" s="64"/>
      <c r="AE590" s="64"/>
    </row>
    <row r="591" spans="1:31" ht="17.25" customHeight="1">
      <c r="A591" s="79"/>
      <c r="B591" s="64"/>
      <c r="C591" s="64"/>
      <c r="D591" s="64"/>
      <c r="E591" s="64"/>
      <c r="F591" s="64"/>
      <c r="G591" s="64"/>
      <c r="H591" s="87"/>
      <c r="I591" s="64"/>
      <c r="J591" s="64"/>
      <c r="K591" s="64"/>
      <c r="L591" s="64"/>
      <c r="M591" s="79"/>
      <c r="N591" s="64"/>
      <c r="O591" s="64"/>
      <c r="P591" s="64"/>
      <c r="Q591" s="64"/>
      <c r="R591" s="64"/>
      <c r="S591" s="64"/>
      <c r="T591" s="64"/>
      <c r="U591" s="78"/>
      <c r="V591" s="64"/>
      <c r="W591" s="79"/>
      <c r="X591" s="64"/>
      <c r="Y591" s="64"/>
      <c r="Z591" s="64"/>
      <c r="AA591" s="64"/>
      <c r="AB591" s="64"/>
      <c r="AC591" s="64"/>
      <c r="AD591" s="64"/>
      <c r="AE591" s="64"/>
    </row>
    <row r="592" spans="1:31" ht="17.25" customHeight="1">
      <c r="A592" s="79"/>
      <c r="B592" s="64"/>
      <c r="C592" s="64"/>
      <c r="D592" s="64"/>
      <c r="E592" s="64"/>
      <c r="F592" s="64"/>
      <c r="G592" s="64"/>
      <c r="H592" s="87"/>
      <c r="I592" s="64"/>
      <c r="J592" s="64"/>
      <c r="K592" s="64"/>
      <c r="L592" s="64"/>
      <c r="M592" s="79"/>
      <c r="N592" s="64"/>
      <c r="O592" s="64"/>
      <c r="P592" s="64"/>
      <c r="Q592" s="64"/>
      <c r="R592" s="64"/>
      <c r="S592" s="64"/>
      <c r="T592" s="64"/>
      <c r="U592" s="78"/>
      <c r="V592" s="64"/>
      <c r="W592" s="79"/>
      <c r="X592" s="64"/>
      <c r="Y592" s="64"/>
      <c r="Z592" s="64"/>
      <c r="AA592" s="64"/>
      <c r="AB592" s="64"/>
      <c r="AC592" s="64"/>
      <c r="AD592" s="64"/>
      <c r="AE592" s="64"/>
    </row>
    <row r="593" spans="1:31" ht="17.25" customHeight="1">
      <c r="A593" s="79"/>
      <c r="B593" s="64"/>
      <c r="C593" s="64"/>
      <c r="D593" s="64"/>
      <c r="E593" s="64"/>
      <c r="F593" s="64"/>
      <c r="G593" s="64"/>
      <c r="H593" s="87"/>
      <c r="I593" s="64"/>
      <c r="J593" s="64"/>
      <c r="K593" s="64"/>
      <c r="L593" s="64"/>
      <c r="M593" s="79"/>
      <c r="N593" s="64"/>
      <c r="O593" s="64"/>
      <c r="P593" s="64"/>
      <c r="Q593" s="64"/>
      <c r="R593" s="64"/>
      <c r="S593" s="64"/>
      <c r="T593" s="64"/>
      <c r="U593" s="78"/>
      <c r="V593" s="64"/>
      <c r="W593" s="79"/>
      <c r="X593" s="64"/>
      <c r="Y593" s="64"/>
      <c r="Z593" s="64"/>
      <c r="AA593" s="64"/>
      <c r="AB593" s="64"/>
      <c r="AC593" s="64"/>
      <c r="AD593" s="64"/>
      <c r="AE593" s="64"/>
    </row>
    <row r="594" spans="1:31" ht="17.25" customHeight="1">
      <c r="A594" s="79"/>
      <c r="B594" s="64"/>
      <c r="C594" s="64"/>
      <c r="D594" s="64"/>
      <c r="E594" s="64"/>
      <c r="F594" s="64"/>
      <c r="G594" s="64"/>
      <c r="H594" s="87"/>
      <c r="I594" s="64"/>
      <c r="J594" s="64"/>
      <c r="K594" s="64"/>
      <c r="L594" s="64"/>
      <c r="M594" s="79"/>
      <c r="N594" s="64"/>
      <c r="O594" s="64"/>
      <c r="P594" s="64"/>
      <c r="Q594" s="64"/>
      <c r="R594" s="64"/>
      <c r="S594" s="64"/>
      <c r="T594" s="64"/>
      <c r="U594" s="78"/>
      <c r="V594" s="64"/>
      <c r="W594" s="79"/>
      <c r="X594" s="64"/>
      <c r="Y594" s="64"/>
      <c r="Z594" s="64"/>
      <c r="AA594" s="64"/>
      <c r="AB594" s="64"/>
      <c r="AC594" s="64"/>
      <c r="AD594" s="64"/>
      <c r="AE594" s="64"/>
    </row>
    <row r="595" spans="1:31" ht="17.25" customHeight="1">
      <c r="A595" s="79"/>
      <c r="B595" s="64"/>
      <c r="C595" s="64"/>
      <c r="D595" s="64"/>
      <c r="E595" s="64"/>
      <c r="F595" s="64"/>
      <c r="G595" s="64"/>
      <c r="H595" s="87"/>
      <c r="I595" s="64"/>
      <c r="J595" s="64"/>
      <c r="K595" s="64"/>
      <c r="L595" s="64"/>
      <c r="M595" s="79"/>
      <c r="N595" s="64"/>
      <c r="O595" s="64"/>
      <c r="P595" s="64"/>
      <c r="Q595" s="64"/>
      <c r="R595" s="64"/>
      <c r="S595" s="64"/>
      <c r="T595" s="64"/>
      <c r="U595" s="78"/>
      <c r="V595" s="64"/>
      <c r="W595" s="79"/>
      <c r="X595" s="64"/>
      <c r="Y595" s="64"/>
      <c r="Z595" s="64"/>
      <c r="AA595" s="64"/>
      <c r="AB595" s="64"/>
      <c r="AC595" s="64"/>
      <c r="AD595" s="64"/>
      <c r="AE595" s="64"/>
    </row>
    <row r="596" spans="1:31" ht="17.25" customHeight="1">
      <c r="A596" s="79"/>
      <c r="B596" s="64"/>
      <c r="C596" s="64"/>
      <c r="D596" s="64"/>
      <c r="E596" s="64"/>
      <c r="F596" s="64"/>
      <c r="G596" s="64"/>
      <c r="H596" s="87"/>
      <c r="I596" s="64"/>
      <c r="J596" s="64"/>
      <c r="K596" s="64"/>
      <c r="L596" s="64"/>
      <c r="M596" s="79"/>
      <c r="N596" s="64"/>
      <c r="O596" s="64"/>
      <c r="P596" s="64"/>
      <c r="Q596" s="64"/>
      <c r="R596" s="64"/>
      <c r="S596" s="64"/>
      <c r="T596" s="64"/>
      <c r="U596" s="78"/>
      <c r="V596" s="64"/>
      <c r="W596" s="79"/>
      <c r="X596" s="64"/>
      <c r="Y596" s="64"/>
      <c r="Z596" s="64"/>
      <c r="AA596" s="64"/>
      <c r="AB596" s="64"/>
      <c r="AC596" s="64"/>
      <c r="AD596" s="64"/>
      <c r="AE596" s="64"/>
    </row>
    <row r="597" spans="1:31" ht="17.25" customHeight="1">
      <c r="A597" s="79"/>
      <c r="B597" s="64"/>
      <c r="C597" s="64"/>
      <c r="D597" s="64"/>
      <c r="E597" s="64"/>
      <c r="F597" s="64"/>
      <c r="G597" s="64"/>
      <c r="H597" s="87"/>
      <c r="I597" s="64"/>
      <c r="J597" s="64"/>
      <c r="K597" s="64"/>
      <c r="L597" s="64"/>
      <c r="M597" s="79"/>
      <c r="N597" s="64"/>
      <c r="O597" s="64"/>
      <c r="P597" s="64"/>
      <c r="Q597" s="64"/>
      <c r="R597" s="64"/>
      <c r="S597" s="64"/>
      <c r="T597" s="64"/>
      <c r="U597" s="78"/>
      <c r="V597" s="64"/>
      <c r="W597" s="79"/>
      <c r="X597" s="64"/>
      <c r="Y597" s="64"/>
      <c r="Z597" s="64"/>
      <c r="AA597" s="64"/>
      <c r="AB597" s="64"/>
      <c r="AC597" s="64"/>
      <c r="AD597" s="64"/>
      <c r="AE597" s="64"/>
    </row>
    <row r="598" spans="1:31" ht="17.25" customHeight="1">
      <c r="A598" s="79"/>
      <c r="B598" s="64"/>
      <c r="C598" s="64"/>
      <c r="D598" s="64"/>
      <c r="E598" s="64"/>
      <c r="F598" s="64"/>
      <c r="G598" s="64"/>
      <c r="H598" s="87"/>
      <c r="I598" s="64"/>
      <c r="J598" s="64"/>
      <c r="K598" s="64"/>
      <c r="L598" s="64"/>
      <c r="M598" s="79"/>
      <c r="N598" s="64"/>
      <c r="O598" s="64"/>
      <c r="P598" s="64"/>
      <c r="Q598" s="64"/>
      <c r="R598" s="64"/>
      <c r="S598" s="64"/>
      <c r="T598" s="64"/>
      <c r="U598" s="78"/>
      <c r="V598" s="64"/>
      <c r="W598" s="79"/>
      <c r="X598" s="64"/>
      <c r="Y598" s="64"/>
      <c r="Z598" s="64"/>
      <c r="AA598" s="64"/>
      <c r="AB598" s="64"/>
      <c r="AC598" s="64"/>
      <c r="AD598" s="64"/>
      <c r="AE598" s="64"/>
    </row>
    <row r="599" spans="1:31" ht="17.25" customHeight="1">
      <c r="A599" s="79"/>
      <c r="B599" s="64"/>
      <c r="C599" s="64"/>
      <c r="D599" s="64"/>
      <c r="E599" s="64"/>
      <c r="F599" s="64"/>
      <c r="G599" s="64"/>
      <c r="H599" s="87"/>
      <c r="I599" s="64"/>
      <c r="J599" s="64"/>
      <c r="K599" s="64"/>
      <c r="L599" s="64"/>
      <c r="M599" s="79"/>
      <c r="N599" s="64"/>
      <c r="O599" s="64"/>
      <c r="P599" s="64"/>
      <c r="Q599" s="64"/>
      <c r="R599" s="64"/>
      <c r="S599" s="64"/>
      <c r="T599" s="64"/>
      <c r="U599" s="78"/>
      <c r="V599" s="64"/>
      <c r="W599" s="79"/>
      <c r="X599" s="64"/>
      <c r="Y599" s="64"/>
      <c r="Z599" s="64"/>
      <c r="AA599" s="64"/>
      <c r="AB599" s="64"/>
      <c r="AC599" s="64"/>
      <c r="AD599" s="64"/>
      <c r="AE599" s="64"/>
    </row>
    <row r="600" spans="1:31" ht="17.25" customHeight="1">
      <c r="A600" s="79"/>
      <c r="B600" s="64"/>
      <c r="C600" s="64"/>
      <c r="D600" s="64"/>
      <c r="E600" s="64"/>
      <c r="F600" s="64"/>
      <c r="G600" s="64"/>
      <c r="H600" s="87"/>
      <c r="I600" s="64"/>
      <c r="J600" s="64"/>
      <c r="K600" s="64"/>
      <c r="L600" s="64"/>
      <c r="M600" s="79"/>
      <c r="N600" s="64"/>
      <c r="O600" s="64"/>
      <c r="P600" s="64"/>
      <c r="Q600" s="64"/>
      <c r="R600" s="64"/>
      <c r="S600" s="64"/>
      <c r="T600" s="64"/>
      <c r="U600" s="78"/>
      <c r="V600" s="64"/>
      <c r="W600" s="79"/>
      <c r="X600" s="64"/>
      <c r="Y600" s="64"/>
      <c r="Z600" s="64"/>
      <c r="AA600" s="64"/>
      <c r="AB600" s="64"/>
      <c r="AC600" s="64"/>
      <c r="AD600" s="64"/>
      <c r="AE600" s="64"/>
    </row>
    <row r="601" spans="1:31" ht="17.25" customHeight="1">
      <c r="A601" s="79"/>
      <c r="B601" s="64"/>
      <c r="C601" s="64"/>
      <c r="D601" s="64"/>
      <c r="E601" s="64"/>
      <c r="F601" s="64"/>
      <c r="G601" s="64"/>
      <c r="H601" s="87"/>
      <c r="I601" s="64"/>
      <c r="J601" s="64"/>
      <c r="K601" s="64"/>
      <c r="L601" s="64"/>
      <c r="M601" s="79"/>
      <c r="N601" s="64"/>
      <c r="O601" s="64"/>
      <c r="P601" s="64"/>
      <c r="Q601" s="64"/>
      <c r="R601" s="64"/>
      <c r="S601" s="64"/>
      <c r="T601" s="64"/>
      <c r="U601" s="78"/>
      <c r="V601" s="64"/>
      <c r="W601" s="79"/>
      <c r="X601" s="64"/>
      <c r="Y601" s="64"/>
      <c r="Z601" s="64"/>
      <c r="AA601" s="64"/>
      <c r="AB601" s="64"/>
      <c r="AC601" s="64"/>
      <c r="AD601" s="64"/>
      <c r="AE601" s="64"/>
    </row>
    <row r="602" spans="1:31" ht="17.25" customHeight="1">
      <c r="A602" s="79"/>
      <c r="B602" s="64"/>
      <c r="C602" s="64"/>
      <c r="D602" s="64"/>
      <c r="E602" s="64"/>
      <c r="F602" s="64"/>
      <c r="G602" s="64"/>
      <c r="H602" s="87"/>
      <c r="I602" s="64"/>
      <c r="J602" s="64"/>
      <c r="K602" s="64"/>
      <c r="L602" s="64"/>
      <c r="M602" s="79"/>
      <c r="N602" s="64"/>
      <c r="O602" s="64"/>
      <c r="P602" s="64"/>
      <c r="Q602" s="64"/>
      <c r="R602" s="64"/>
      <c r="S602" s="64"/>
      <c r="T602" s="64"/>
      <c r="U602" s="78"/>
      <c r="V602" s="64"/>
      <c r="W602" s="79"/>
      <c r="X602" s="64"/>
      <c r="Y602" s="64"/>
      <c r="Z602" s="64"/>
      <c r="AA602" s="64"/>
      <c r="AB602" s="64"/>
      <c r="AC602" s="64"/>
      <c r="AD602" s="64"/>
      <c r="AE602" s="64"/>
    </row>
    <row r="603" spans="1:31" ht="17.25" customHeight="1">
      <c r="A603" s="79"/>
      <c r="B603" s="64"/>
      <c r="C603" s="64"/>
      <c r="D603" s="64"/>
      <c r="E603" s="64"/>
      <c r="F603" s="64"/>
      <c r="G603" s="64"/>
      <c r="H603" s="87"/>
      <c r="I603" s="64"/>
      <c r="J603" s="64"/>
      <c r="K603" s="64"/>
      <c r="L603" s="64"/>
      <c r="M603" s="79"/>
      <c r="N603" s="64"/>
      <c r="O603" s="64"/>
      <c r="P603" s="64"/>
      <c r="Q603" s="64"/>
      <c r="R603" s="64"/>
      <c r="S603" s="64"/>
      <c r="T603" s="64"/>
      <c r="U603" s="78"/>
      <c r="V603" s="64"/>
      <c r="W603" s="79"/>
      <c r="X603" s="64"/>
      <c r="Y603" s="64"/>
      <c r="Z603" s="64"/>
      <c r="AA603" s="64"/>
      <c r="AB603" s="64"/>
      <c r="AC603" s="64"/>
      <c r="AD603" s="64"/>
      <c r="AE603" s="64"/>
    </row>
    <row r="604" spans="1:31" ht="17.25" customHeight="1">
      <c r="A604" s="79"/>
      <c r="B604" s="64"/>
      <c r="C604" s="64"/>
      <c r="D604" s="64"/>
      <c r="E604" s="64"/>
      <c r="F604" s="64"/>
      <c r="G604" s="64"/>
      <c r="H604" s="87"/>
      <c r="I604" s="64"/>
      <c r="J604" s="64"/>
      <c r="K604" s="64"/>
      <c r="L604" s="64"/>
      <c r="M604" s="79"/>
      <c r="N604" s="64"/>
      <c r="O604" s="64"/>
      <c r="P604" s="64"/>
      <c r="Q604" s="64"/>
      <c r="R604" s="64"/>
      <c r="S604" s="64"/>
      <c r="T604" s="64"/>
      <c r="U604" s="78"/>
      <c r="V604" s="64"/>
      <c r="W604" s="79"/>
      <c r="X604" s="64"/>
      <c r="Y604" s="64"/>
      <c r="Z604" s="64"/>
      <c r="AA604" s="64"/>
      <c r="AB604" s="64"/>
      <c r="AC604" s="64"/>
      <c r="AD604" s="64"/>
      <c r="AE604" s="64"/>
    </row>
    <row r="605" spans="1:31" ht="17.25" customHeight="1">
      <c r="A605" s="79"/>
      <c r="B605" s="64"/>
      <c r="C605" s="64"/>
      <c r="D605" s="64"/>
      <c r="E605" s="64"/>
      <c r="F605" s="64"/>
      <c r="G605" s="64"/>
      <c r="H605" s="87"/>
      <c r="I605" s="64"/>
      <c r="J605" s="64"/>
      <c r="K605" s="64"/>
      <c r="L605" s="64"/>
      <c r="M605" s="79"/>
      <c r="N605" s="64"/>
      <c r="O605" s="64"/>
      <c r="P605" s="64"/>
      <c r="Q605" s="64"/>
      <c r="R605" s="64"/>
      <c r="S605" s="64"/>
      <c r="T605" s="64"/>
      <c r="U605" s="78"/>
      <c r="V605" s="64"/>
      <c r="W605" s="79"/>
      <c r="X605" s="64"/>
      <c r="Y605" s="64"/>
      <c r="Z605" s="64"/>
      <c r="AA605" s="64"/>
      <c r="AB605" s="64"/>
      <c r="AC605" s="64"/>
      <c r="AD605" s="64"/>
      <c r="AE605" s="64"/>
    </row>
    <row r="606" spans="1:31" ht="17.25" customHeight="1">
      <c r="A606" s="79"/>
      <c r="B606" s="64"/>
      <c r="C606" s="64"/>
      <c r="D606" s="64"/>
      <c r="E606" s="64"/>
      <c r="F606" s="64"/>
      <c r="G606" s="64"/>
      <c r="H606" s="87"/>
      <c r="I606" s="64"/>
      <c r="J606" s="64"/>
      <c r="K606" s="64"/>
      <c r="L606" s="64"/>
      <c r="M606" s="79"/>
      <c r="N606" s="64"/>
      <c r="O606" s="64"/>
      <c r="P606" s="64"/>
      <c r="Q606" s="64"/>
      <c r="R606" s="64"/>
      <c r="S606" s="64"/>
      <c r="T606" s="64"/>
      <c r="U606" s="78"/>
      <c r="V606" s="64"/>
      <c r="W606" s="79"/>
      <c r="X606" s="64"/>
      <c r="Y606" s="64"/>
      <c r="Z606" s="64"/>
      <c r="AA606" s="64"/>
      <c r="AB606" s="64"/>
      <c r="AC606" s="64"/>
      <c r="AD606" s="64"/>
      <c r="AE606" s="64"/>
    </row>
    <row r="607" spans="1:31" ht="17.25" customHeight="1">
      <c r="A607" s="79"/>
      <c r="B607" s="64"/>
      <c r="C607" s="64"/>
      <c r="D607" s="64"/>
      <c r="E607" s="64"/>
      <c r="F607" s="64"/>
      <c r="G607" s="64"/>
      <c r="H607" s="87"/>
      <c r="I607" s="64"/>
      <c r="J607" s="64"/>
      <c r="K607" s="64"/>
      <c r="L607" s="64"/>
      <c r="M607" s="79"/>
      <c r="N607" s="64"/>
      <c r="O607" s="64"/>
      <c r="P607" s="64"/>
      <c r="Q607" s="64"/>
      <c r="R607" s="64"/>
      <c r="S607" s="64"/>
      <c r="T607" s="64"/>
      <c r="U607" s="78"/>
      <c r="V607" s="64"/>
      <c r="W607" s="79"/>
      <c r="X607" s="64"/>
      <c r="Y607" s="64"/>
      <c r="Z607" s="64"/>
      <c r="AA607" s="64"/>
      <c r="AB607" s="64"/>
      <c r="AC607" s="64"/>
      <c r="AD607" s="64"/>
      <c r="AE607" s="64"/>
    </row>
    <row r="608" spans="1:31" ht="17.25" customHeight="1">
      <c r="A608" s="79"/>
      <c r="B608" s="64"/>
      <c r="C608" s="64"/>
      <c r="D608" s="64"/>
      <c r="E608" s="64"/>
      <c r="F608" s="64"/>
      <c r="G608" s="64"/>
      <c r="H608" s="87"/>
      <c r="I608" s="64"/>
      <c r="J608" s="64"/>
      <c r="K608" s="64"/>
      <c r="L608" s="64"/>
      <c r="M608" s="79"/>
      <c r="N608" s="64"/>
      <c r="O608" s="64"/>
      <c r="P608" s="64"/>
      <c r="Q608" s="64"/>
      <c r="R608" s="64"/>
      <c r="S608" s="64"/>
      <c r="T608" s="64"/>
      <c r="U608" s="78"/>
      <c r="V608" s="64"/>
      <c r="W608" s="79"/>
      <c r="X608" s="64"/>
      <c r="Y608" s="64"/>
      <c r="Z608" s="64"/>
      <c r="AA608" s="64"/>
      <c r="AB608" s="64"/>
      <c r="AC608" s="64"/>
      <c r="AD608" s="64"/>
      <c r="AE608" s="64"/>
    </row>
    <row r="609" spans="1:31" ht="17.25" customHeight="1">
      <c r="A609" s="79"/>
      <c r="B609" s="64"/>
      <c r="C609" s="64"/>
      <c r="D609" s="64"/>
      <c r="E609" s="64"/>
      <c r="F609" s="64"/>
      <c r="G609" s="64"/>
      <c r="H609" s="87"/>
      <c r="I609" s="64"/>
      <c r="J609" s="64"/>
      <c r="K609" s="64"/>
      <c r="L609" s="64"/>
      <c r="M609" s="79"/>
      <c r="N609" s="64"/>
      <c r="O609" s="64"/>
      <c r="P609" s="64"/>
      <c r="Q609" s="64"/>
      <c r="R609" s="64"/>
      <c r="S609" s="64"/>
      <c r="T609" s="64"/>
      <c r="U609" s="78"/>
      <c r="V609" s="64"/>
      <c r="W609" s="79"/>
      <c r="X609" s="64"/>
      <c r="Y609" s="64"/>
      <c r="Z609" s="64"/>
      <c r="AA609" s="64"/>
      <c r="AB609" s="64"/>
      <c r="AC609" s="64"/>
      <c r="AD609" s="64"/>
      <c r="AE609" s="64"/>
    </row>
    <row r="610" spans="1:31" ht="17.25" customHeight="1">
      <c r="A610" s="79"/>
      <c r="B610" s="64"/>
      <c r="C610" s="64"/>
      <c r="D610" s="64"/>
      <c r="E610" s="64"/>
      <c r="F610" s="64"/>
      <c r="G610" s="64"/>
      <c r="H610" s="87"/>
      <c r="I610" s="64"/>
      <c r="J610" s="64"/>
      <c r="K610" s="64"/>
      <c r="L610" s="64"/>
      <c r="M610" s="79"/>
      <c r="N610" s="64"/>
      <c r="O610" s="64"/>
      <c r="P610" s="64"/>
      <c r="Q610" s="64"/>
      <c r="R610" s="64"/>
      <c r="S610" s="64"/>
      <c r="T610" s="64"/>
      <c r="U610" s="78"/>
      <c r="V610" s="64"/>
      <c r="W610" s="79"/>
      <c r="X610" s="64"/>
      <c r="Y610" s="64"/>
      <c r="Z610" s="64"/>
      <c r="AA610" s="64"/>
      <c r="AB610" s="64"/>
      <c r="AC610" s="64"/>
      <c r="AD610" s="64"/>
      <c r="AE610" s="64"/>
    </row>
    <row r="611" spans="1:31" ht="17.25" customHeight="1">
      <c r="A611" s="79"/>
      <c r="B611" s="64"/>
      <c r="C611" s="64"/>
      <c r="D611" s="64"/>
      <c r="E611" s="64"/>
      <c r="F611" s="64"/>
      <c r="G611" s="64"/>
      <c r="H611" s="87"/>
      <c r="I611" s="64"/>
      <c r="J611" s="64"/>
      <c r="K611" s="64"/>
      <c r="L611" s="64"/>
      <c r="M611" s="79"/>
      <c r="N611" s="64"/>
      <c r="O611" s="64"/>
      <c r="P611" s="64"/>
      <c r="Q611" s="64"/>
      <c r="R611" s="64"/>
      <c r="S611" s="64"/>
      <c r="T611" s="64"/>
      <c r="U611" s="78"/>
      <c r="V611" s="64"/>
      <c r="W611" s="79"/>
      <c r="X611" s="64"/>
      <c r="Y611" s="64"/>
      <c r="Z611" s="64"/>
      <c r="AA611" s="64"/>
      <c r="AB611" s="64"/>
      <c r="AC611" s="64"/>
      <c r="AD611" s="64"/>
      <c r="AE611" s="64"/>
    </row>
    <row r="612" spans="1:31" ht="17.25" customHeight="1">
      <c r="A612" s="79"/>
      <c r="B612" s="64"/>
      <c r="C612" s="64"/>
      <c r="D612" s="64"/>
      <c r="E612" s="64"/>
      <c r="F612" s="64"/>
      <c r="G612" s="64"/>
      <c r="H612" s="87"/>
      <c r="I612" s="64"/>
      <c r="J612" s="64"/>
      <c r="K612" s="64"/>
      <c r="L612" s="64"/>
      <c r="M612" s="79"/>
      <c r="N612" s="64"/>
      <c r="O612" s="64"/>
      <c r="P612" s="64"/>
      <c r="Q612" s="64"/>
      <c r="R612" s="64"/>
      <c r="S612" s="64"/>
      <c r="T612" s="64"/>
      <c r="U612" s="78"/>
      <c r="V612" s="64"/>
      <c r="W612" s="79"/>
      <c r="X612" s="64"/>
      <c r="Y612" s="64"/>
      <c r="Z612" s="64"/>
      <c r="AA612" s="64"/>
      <c r="AB612" s="64"/>
      <c r="AC612" s="64"/>
      <c r="AD612" s="64"/>
      <c r="AE612" s="64"/>
    </row>
    <row r="613" spans="1:31" ht="17.25" customHeight="1">
      <c r="A613" s="79"/>
      <c r="B613" s="64"/>
      <c r="C613" s="64"/>
      <c r="D613" s="64"/>
      <c r="E613" s="64"/>
      <c r="F613" s="64"/>
      <c r="G613" s="64"/>
      <c r="H613" s="87"/>
      <c r="I613" s="64"/>
      <c r="J613" s="64"/>
      <c r="K613" s="64"/>
      <c r="L613" s="64"/>
      <c r="M613" s="79"/>
      <c r="N613" s="64"/>
      <c r="O613" s="64"/>
      <c r="P613" s="64"/>
      <c r="Q613" s="64"/>
      <c r="R613" s="64"/>
      <c r="S613" s="64"/>
      <c r="T613" s="64"/>
      <c r="U613" s="78"/>
      <c r="V613" s="64"/>
      <c r="W613" s="79"/>
      <c r="X613" s="64"/>
      <c r="Y613" s="64"/>
      <c r="Z613" s="64"/>
      <c r="AA613" s="64"/>
      <c r="AB613" s="64"/>
      <c r="AC613" s="64"/>
      <c r="AD613" s="64"/>
      <c r="AE613" s="64"/>
    </row>
    <row r="614" spans="1:31" ht="17.25" customHeight="1">
      <c r="A614" s="79"/>
      <c r="B614" s="64"/>
      <c r="C614" s="64"/>
      <c r="D614" s="64"/>
      <c r="E614" s="64"/>
      <c r="F614" s="64"/>
      <c r="G614" s="64"/>
      <c r="H614" s="87"/>
      <c r="I614" s="64"/>
      <c r="J614" s="64"/>
      <c r="K614" s="64"/>
      <c r="L614" s="64"/>
      <c r="M614" s="79"/>
      <c r="N614" s="64"/>
      <c r="O614" s="64"/>
      <c r="P614" s="64"/>
      <c r="Q614" s="64"/>
      <c r="R614" s="64"/>
      <c r="S614" s="64"/>
      <c r="T614" s="64"/>
      <c r="U614" s="78"/>
      <c r="V614" s="64"/>
      <c r="W614" s="79"/>
      <c r="X614" s="64"/>
      <c r="Y614" s="64"/>
      <c r="Z614" s="64"/>
      <c r="AA614" s="64"/>
      <c r="AB614" s="64"/>
      <c r="AC614" s="64"/>
      <c r="AD614" s="64"/>
      <c r="AE614" s="64"/>
    </row>
    <row r="615" spans="1:31" ht="17.25" customHeight="1">
      <c r="A615" s="79"/>
      <c r="B615" s="64"/>
      <c r="C615" s="64"/>
      <c r="D615" s="64"/>
      <c r="E615" s="64"/>
      <c r="F615" s="64"/>
      <c r="G615" s="64"/>
      <c r="H615" s="87"/>
      <c r="I615" s="64"/>
      <c r="J615" s="64"/>
      <c r="K615" s="64"/>
      <c r="L615" s="64"/>
      <c r="M615" s="79"/>
      <c r="N615" s="64"/>
      <c r="O615" s="64"/>
      <c r="P615" s="64"/>
      <c r="Q615" s="64"/>
      <c r="R615" s="64"/>
      <c r="S615" s="64"/>
      <c r="T615" s="64"/>
      <c r="U615" s="78"/>
      <c r="V615" s="64"/>
      <c r="W615" s="79"/>
      <c r="X615" s="64"/>
      <c r="Y615" s="64"/>
      <c r="Z615" s="64"/>
      <c r="AA615" s="64"/>
      <c r="AB615" s="64"/>
      <c r="AC615" s="64"/>
      <c r="AD615" s="64"/>
      <c r="AE615" s="64"/>
    </row>
    <row r="616" spans="1:31" ht="17.25" customHeight="1">
      <c r="A616" s="79"/>
      <c r="B616" s="64"/>
      <c r="C616" s="64"/>
      <c r="D616" s="64"/>
      <c r="E616" s="64"/>
      <c r="F616" s="64"/>
      <c r="G616" s="64"/>
      <c r="H616" s="87"/>
      <c r="I616" s="64"/>
      <c r="J616" s="64"/>
      <c r="K616" s="64"/>
      <c r="L616" s="64"/>
      <c r="M616" s="79"/>
      <c r="N616" s="64"/>
      <c r="O616" s="64"/>
      <c r="P616" s="64"/>
      <c r="Q616" s="64"/>
      <c r="R616" s="64"/>
      <c r="S616" s="64"/>
      <c r="T616" s="64"/>
      <c r="U616" s="78"/>
      <c r="V616" s="64"/>
      <c r="W616" s="79"/>
      <c r="X616" s="64"/>
      <c r="Y616" s="64"/>
      <c r="Z616" s="64"/>
      <c r="AA616" s="64"/>
      <c r="AB616" s="64"/>
      <c r="AC616" s="64"/>
      <c r="AD616" s="64"/>
      <c r="AE616" s="64"/>
    </row>
    <row r="617" spans="1:31" ht="17.25" customHeight="1">
      <c r="A617" s="79"/>
      <c r="B617" s="64"/>
      <c r="C617" s="64"/>
      <c r="D617" s="64"/>
      <c r="E617" s="64"/>
      <c r="F617" s="64"/>
      <c r="G617" s="64"/>
      <c r="H617" s="87"/>
      <c r="I617" s="64"/>
      <c r="J617" s="64"/>
      <c r="K617" s="64"/>
      <c r="L617" s="64"/>
      <c r="M617" s="79"/>
      <c r="N617" s="64"/>
      <c r="O617" s="64"/>
      <c r="P617" s="64"/>
      <c r="Q617" s="64"/>
      <c r="R617" s="64"/>
      <c r="S617" s="64"/>
      <c r="T617" s="64"/>
      <c r="U617" s="78"/>
      <c r="V617" s="64"/>
      <c r="W617" s="79"/>
      <c r="X617" s="64"/>
      <c r="Y617" s="64"/>
      <c r="Z617" s="64"/>
      <c r="AA617" s="64"/>
      <c r="AB617" s="64"/>
      <c r="AC617" s="64"/>
      <c r="AD617" s="64"/>
      <c r="AE617" s="64"/>
    </row>
    <row r="618" spans="1:31" ht="17.25" customHeight="1">
      <c r="A618" s="79"/>
      <c r="B618" s="64"/>
      <c r="C618" s="64"/>
      <c r="D618" s="64"/>
      <c r="E618" s="64"/>
      <c r="F618" s="64"/>
      <c r="G618" s="64"/>
      <c r="H618" s="87"/>
      <c r="I618" s="64"/>
      <c r="J618" s="64"/>
      <c r="K618" s="64"/>
      <c r="L618" s="64"/>
      <c r="M618" s="79"/>
      <c r="N618" s="64"/>
      <c r="O618" s="64"/>
      <c r="P618" s="64"/>
      <c r="Q618" s="64"/>
      <c r="R618" s="64"/>
      <c r="S618" s="64"/>
      <c r="T618" s="64"/>
      <c r="U618" s="78"/>
      <c r="V618" s="64"/>
      <c r="W618" s="79"/>
      <c r="X618" s="64"/>
      <c r="Y618" s="64"/>
      <c r="Z618" s="64"/>
      <c r="AA618" s="64"/>
      <c r="AB618" s="64"/>
      <c r="AC618" s="64"/>
      <c r="AD618" s="64"/>
      <c r="AE618" s="64"/>
    </row>
    <row r="619" spans="1:31" ht="17.25" customHeight="1">
      <c r="A619" s="79"/>
      <c r="B619" s="64"/>
      <c r="C619" s="64"/>
      <c r="D619" s="64"/>
      <c r="E619" s="64"/>
      <c r="F619" s="64"/>
      <c r="G619" s="64"/>
      <c r="H619" s="87"/>
      <c r="I619" s="64"/>
      <c r="J619" s="64"/>
      <c r="K619" s="64"/>
      <c r="L619" s="64"/>
      <c r="M619" s="79"/>
      <c r="N619" s="64"/>
      <c r="O619" s="64"/>
      <c r="P619" s="64"/>
      <c r="Q619" s="64"/>
      <c r="R619" s="64"/>
      <c r="S619" s="64"/>
      <c r="T619" s="64"/>
      <c r="U619" s="78"/>
      <c r="V619" s="64"/>
      <c r="W619" s="79"/>
      <c r="X619" s="64"/>
      <c r="Y619" s="64"/>
      <c r="Z619" s="64"/>
      <c r="AA619" s="64"/>
      <c r="AB619" s="64"/>
      <c r="AC619" s="64"/>
      <c r="AD619" s="64"/>
      <c r="AE619" s="64"/>
    </row>
    <row r="620" spans="1:31" ht="17.25" customHeight="1">
      <c r="A620" s="79"/>
      <c r="B620" s="64"/>
      <c r="C620" s="64"/>
      <c r="D620" s="64"/>
      <c r="E620" s="64"/>
      <c r="F620" s="64"/>
      <c r="G620" s="64"/>
      <c r="H620" s="87"/>
      <c r="I620" s="64"/>
      <c r="J620" s="64"/>
      <c r="K620" s="64"/>
      <c r="L620" s="64"/>
      <c r="M620" s="79"/>
      <c r="N620" s="64"/>
      <c r="O620" s="64"/>
      <c r="P620" s="64"/>
      <c r="Q620" s="64"/>
      <c r="R620" s="64"/>
      <c r="S620" s="64"/>
      <c r="T620" s="64"/>
      <c r="U620" s="78"/>
      <c r="V620" s="64"/>
      <c r="W620" s="79"/>
      <c r="X620" s="64"/>
      <c r="Y620" s="64"/>
      <c r="Z620" s="64"/>
      <c r="AA620" s="64"/>
      <c r="AB620" s="64"/>
      <c r="AC620" s="64"/>
      <c r="AD620" s="64"/>
      <c r="AE620" s="64"/>
    </row>
    <row r="621" spans="1:31" ht="17.25" customHeight="1">
      <c r="A621" s="79"/>
      <c r="B621" s="64"/>
      <c r="C621" s="64"/>
      <c r="D621" s="64"/>
      <c r="E621" s="64"/>
      <c r="F621" s="64"/>
      <c r="G621" s="64"/>
      <c r="H621" s="87"/>
      <c r="I621" s="64"/>
      <c r="J621" s="64"/>
      <c r="K621" s="64"/>
      <c r="L621" s="64"/>
      <c r="M621" s="79"/>
      <c r="N621" s="64"/>
      <c r="O621" s="64"/>
      <c r="P621" s="64"/>
      <c r="Q621" s="64"/>
      <c r="R621" s="64"/>
      <c r="S621" s="64"/>
      <c r="T621" s="64"/>
      <c r="U621" s="78"/>
      <c r="V621" s="64"/>
      <c r="W621" s="79"/>
      <c r="X621" s="64"/>
      <c r="Y621" s="64"/>
      <c r="Z621" s="64"/>
      <c r="AA621" s="64"/>
      <c r="AB621" s="64"/>
      <c r="AC621" s="64"/>
      <c r="AD621" s="64"/>
      <c r="AE621" s="64"/>
    </row>
    <row r="622" spans="1:31" ht="17.25" customHeight="1">
      <c r="A622" s="79"/>
      <c r="B622" s="64"/>
      <c r="C622" s="64"/>
      <c r="D622" s="64"/>
      <c r="E622" s="64"/>
      <c r="F622" s="64"/>
      <c r="G622" s="64"/>
      <c r="H622" s="87"/>
      <c r="I622" s="64"/>
      <c r="J622" s="64"/>
      <c r="K622" s="64"/>
      <c r="L622" s="64"/>
      <c r="M622" s="79"/>
      <c r="N622" s="64"/>
      <c r="O622" s="64"/>
      <c r="P622" s="64"/>
      <c r="Q622" s="64"/>
      <c r="R622" s="64"/>
      <c r="S622" s="64"/>
      <c r="T622" s="64"/>
      <c r="U622" s="78"/>
      <c r="V622" s="64"/>
      <c r="W622" s="79"/>
      <c r="X622" s="64"/>
      <c r="Y622" s="64"/>
      <c r="Z622" s="64"/>
      <c r="AA622" s="64"/>
      <c r="AB622" s="64"/>
      <c r="AC622" s="64"/>
      <c r="AD622" s="64"/>
      <c r="AE622" s="64"/>
    </row>
    <row r="623" spans="1:31" ht="17.25" customHeight="1">
      <c r="A623" s="79"/>
      <c r="B623" s="64"/>
      <c r="C623" s="64"/>
      <c r="D623" s="64"/>
      <c r="E623" s="64"/>
      <c r="F623" s="64"/>
      <c r="G623" s="64"/>
      <c r="H623" s="87"/>
      <c r="I623" s="64"/>
      <c r="J623" s="64"/>
      <c r="K623" s="64"/>
      <c r="L623" s="64"/>
      <c r="M623" s="79"/>
      <c r="N623" s="64"/>
      <c r="O623" s="64"/>
      <c r="P623" s="64"/>
      <c r="Q623" s="64"/>
      <c r="R623" s="64"/>
      <c r="S623" s="64"/>
      <c r="T623" s="64"/>
      <c r="U623" s="78"/>
      <c r="V623" s="64"/>
      <c r="W623" s="79"/>
      <c r="X623" s="64"/>
      <c r="Y623" s="64"/>
      <c r="Z623" s="64"/>
      <c r="AA623" s="64"/>
      <c r="AB623" s="64"/>
      <c r="AC623" s="64"/>
      <c r="AD623" s="64"/>
      <c r="AE623" s="64"/>
    </row>
    <row r="624" spans="1:31" ht="17.25" customHeight="1">
      <c r="A624" s="79"/>
      <c r="B624" s="64"/>
      <c r="C624" s="64"/>
      <c r="D624" s="64"/>
      <c r="E624" s="64"/>
      <c r="F624" s="64"/>
      <c r="G624" s="64"/>
      <c r="H624" s="87"/>
      <c r="I624" s="64"/>
      <c r="J624" s="64"/>
      <c r="K624" s="64"/>
      <c r="L624" s="64"/>
      <c r="M624" s="79"/>
      <c r="N624" s="64"/>
      <c r="O624" s="64"/>
      <c r="P624" s="64"/>
      <c r="Q624" s="64"/>
      <c r="R624" s="64"/>
      <c r="S624" s="64"/>
      <c r="T624" s="64"/>
      <c r="U624" s="78"/>
      <c r="V624" s="64"/>
      <c r="W624" s="79"/>
      <c r="X624" s="64"/>
      <c r="Y624" s="64"/>
      <c r="Z624" s="64"/>
      <c r="AA624" s="64"/>
      <c r="AB624" s="64"/>
      <c r="AC624" s="64"/>
      <c r="AD624" s="64"/>
      <c r="AE624" s="64"/>
    </row>
    <row r="625" spans="1:31" ht="17.25" customHeight="1">
      <c r="A625" s="79"/>
      <c r="B625" s="64"/>
      <c r="C625" s="64"/>
      <c r="D625" s="64"/>
      <c r="E625" s="64"/>
      <c r="F625" s="64"/>
      <c r="G625" s="64"/>
      <c r="H625" s="87"/>
      <c r="I625" s="64"/>
      <c r="J625" s="64"/>
      <c r="K625" s="64"/>
      <c r="L625" s="64"/>
      <c r="M625" s="79"/>
      <c r="N625" s="64"/>
      <c r="O625" s="64"/>
      <c r="P625" s="64"/>
      <c r="Q625" s="64"/>
      <c r="R625" s="64"/>
      <c r="S625" s="64"/>
      <c r="T625" s="64"/>
      <c r="U625" s="78"/>
      <c r="V625" s="64"/>
      <c r="W625" s="79"/>
      <c r="X625" s="64"/>
      <c r="Y625" s="64"/>
      <c r="Z625" s="64"/>
      <c r="AA625" s="64"/>
      <c r="AB625" s="64"/>
      <c r="AC625" s="64"/>
      <c r="AD625" s="64"/>
      <c r="AE625" s="64"/>
    </row>
    <row r="626" spans="1:31" ht="17.25" customHeight="1">
      <c r="A626" s="79"/>
      <c r="B626" s="64"/>
      <c r="C626" s="64"/>
      <c r="D626" s="64"/>
      <c r="E626" s="64"/>
      <c r="F626" s="64"/>
      <c r="G626" s="64"/>
      <c r="H626" s="87"/>
      <c r="I626" s="64"/>
      <c r="J626" s="64"/>
      <c r="K626" s="64"/>
      <c r="L626" s="64"/>
      <c r="M626" s="79"/>
      <c r="N626" s="64"/>
      <c r="O626" s="64"/>
      <c r="P626" s="64"/>
      <c r="Q626" s="64"/>
      <c r="R626" s="64"/>
      <c r="S626" s="64"/>
      <c r="T626" s="64"/>
      <c r="U626" s="78"/>
      <c r="V626" s="64"/>
      <c r="W626" s="79"/>
      <c r="X626" s="64"/>
      <c r="Y626" s="64"/>
      <c r="Z626" s="64"/>
      <c r="AA626" s="64"/>
      <c r="AB626" s="64"/>
      <c r="AC626" s="64"/>
      <c r="AD626" s="64"/>
      <c r="AE626" s="64"/>
    </row>
    <row r="627" spans="1:31" ht="17.25" customHeight="1">
      <c r="A627" s="79"/>
      <c r="B627" s="64"/>
      <c r="C627" s="64"/>
      <c r="D627" s="64"/>
      <c r="E627" s="64"/>
      <c r="F627" s="64"/>
      <c r="G627" s="64"/>
      <c r="H627" s="87"/>
      <c r="I627" s="64"/>
      <c r="J627" s="64"/>
      <c r="K627" s="64"/>
      <c r="L627" s="64"/>
      <c r="M627" s="79"/>
      <c r="N627" s="64"/>
      <c r="O627" s="64"/>
      <c r="P627" s="64"/>
      <c r="Q627" s="64"/>
      <c r="R627" s="64"/>
      <c r="S627" s="64"/>
      <c r="T627" s="64"/>
      <c r="U627" s="78"/>
      <c r="V627" s="64"/>
      <c r="W627" s="79"/>
      <c r="X627" s="64"/>
      <c r="Y627" s="64"/>
      <c r="Z627" s="64"/>
      <c r="AA627" s="64"/>
      <c r="AB627" s="64"/>
      <c r="AC627" s="64"/>
      <c r="AD627" s="64"/>
      <c r="AE627" s="64"/>
    </row>
    <row r="628" spans="1:31" ht="17.25" customHeight="1">
      <c r="A628" s="79"/>
      <c r="B628" s="64"/>
      <c r="C628" s="64"/>
      <c r="D628" s="64"/>
      <c r="E628" s="64"/>
      <c r="F628" s="64"/>
      <c r="G628" s="64"/>
      <c r="H628" s="87"/>
      <c r="I628" s="64"/>
      <c r="J628" s="64"/>
      <c r="K628" s="64"/>
      <c r="L628" s="64"/>
      <c r="M628" s="79"/>
      <c r="N628" s="64"/>
      <c r="O628" s="64"/>
      <c r="P628" s="64"/>
      <c r="Q628" s="64"/>
      <c r="R628" s="64"/>
      <c r="S628" s="64"/>
      <c r="T628" s="64"/>
      <c r="U628" s="78"/>
      <c r="V628" s="64"/>
      <c r="W628" s="79"/>
      <c r="X628" s="64"/>
      <c r="Y628" s="64"/>
      <c r="Z628" s="64"/>
      <c r="AA628" s="64"/>
      <c r="AB628" s="64"/>
      <c r="AC628" s="64"/>
      <c r="AD628" s="64"/>
      <c r="AE628" s="64"/>
    </row>
    <row r="629" spans="1:31" ht="17.25" customHeight="1">
      <c r="A629" s="79"/>
      <c r="B629" s="64"/>
      <c r="C629" s="64"/>
      <c r="D629" s="64"/>
      <c r="E629" s="64"/>
      <c r="F629" s="64"/>
      <c r="G629" s="64"/>
      <c r="H629" s="87"/>
      <c r="I629" s="64"/>
      <c r="J629" s="64"/>
      <c r="K629" s="64"/>
      <c r="L629" s="64"/>
      <c r="M629" s="79"/>
      <c r="N629" s="64"/>
      <c r="O629" s="64"/>
      <c r="P629" s="64"/>
      <c r="Q629" s="64"/>
      <c r="R629" s="64"/>
      <c r="S629" s="64"/>
      <c r="T629" s="64"/>
      <c r="U629" s="78"/>
      <c r="V629" s="64"/>
      <c r="W629" s="79"/>
      <c r="X629" s="64"/>
      <c r="Y629" s="64"/>
      <c r="Z629" s="64"/>
      <c r="AA629" s="64"/>
      <c r="AB629" s="64"/>
      <c r="AC629" s="64"/>
      <c r="AD629" s="64"/>
      <c r="AE629" s="64"/>
    </row>
    <row r="630" spans="1:31" ht="17.25" customHeight="1">
      <c r="A630" s="79"/>
      <c r="B630" s="64"/>
      <c r="C630" s="64"/>
      <c r="D630" s="64"/>
      <c r="E630" s="64"/>
      <c r="F630" s="64"/>
      <c r="G630" s="64"/>
      <c r="H630" s="87"/>
      <c r="I630" s="64"/>
      <c r="J630" s="64"/>
      <c r="K630" s="64"/>
      <c r="L630" s="64"/>
      <c r="M630" s="79"/>
      <c r="N630" s="64"/>
      <c r="O630" s="64"/>
      <c r="P630" s="64"/>
      <c r="Q630" s="64"/>
      <c r="R630" s="64"/>
      <c r="S630" s="64"/>
      <c r="T630" s="64"/>
      <c r="U630" s="78"/>
      <c r="V630" s="64"/>
      <c r="W630" s="79"/>
      <c r="X630" s="64"/>
      <c r="Y630" s="64"/>
      <c r="Z630" s="64"/>
      <c r="AA630" s="64"/>
      <c r="AB630" s="64"/>
      <c r="AC630" s="64"/>
      <c r="AD630" s="64"/>
      <c r="AE630" s="64"/>
    </row>
    <row r="631" spans="1:31" ht="17.25" customHeight="1">
      <c r="A631" s="79"/>
      <c r="B631" s="64"/>
      <c r="C631" s="64"/>
      <c r="D631" s="64"/>
      <c r="E631" s="64"/>
      <c r="F631" s="64"/>
      <c r="G631" s="64"/>
      <c r="H631" s="87"/>
      <c r="I631" s="64"/>
      <c r="J631" s="64"/>
      <c r="K631" s="64"/>
      <c r="L631" s="64"/>
      <c r="M631" s="79"/>
      <c r="N631" s="64"/>
      <c r="O631" s="64"/>
      <c r="P631" s="64"/>
      <c r="Q631" s="64"/>
      <c r="R631" s="64"/>
      <c r="S631" s="64"/>
      <c r="T631" s="64"/>
      <c r="U631" s="78"/>
      <c r="V631" s="64"/>
      <c r="W631" s="79"/>
      <c r="X631" s="64"/>
      <c r="Y631" s="64"/>
      <c r="Z631" s="64"/>
      <c r="AA631" s="64"/>
      <c r="AB631" s="64"/>
      <c r="AC631" s="64"/>
      <c r="AD631" s="64"/>
      <c r="AE631" s="64"/>
    </row>
    <row r="632" spans="1:31" ht="17.25" customHeight="1">
      <c r="A632" s="79"/>
      <c r="B632" s="64"/>
      <c r="C632" s="64"/>
      <c r="D632" s="64"/>
      <c r="E632" s="64"/>
      <c r="F632" s="64"/>
      <c r="G632" s="64"/>
      <c r="H632" s="87"/>
      <c r="I632" s="64"/>
      <c r="J632" s="64"/>
      <c r="K632" s="64"/>
      <c r="L632" s="64"/>
      <c r="M632" s="79"/>
      <c r="N632" s="64"/>
      <c r="O632" s="64"/>
      <c r="P632" s="64"/>
      <c r="Q632" s="64"/>
      <c r="R632" s="64"/>
      <c r="S632" s="64"/>
      <c r="T632" s="64"/>
      <c r="U632" s="78"/>
      <c r="V632" s="64"/>
      <c r="W632" s="79"/>
      <c r="X632" s="64"/>
      <c r="Y632" s="64"/>
      <c r="Z632" s="64"/>
      <c r="AA632" s="64"/>
      <c r="AB632" s="64"/>
      <c r="AC632" s="64"/>
      <c r="AD632" s="64"/>
      <c r="AE632" s="64"/>
    </row>
    <row r="633" spans="1:31" ht="17.25" customHeight="1">
      <c r="A633" s="79"/>
      <c r="B633" s="64"/>
      <c r="C633" s="64"/>
      <c r="D633" s="64"/>
      <c r="E633" s="64"/>
      <c r="F633" s="64"/>
      <c r="G633" s="64"/>
      <c r="H633" s="87"/>
      <c r="I633" s="64"/>
      <c r="J633" s="64"/>
      <c r="K633" s="64"/>
      <c r="L633" s="64"/>
      <c r="M633" s="79"/>
      <c r="N633" s="64"/>
      <c r="O633" s="64"/>
      <c r="P633" s="64"/>
      <c r="Q633" s="64"/>
      <c r="R633" s="64"/>
      <c r="S633" s="64"/>
      <c r="T633" s="64"/>
      <c r="U633" s="78"/>
      <c r="V633" s="64"/>
      <c r="W633" s="79"/>
      <c r="X633" s="64"/>
      <c r="Y633" s="64"/>
      <c r="Z633" s="64"/>
      <c r="AA633" s="64"/>
      <c r="AB633" s="64"/>
      <c r="AC633" s="64"/>
      <c r="AD633" s="64"/>
      <c r="AE633" s="64"/>
    </row>
    <row r="634" spans="1:31" ht="17.25" customHeight="1">
      <c r="A634" s="79"/>
      <c r="B634" s="64"/>
      <c r="C634" s="64"/>
      <c r="D634" s="64"/>
      <c r="E634" s="64"/>
      <c r="F634" s="64"/>
      <c r="G634" s="64"/>
      <c r="H634" s="87"/>
      <c r="I634" s="64"/>
      <c r="J634" s="64"/>
      <c r="K634" s="64"/>
      <c r="L634" s="64"/>
      <c r="M634" s="79"/>
      <c r="N634" s="64"/>
      <c r="O634" s="64"/>
      <c r="P634" s="64"/>
      <c r="Q634" s="64"/>
      <c r="R634" s="64"/>
      <c r="S634" s="64"/>
      <c r="T634" s="64"/>
      <c r="U634" s="78"/>
      <c r="V634" s="64"/>
      <c r="W634" s="79"/>
      <c r="X634" s="64"/>
      <c r="Y634" s="64"/>
      <c r="Z634" s="64"/>
      <c r="AA634" s="64"/>
      <c r="AB634" s="64"/>
      <c r="AC634" s="64"/>
      <c r="AD634" s="64"/>
      <c r="AE634" s="64"/>
    </row>
    <row r="635" spans="1:31" ht="17.25" customHeight="1">
      <c r="A635" s="79"/>
      <c r="B635" s="64"/>
      <c r="C635" s="64"/>
      <c r="D635" s="64"/>
      <c r="E635" s="64"/>
      <c r="F635" s="64"/>
      <c r="G635" s="64"/>
      <c r="H635" s="87"/>
      <c r="I635" s="64"/>
      <c r="J635" s="64"/>
      <c r="K635" s="64"/>
      <c r="L635" s="64"/>
      <c r="M635" s="79"/>
      <c r="N635" s="64"/>
      <c r="O635" s="64"/>
      <c r="P635" s="64"/>
      <c r="Q635" s="64"/>
      <c r="R635" s="64"/>
      <c r="S635" s="64"/>
      <c r="T635" s="64"/>
      <c r="U635" s="78"/>
      <c r="V635" s="64"/>
      <c r="W635" s="79"/>
      <c r="X635" s="64"/>
      <c r="Y635" s="64"/>
      <c r="Z635" s="64"/>
      <c r="AA635" s="64"/>
      <c r="AB635" s="64"/>
      <c r="AC635" s="64"/>
      <c r="AD635" s="64"/>
      <c r="AE635" s="64"/>
    </row>
    <row r="636" spans="1:31" ht="17.25" customHeight="1">
      <c r="A636" s="79"/>
      <c r="B636" s="64"/>
      <c r="C636" s="64"/>
      <c r="D636" s="64"/>
      <c r="E636" s="64"/>
      <c r="F636" s="64"/>
      <c r="G636" s="64"/>
      <c r="H636" s="87"/>
      <c r="I636" s="64"/>
      <c r="J636" s="64"/>
      <c r="K636" s="64"/>
      <c r="L636" s="64"/>
      <c r="M636" s="79"/>
      <c r="N636" s="64"/>
      <c r="O636" s="64"/>
      <c r="P636" s="64"/>
      <c r="Q636" s="64"/>
      <c r="R636" s="64"/>
      <c r="S636" s="64"/>
      <c r="T636" s="64"/>
      <c r="U636" s="78"/>
      <c r="V636" s="64"/>
      <c r="W636" s="79"/>
      <c r="X636" s="64"/>
      <c r="Y636" s="64"/>
      <c r="Z636" s="64"/>
      <c r="AA636" s="64"/>
      <c r="AB636" s="64"/>
      <c r="AC636" s="64"/>
      <c r="AD636" s="64"/>
      <c r="AE636" s="64"/>
    </row>
    <row r="637" spans="1:31" ht="17.25" customHeight="1">
      <c r="A637" s="79"/>
      <c r="B637" s="64"/>
      <c r="C637" s="64"/>
      <c r="D637" s="64"/>
      <c r="E637" s="64"/>
      <c r="F637" s="64"/>
      <c r="G637" s="64"/>
      <c r="H637" s="87"/>
      <c r="I637" s="64"/>
      <c r="J637" s="64"/>
      <c r="K637" s="64"/>
      <c r="L637" s="64"/>
      <c r="M637" s="79"/>
      <c r="N637" s="64"/>
      <c r="O637" s="64"/>
      <c r="P637" s="64"/>
      <c r="Q637" s="64"/>
      <c r="R637" s="64"/>
      <c r="S637" s="64"/>
      <c r="T637" s="64"/>
      <c r="U637" s="78"/>
      <c r="V637" s="64"/>
      <c r="W637" s="79"/>
      <c r="X637" s="64"/>
      <c r="Y637" s="64"/>
      <c r="Z637" s="64"/>
      <c r="AA637" s="64"/>
      <c r="AB637" s="64"/>
      <c r="AC637" s="64"/>
      <c r="AD637" s="64"/>
      <c r="AE637" s="64"/>
    </row>
    <row r="638" spans="1:31" ht="17.25" customHeight="1">
      <c r="A638" s="79"/>
      <c r="B638" s="64"/>
      <c r="C638" s="64"/>
      <c r="D638" s="64"/>
      <c r="E638" s="64"/>
      <c r="F638" s="64"/>
      <c r="G638" s="64"/>
      <c r="H638" s="87"/>
      <c r="I638" s="64"/>
      <c r="J638" s="64"/>
      <c r="K638" s="64"/>
      <c r="L638" s="64"/>
      <c r="M638" s="79"/>
      <c r="N638" s="64"/>
      <c r="O638" s="64"/>
      <c r="P638" s="64"/>
      <c r="Q638" s="64"/>
      <c r="R638" s="64"/>
      <c r="S638" s="64"/>
      <c r="T638" s="64"/>
      <c r="U638" s="78"/>
      <c r="V638" s="64"/>
      <c r="W638" s="79"/>
      <c r="X638" s="64"/>
      <c r="Y638" s="64"/>
      <c r="Z638" s="64"/>
      <c r="AA638" s="64"/>
      <c r="AB638" s="64"/>
      <c r="AC638" s="64"/>
      <c r="AD638" s="64"/>
      <c r="AE638" s="64"/>
    </row>
    <row r="639" spans="1:31" ht="17.25" customHeight="1">
      <c r="A639" s="79"/>
      <c r="B639" s="64"/>
      <c r="C639" s="64"/>
      <c r="D639" s="64"/>
      <c r="E639" s="64"/>
      <c r="F639" s="64"/>
      <c r="G639" s="64"/>
      <c r="H639" s="87"/>
      <c r="I639" s="64"/>
      <c r="J639" s="64"/>
      <c r="K639" s="64"/>
      <c r="L639" s="64"/>
      <c r="M639" s="79"/>
      <c r="N639" s="64"/>
      <c r="O639" s="64"/>
      <c r="P639" s="64"/>
      <c r="Q639" s="64"/>
      <c r="R639" s="64"/>
      <c r="S639" s="64"/>
      <c r="T639" s="64"/>
      <c r="U639" s="78"/>
      <c r="V639" s="64"/>
      <c r="W639" s="79"/>
      <c r="X639" s="64"/>
      <c r="Y639" s="64"/>
      <c r="Z639" s="64"/>
      <c r="AA639" s="64"/>
      <c r="AB639" s="64"/>
      <c r="AC639" s="64"/>
      <c r="AD639" s="64"/>
      <c r="AE639" s="64"/>
    </row>
    <row r="640" spans="1:31" ht="17.25" customHeight="1">
      <c r="A640" s="79"/>
      <c r="B640" s="64"/>
      <c r="C640" s="64"/>
      <c r="D640" s="64"/>
      <c r="E640" s="64"/>
      <c r="F640" s="64"/>
      <c r="G640" s="64"/>
      <c r="H640" s="87"/>
      <c r="I640" s="64"/>
      <c r="J640" s="64"/>
      <c r="K640" s="64"/>
      <c r="L640" s="64"/>
      <c r="M640" s="79"/>
      <c r="N640" s="64"/>
      <c r="O640" s="64"/>
      <c r="P640" s="64"/>
      <c r="Q640" s="64"/>
      <c r="R640" s="64"/>
      <c r="S640" s="64"/>
      <c r="T640" s="64"/>
      <c r="U640" s="78"/>
      <c r="V640" s="64"/>
      <c r="W640" s="79"/>
      <c r="X640" s="64"/>
      <c r="Y640" s="64"/>
      <c r="Z640" s="64"/>
      <c r="AA640" s="64"/>
      <c r="AB640" s="64"/>
      <c r="AC640" s="64"/>
      <c r="AD640" s="64"/>
      <c r="AE640" s="64"/>
    </row>
    <row r="641" spans="1:31" ht="17.25" customHeight="1">
      <c r="A641" s="79"/>
      <c r="B641" s="64"/>
      <c r="C641" s="64"/>
      <c r="D641" s="64"/>
      <c r="E641" s="64"/>
      <c r="F641" s="64"/>
      <c r="G641" s="64"/>
      <c r="H641" s="87"/>
      <c r="I641" s="64"/>
      <c r="J641" s="64"/>
      <c r="K641" s="64"/>
      <c r="L641" s="64"/>
      <c r="M641" s="79"/>
      <c r="N641" s="64"/>
      <c r="O641" s="64"/>
      <c r="P641" s="64"/>
      <c r="Q641" s="64"/>
      <c r="R641" s="64"/>
      <c r="S641" s="64"/>
      <c r="T641" s="64"/>
      <c r="U641" s="78"/>
      <c r="V641" s="64"/>
      <c r="W641" s="79"/>
      <c r="X641" s="64"/>
      <c r="Y641" s="64"/>
      <c r="Z641" s="64"/>
      <c r="AA641" s="64"/>
      <c r="AB641" s="64"/>
      <c r="AC641" s="64"/>
      <c r="AD641" s="64"/>
      <c r="AE641" s="64"/>
    </row>
    <row r="642" spans="1:31" ht="17.25" customHeight="1">
      <c r="A642" s="79"/>
      <c r="B642" s="64"/>
      <c r="C642" s="64"/>
      <c r="D642" s="64"/>
      <c r="E642" s="64"/>
      <c r="F642" s="64"/>
      <c r="G642" s="64"/>
      <c r="H642" s="87"/>
      <c r="I642" s="64"/>
      <c r="J642" s="64"/>
      <c r="K642" s="64"/>
      <c r="L642" s="64"/>
      <c r="M642" s="79"/>
      <c r="N642" s="64"/>
      <c r="O642" s="64"/>
      <c r="P642" s="64"/>
      <c r="Q642" s="64"/>
      <c r="R642" s="64"/>
      <c r="S642" s="64"/>
      <c r="T642" s="64"/>
      <c r="U642" s="78"/>
      <c r="V642" s="64"/>
      <c r="W642" s="79"/>
      <c r="X642" s="64"/>
      <c r="Y642" s="64"/>
      <c r="Z642" s="64"/>
      <c r="AA642" s="64"/>
      <c r="AB642" s="64"/>
      <c r="AC642" s="64"/>
      <c r="AD642" s="64"/>
      <c r="AE642" s="64"/>
    </row>
    <row r="643" spans="1:31" ht="17.25" customHeight="1">
      <c r="A643" s="79"/>
      <c r="B643" s="64"/>
      <c r="C643" s="64"/>
      <c r="D643" s="64"/>
      <c r="E643" s="64"/>
      <c r="F643" s="64"/>
      <c r="G643" s="64"/>
      <c r="H643" s="87"/>
      <c r="I643" s="64"/>
      <c r="J643" s="64"/>
      <c r="K643" s="64"/>
      <c r="L643" s="64"/>
      <c r="M643" s="79"/>
      <c r="N643" s="64"/>
      <c r="O643" s="64"/>
      <c r="P643" s="64"/>
      <c r="Q643" s="64"/>
      <c r="R643" s="64"/>
      <c r="S643" s="64"/>
      <c r="T643" s="64"/>
      <c r="U643" s="78"/>
      <c r="V643" s="64"/>
      <c r="W643" s="79"/>
      <c r="X643" s="64"/>
      <c r="Y643" s="64"/>
      <c r="Z643" s="64"/>
      <c r="AA643" s="64"/>
      <c r="AB643" s="64"/>
      <c r="AC643" s="64"/>
      <c r="AD643" s="64"/>
      <c r="AE643" s="64"/>
    </row>
    <row r="644" spans="1:31" ht="17.25" customHeight="1">
      <c r="A644" s="79"/>
      <c r="B644" s="64"/>
      <c r="C644" s="64"/>
      <c r="D644" s="64"/>
      <c r="E644" s="64"/>
      <c r="F644" s="64"/>
      <c r="G644" s="64"/>
      <c r="H644" s="87"/>
      <c r="I644" s="64"/>
      <c r="J644" s="64"/>
      <c r="K644" s="64"/>
      <c r="L644" s="64"/>
      <c r="M644" s="79"/>
      <c r="N644" s="64"/>
      <c r="O644" s="64"/>
      <c r="P644" s="64"/>
      <c r="Q644" s="64"/>
      <c r="R644" s="64"/>
      <c r="S644" s="64"/>
      <c r="T644" s="64"/>
      <c r="U644" s="78"/>
      <c r="V644" s="64"/>
      <c r="W644" s="79"/>
      <c r="X644" s="64"/>
      <c r="Y644" s="64"/>
      <c r="Z644" s="64"/>
      <c r="AA644" s="64"/>
      <c r="AB644" s="64"/>
      <c r="AC644" s="64"/>
      <c r="AD644" s="64"/>
      <c r="AE644" s="64"/>
    </row>
    <row r="645" spans="1:31" ht="17.25" customHeight="1">
      <c r="A645" s="79"/>
      <c r="B645" s="64"/>
      <c r="C645" s="64"/>
      <c r="D645" s="64"/>
      <c r="E645" s="64"/>
      <c r="F645" s="64"/>
      <c r="G645" s="64"/>
      <c r="H645" s="87"/>
      <c r="I645" s="64"/>
      <c r="J645" s="64"/>
      <c r="K645" s="64"/>
      <c r="L645" s="64"/>
      <c r="M645" s="79"/>
      <c r="N645" s="64"/>
      <c r="O645" s="64"/>
      <c r="P645" s="64"/>
      <c r="Q645" s="64"/>
      <c r="R645" s="64"/>
      <c r="S645" s="64"/>
      <c r="T645" s="64"/>
      <c r="U645" s="78"/>
      <c r="V645" s="64"/>
      <c r="W645" s="79"/>
      <c r="X645" s="64"/>
      <c r="Y645" s="64"/>
      <c r="Z645" s="64"/>
      <c r="AA645" s="64"/>
      <c r="AB645" s="64"/>
      <c r="AC645" s="64"/>
      <c r="AD645" s="64"/>
      <c r="AE645" s="64"/>
    </row>
    <row r="646" spans="1:31" ht="17.25" customHeight="1">
      <c r="A646" s="79"/>
      <c r="B646" s="64"/>
      <c r="C646" s="64"/>
      <c r="D646" s="64"/>
      <c r="E646" s="64"/>
      <c r="F646" s="64"/>
      <c r="G646" s="64"/>
      <c r="H646" s="87"/>
      <c r="I646" s="64"/>
      <c r="J646" s="64"/>
      <c r="K646" s="64"/>
      <c r="L646" s="64"/>
      <c r="M646" s="79"/>
      <c r="N646" s="64"/>
      <c r="O646" s="64"/>
      <c r="P646" s="64"/>
      <c r="Q646" s="64"/>
      <c r="R646" s="64"/>
      <c r="S646" s="64"/>
      <c r="T646" s="64"/>
      <c r="U646" s="78"/>
      <c r="V646" s="64"/>
      <c r="W646" s="79"/>
      <c r="X646" s="64"/>
      <c r="Y646" s="64"/>
      <c r="Z646" s="64"/>
      <c r="AA646" s="64"/>
      <c r="AB646" s="64"/>
      <c r="AC646" s="64"/>
      <c r="AD646" s="64"/>
      <c r="AE646" s="64"/>
    </row>
    <row r="647" spans="1:31" ht="17.25" customHeight="1">
      <c r="A647" s="79"/>
      <c r="B647" s="64"/>
      <c r="C647" s="64"/>
      <c r="D647" s="64"/>
      <c r="E647" s="64"/>
      <c r="F647" s="64"/>
      <c r="G647" s="64"/>
      <c r="H647" s="87"/>
      <c r="I647" s="64"/>
      <c r="J647" s="64"/>
      <c r="K647" s="64"/>
      <c r="L647" s="64"/>
      <c r="M647" s="79"/>
      <c r="N647" s="64"/>
      <c r="O647" s="64"/>
      <c r="P647" s="64"/>
      <c r="Q647" s="64"/>
      <c r="R647" s="64"/>
      <c r="S647" s="64"/>
      <c r="T647" s="64"/>
      <c r="U647" s="78"/>
      <c r="V647" s="64"/>
      <c r="W647" s="79"/>
      <c r="X647" s="64"/>
      <c r="Y647" s="64"/>
      <c r="Z647" s="64"/>
      <c r="AA647" s="64"/>
      <c r="AB647" s="64"/>
      <c r="AC647" s="64"/>
      <c r="AD647" s="64"/>
      <c r="AE647" s="64"/>
    </row>
    <row r="648" spans="1:31" ht="17.25" customHeight="1">
      <c r="A648" s="79"/>
      <c r="B648" s="64"/>
      <c r="C648" s="64"/>
      <c r="D648" s="64"/>
      <c r="E648" s="64"/>
      <c r="F648" s="64"/>
      <c r="G648" s="64"/>
      <c r="H648" s="87"/>
      <c r="I648" s="64"/>
      <c r="J648" s="64"/>
      <c r="K648" s="64"/>
      <c r="L648" s="64"/>
      <c r="M648" s="79"/>
      <c r="N648" s="64"/>
      <c r="O648" s="64"/>
      <c r="P648" s="64"/>
      <c r="Q648" s="64"/>
      <c r="R648" s="64"/>
      <c r="S648" s="64"/>
      <c r="T648" s="64"/>
      <c r="U648" s="78"/>
      <c r="V648" s="64"/>
      <c r="W648" s="79"/>
      <c r="X648" s="64"/>
      <c r="Y648" s="64"/>
      <c r="Z648" s="64"/>
      <c r="AA648" s="64"/>
      <c r="AB648" s="64"/>
      <c r="AC648" s="64"/>
      <c r="AD648" s="64"/>
      <c r="AE648" s="64"/>
    </row>
    <row r="649" spans="1:31" ht="17.25" customHeight="1">
      <c r="A649" s="79"/>
      <c r="B649" s="64"/>
      <c r="C649" s="64"/>
      <c r="D649" s="64"/>
      <c r="E649" s="64"/>
      <c r="F649" s="64"/>
      <c r="G649" s="64"/>
      <c r="H649" s="87"/>
      <c r="I649" s="64"/>
      <c r="J649" s="64"/>
      <c r="K649" s="64"/>
      <c r="L649" s="64"/>
      <c r="M649" s="79"/>
      <c r="N649" s="64"/>
      <c r="O649" s="64"/>
      <c r="P649" s="64"/>
      <c r="Q649" s="64"/>
      <c r="R649" s="64"/>
      <c r="S649" s="64"/>
      <c r="T649" s="64"/>
      <c r="U649" s="78"/>
      <c r="V649" s="64"/>
      <c r="W649" s="79"/>
      <c r="X649" s="64"/>
      <c r="Y649" s="64"/>
      <c r="Z649" s="64"/>
      <c r="AA649" s="64"/>
      <c r="AB649" s="64"/>
      <c r="AC649" s="64"/>
      <c r="AD649" s="64"/>
      <c r="AE649" s="64"/>
    </row>
    <row r="650" spans="1:31" ht="17.25" customHeight="1">
      <c r="A650" s="79"/>
      <c r="B650" s="64"/>
      <c r="C650" s="64"/>
      <c r="D650" s="64"/>
      <c r="E650" s="64"/>
      <c r="F650" s="64"/>
      <c r="G650" s="64"/>
      <c r="H650" s="87"/>
      <c r="I650" s="64"/>
      <c r="J650" s="64"/>
      <c r="K650" s="64"/>
      <c r="L650" s="64"/>
      <c r="M650" s="79"/>
      <c r="N650" s="64"/>
      <c r="O650" s="64"/>
      <c r="P650" s="64"/>
      <c r="Q650" s="64"/>
      <c r="R650" s="64"/>
      <c r="S650" s="64"/>
      <c r="T650" s="64"/>
      <c r="U650" s="78"/>
      <c r="V650" s="64"/>
      <c r="W650" s="79"/>
      <c r="X650" s="64"/>
      <c r="Y650" s="64"/>
      <c r="Z650" s="64"/>
      <c r="AA650" s="64"/>
      <c r="AB650" s="64"/>
      <c r="AC650" s="64"/>
      <c r="AD650" s="64"/>
      <c r="AE650" s="64"/>
    </row>
    <row r="651" spans="1:31" ht="17.25" customHeight="1">
      <c r="A651" s="79"/>
      <c r="B651" s="64"/>
      <c r="C651" s="64"/>
      <c r="D651" s="64"/>
      <c r="E651" s="64"/>
      <c r="F651" s="64"/>
      <c r="G651" s="64"/>
      <c r="H651" s="87"/>
      <c r="I651" s="64"/>
      <c r="J651" s="64"/>
      <c r="K651" s="64"/>
      <c r="L651" s="64"/>
      <c r="M651" s="79"/>
      <c r="N651" s="64"/>
      <c r="O651" s="64"/>
      <c r="P651" s="64"/>
      <c r="Q651" s="64"/>
      <c r="R651" s="64"/>
      <c r="S651" s="64"/>
      <c r="T651" s="64"/>
      <c r="U651" s="78"/>
      <c r="V651" s="64"/>
      <c r="W651" s="79"/>
      <c r="X651" s="64"/>
      <c r="Y651" s="64"/>
      <c r="Z651" s="64"/>
      <c r="AA651" s="64"/>
      <c r="AB651" s="64"/>
      <c r="AC651" s="64"/>
      <c r="AD651" s="64"/>
      <c r="AE651" s="64"/>
    </row>
    <row r="652" spans="1:31" ht="17.25" customHeight="1">
      <c r="A652" s="79"/>
      <c r="B652" s="64"/>
      <c r="C652" s="64"/>
      <c r="D652" s="64"/>
      <c r="E652" s="64"/>
      <c r="F652" s="64"/>
      <c r="G652" s="64"/>
      <c r="H652" s="87"/>
      <c r="I652" s="64"/>
      <c r="J652" s="64"/>
      <c r="K652" s="64"/>
      <c r="L652" s="64"/>
      <c r="M652" s="79"/>
      <c r="N652" s="64"/>
      <c r="O652" s="64"/>
      <c r="P652" s="64"/>
      <c r="Q652" s="64"/>
      <c r="R652" s="64"/>
      <c r="S652" s="64"/>
      <c r="T652" s="64"/>
      <c r="U652" s="78"/>
      <c r="V652" s="64"/>
      <c r="W652" s="79"/>
      <c r="X652" s="64"/>
      <c r="Y652" s="64"/>
      <c r="Z652" s="64"/>
      <c r="AA652" s="64"/>
      <c r="AB652" s="64"/>
      <c r="AC652" s="64"/>
      <c r="AD652" s="64"/>
      <c r="AE652" s="64"/>
    </row>
    <row r="653" spans="1:31" ht="17.25" customHeight="1">
      <c r="A653" s="79"/>
      <c r="B653" s="64"/>
      <c r="C653" s="64"/>
      <c r="D653" s="64"/>
      <c r="E653" s="64"/>
      <c r="F653" s="64"/>
      <c r="G653" s="64"/>
      <c r="H653" s="87"/>
      <c r="I653" s="64"/>
      <c r="J653" s="64"/>
      <c r="K653" s="64"/>
      <c r="L653" s="64"/>
      <c r="M653" s="79"/>
      <c r="N653" s="64"/>
      <c r="O653" s="64"/>
      <c r="P653" s="64"/>
      <c r="Q653" s="64"/>
      <c r="R653" s="64"/>
      <c r="S653" s="64"/>
      <c r="T653" s="64"/>
      <c r="U653" s="78"/>
      <c r="V653" s="64"/>
      <c r="W653" s="79"/>
      <c r="X653" s="64"/>
      <c r="Y653" s="64"/>
      <c r="Z653" s="64"/>
      <c r="AA653" s="64"/>
      <c r="AB653" s="64"/>
      <c r="AC653" s="64"/>
      <c r="AD653" s="64"/>
      <c r="AE653" s="64"/>
    </row>
    <row r="654" spans="1:31" ht="17.25" customHeight="1">
      <c r="A654" s="79"/>
      <c r="B654" s="64"/>
      <c r="C654" s="64"/>
      <c r="D654" s="64"/>
      <c r="E654" s="64"/>
      <c r="F654" s="64"/>
      <c r="G654" s="64"/>
      <c r="H654" s="87"/>
      <c r="I654" s="64"/>
      <c r="J654" s="64"/>
      <c r="K654" s="64"/>
      <c r="L654" s="64"/>
      <c r="M654" s="79"/>
      <c r="N654" s="64"/>
      <c r="O654" s="64"/>
      <c r="P654" s="64"/>
      <c r="Q654" s="64"/>
      <c r="R654" s="64"/>
      <c r="S654" s="64"/>
      <c r="T654" s="64"/>
      <c r="U654" s="78"/>
      <c r="V654" s="64"/>
      <c r="W654" s="79"/>
      <c r="X654" s="64"/>
      <c r="Y654" s="64"/>
      <c r="Z654" s="64"/>
      <c r="AA654" s="64"/>
      <c r="AB654" s="64"/>
      <c r="AC654" s="64"/>
      <c r="AD654" s="64"/>
      <c r="AE654" s="64"/>
    </row>
    <row r="655" spans="1:31" ht="17.25" customHeight="1">
      <c r="A655" s="79"/>
      <c r="B655" s="64"/>
      <c r="C655" s="64"/>
      <c r="D655" s="64"/>
      <c r="E655" s="64"/>
      <c r="F655" s="64"/>
      <c r="G655" s="64"/>
      <c r="H655" s="87"/>
      <c r="I655" s="64"/>
      <c r="J655" s="64"/>
      <c r="K655" s="64"/>
      <c r="L655" s="64"/>
      <c r="M655" s="79"/>
      <c r="N655" s="64"/>
      <c r="O655" s="64"/>
      <c r="P655" s="64"/>
      <c r="Q655" s="64"/>
      <c r="R655" s="64"/>
      <c r="S655" s="64"/>
      <c r="T655" s="64"/>
      <c r="U655" s="78"/>
      <c r="V655" s="64"/>
      <c r="W655" s="79"/>
      <c r="X655" s="64"/>
      <c r="Y655" s="64"/>
      <c r="Z655" s="64"/>
      <c r="AA655" s="64"/>
      <c r="AB655" s="64"/>
      <c r="AC655" s="64"/>
      <c r="AD655" s="64"/>
      <c r="AE655" s="64"/>
    </row>
    <row r="656" spans="1:31" ht="17.25" customHeight="1">
      <c r="A656" s="79"/>
      <c r="B656" s="64"/>
      <c r="C656" s="64"/>
      <c r="D656" s="64"/>
      <c r="E656" s="64"/>
      <c r="F656" s="64"/>
      <c r="G656" s="64"/>
      <c r="H656" s="87"/>
      <c r="I656" s="64"/>
      <c r="J656" s="64"/>
      <c r="K656" s="64"/>
      <c r="L656" s="64"/>
      <c r="M656" s="79"/>
      <c r="N656" s="64"/>
      <c r="O656" s="64"/>
      <c r="P656" s="64"/>
      <c r="Q656" s="64"/>
      <c r="R656" s="64"/>
      <c r="S656" s="64"/>
      <c r="T656" s="64"/>
      <c r="U656" s="78"/>
      <c r="V656" s="64"/>
      <c r="W656" s="79"/>
      <c r="X656" s="64"/>
      <c r="Y656" s="64"/>
      <c r="Z656" s="64"/>
      <c r="AA656" s="64"/>
      <c r="AB656" s="64"/>
      <c r="AC656" s="64"/>
      <c r="AD656" s="64"/>
      <c r="AE656" s="64"/>
    </row>
    <row r="657" spans="1:31" ht="17.25" customHeight="1">
      <c r="A657" s="79"/>
      <c r="B657" s="64"/>
      <c r="C657" s="64"/>
      <c r="D657" s="64"/>
      <c r="E657" s="64"/>
      <c r="F657" s="64"/>
      <c r="G657" s="64"/>
      <c r="H657" s="87"/>
      <c r="I657" s="64"/>
      <c r="J657" s="64"/>
      <c r="K657" s="64"/>
      <c r="L657" s="64"/>
      <c r="M657" s="79"/>
      <c r="N657" s="64"/>
      <c r="O657" s="64"/>
      <c r="P657" s="64"/>
      <c r="Q657" s="64"/>
      <c r="R657" s="64"/>
      <c r="S657" s="64"/>
      <c r="T657" s="64"/>
      <c r="U657" s="78"/>
      <c r="V657" s="64"/>
      <c r="W657" s="79"/>
      <c r="X657" s="64"/>
      <c r="Y657" s="64"/>
      <c r="Z657" s="64"/>
      <c r="AA657" s="64"/>
      <c r="AB657" s="64"/>
      <c r="AC657" s="64"/>
      <c r="AD657" s="64"/>
      <c r="AE657" s="64"/>
    </row>
    <row r="658" spans="1:31" ht="17.25" customHeight="1">
      <c r="A658" s="79"/>
      <c r="B658" s="64"/>
      <c r="C658" s="64"/>
      <c r="D658" s="64"/>
      <c r="E658" s="64"/>
      <c r="F658" s="64"/>
      <c r="G658" s="64"/>
      <c r="H658" s="87"/>
      <c r="I658" s="64"/>
      <c r="J658" s="64"/>
      <c r="K658" s="64"/>
      <c r="L658" s="64"/>
      <c r="M658" s="79"/>
      <c r="N658" s="64"/>
      <c r="O658" s="64"/>
      <c r="P658" s="64"/>
      <c r="Q658" s="64"/>
      <c r="R658" s="64"/>
      <c r="S658" s="64"/>
      <c r="T658" s="64"/>
      <c r="U658" s="78"/>
      <c r="V658" s="64"/>
      <c r="W658" s="79"/>
      <c r="X658" s="64"/>
      <c r="Y658" s="64"/>
      <c r="Z658" s="64"/>
      <c r="AA658" s="64"/>
      <c r="AB658" s="64"/>
      <c r="AC658" s="64"/>
      <c r="AD658" s="64"/>
      <c r="AE658" s="64"/>
    </row>
    <row r="659" spans="1:31" ht="17.25" customHeight="1">
      <c r="A659" s="79"/>
      <c r="B659" s="64"/>
      <c r="C659" s="64"/>
      <c r="D659" s="64"/>
      <c r="E659" s="64"/>
      <c r="F659" s="64"/>
      <c r="G659" s="64"/>
      <c r="H659" s="87"/>
      <c r="I659" s="64"/>
      <c r="J659" s="64"/>
      <c r="K659" s="64"/>
      <c r="L659" s="64"/>
      <c r="M659" s="79"/>
      <c r="N659" s="64"/>
      <c r="O659" s="64"/>
      <c r="P659" s="64"/>
      <c r="Q659" s="64"/>
      <c r="R659" s="64"/>
      <c r="S659" s="64"/>
      <c r="T659" s="64"/>
      <c r="U659" s="78"/>
      <c r="V659" s="64"/>
      <c r="W659" s="79"/>
      <c r="X659" s="64"/>
      <c r="Y659" s="64"/>
      <c r="Z659" s="64"/>
      <c r="AA659" s="64"/>
      <c r="AB659" s="64"/>
      <c r="AC659" s="64"/>
      <c r="AD659" s="64"/>
      <c r="AE659" s="64"/>
    </row>
    <row r="660" spans="1:31" ht="17.25" customHeight="1">
      <c r="A660" s="79"/>
      <c r="B660" s="64"/>
      <c r="C660" s="64"/>
      <c r="D660" s="64"/>
      <c r="E660" s="64"/>
      <c r="F660" s="64"/>
      <c r="G660" s="64"/>
      <c r="H660" s="87"/>
      <c r="I660" s="64"/>
      <c r="J660" s="64"/>
      <c r="K660" s="64"/>
      <c r="L660" s="64"/>
      <c r="M660" s="79"/>
      <c r="N660" s="64"/>
      <c r="O660" s="64"/>
      <c r="P660" s="64"/>
      <c r="Q660" s="64"/>
      <c r="R660" s="64"/>
      <c r="S660" s="64"/>
      <c r="T660" s="64"/>
      <c r="U660" s="78"/>
      <c r="V660" s="64"/>
      <c r="W660" s="79"/>
      <c r="X660" s="64"/>
      <c r="Y660" s="64"/>
      <c r="Z660" s="64"/>
      <c r="AA660" s="64"/>
      <c r="AB660" s="64"/>
      <c r="AC660" s="64"/>
      <c r="AD660" s="64"/>
      <c r="AE660" s="64"/>
    </row>
    <row r="661" spans="1:31" ht="17.25" customHeight="1">
      <c r="A661" s="79"/>
      <c r="B661" s="64"/>
      <c r="C661" s="64"/>
      <c r="D661" s="64"/>
      <c r="E661" s="64"/>
      <c r="F661" s="64"/>
      <c r="G661" s="64"/>
      <c r="H661" s="87"/>
      <c r="I661" s="64"/>
      <c r="J661" s="64"/>
      <c r="K661" s="64"/>
      <c r="L661" s="64"/>
      <c r="M661" s="79"/>
      <c r="N661" s="64"/>
      <c r="O661" s="64"/>
      <c r="P661" s="64"/>
      <c r="Q661" s="64"/>
      <c r="R661" s="64"/>
      <c r="S661" s="64"/>
      <c r="T661" s="64"/>
      <c r="U661" s="78"/>
      <c r="V661" s="64"/>
      <c r="W661" s="79"/>
      <c r="X661" s="64"/>
      <c r="Y661" s="64"/>
      <c r="Z661" s="64"/>
      <c r="AA661" s="64"/>
      <c r="AB661" s="64"/>
      <c r="AC661" s="64"/>
      <c r="AD661" s="64"/>
      <c r="AE661" s="64"/>
    </row>
    <row r="662" spans="1:31" ht="17.25" customHeight="1">
      <c r="A662" s="79"/>
      <c r="B662" s="64"/>
      <c r="C662" s="64"/>
      <c r="D662" s="64"/>
      <c r="E662" s="64"/>
      <c r="F662" s="64"/>
      <c r="G662" s="64"/>
      <c r="H662" s="87"/>
      <c r="I662" s="64"/>
      <c r="J662" s="64"/>
      <c r="K662" s="64"/>
      <c r="L662" s="64"/>
      <c r="M662" s="79"/>
      <c r="N662" s="64"/>
      <c r="O662" s="64"/>
      <c r="P662" s="64"/>
      <c r="Q662" s="64"/>
      <c r="R662" s="64"/>
      <c r="S662" s="64"/>
      <c r="T662" s="64"/>
      <c r="U662" s="78"/>
      <c r="V662" s="64"/>
      <c r="W662" s="79"/>
      <c r="X662" s="64"/>
      <c r="Y662" s="64"/>
      <c r="Z662" s="64"/>
      <c r="AA662" s="64"/>
      <c r="AB662" s="64"/>
      <c r="AC662" s="64"/>
      <c r="AD662" s="64"/>
      <c r="AE662" s="64"/>
    </row>
    <row r="663" spans="1:31" ht="17.25" customHeight="1">
      <c r="A663" s="79"/>
      <c r="B663" s="64"/>
      <c r="C663" s="64"/>
      <c r="D663" s="64"/>
      <c r="E663" s="64"/>
      <c r="F663" s="64"/>
      <c r="G663" s="64"/>
      <c r="H663" s="87"/>
      <c r="I663" s="64"/>
      <c r="J663" s="64"/>
      <c r="K663" s="64"/>
      <c r="L663" s="64"/>
      <c r="M663" s="79"/>
      <c r="N663" s="64"/>
      <c r="O663" s="64"/>
      <c r="P663" s="64"/>
      <c r="Q663" s="64"/>
      <c r="R663" s="64"/>
      <c r="S663" s="64"/>
      <c r="T663" s="64"/>
      <c r="U663" s="78"/>
      <c r="V663" s="64"/>
      <c r="W663" s="79"/>
      <c r="X663" s="64"/>
      <c r="Y663" s="64"/>
      <c r="Z663" s="64"/>
      <c r="AA663" s="64"/>
      <c r="AB663" s="64"/>
      <c r="AC663" s="64"/>
      <c r="AD663" s="64"/>
      <c r="AE663" s="64"/>
    </row>
    <row r="664" spans="1:31" ht="17.25" customHeight="1">
      <c r="A664" s="79"/>
      <c r="B664" s="64"/>
      <c r="C664" s="64"/>
      <c r="D664" s="64"/>
      <c r="E664" s="64"/>
      <c r="F664" s="64"/>
      <c r="G664" s="64"/>
      <c r="H664" s="87"/>
      <c r="I664" s="64"/>
      <c r="J664" s="64"/>
      <c r="K664" s="64"/>
      <c r="L664" s="64"/>
      <c r="M664" s="79"/>
      <c r="N664" s="64"/>
      <c r="O664" s="64"/>
      <c r="P664" s="64"/>
      <c r="Q664" s="64"/>
      <c r="R664" s="64"/>
      <c r="S664" s="64"/>
      <c r="T664" s="64"/>
      <c r="U664" s="78"/>
      <c r="V664" s="64"/>
      <c r="W664" s="79"/>
      <c r="X664" s="64"/>
      <c r="Y664" s="64"/>
      <c r="Z664" s="64"/>
      <c r="AA664" s="64"/>
      <c r="AB664" s="64"/>
      <c r="AC664" s="64"/>
      <c r="AD664" s="64"/>
      <c r="AE664" s="64"/>
    </row>
    <row r="665" spans="1:31" ht="17.25" customHeight="1">
      <c r="A665" s="79"/>
      <c r="B665" s="64"/>
      <c r="C665" s="64"/>
      <c r="D665" s="64"/>
      <c r="E665" s="64"/>
      <c r="F665" s="64"/>
      <c r="G665" s="64"/>
      <c r="H665" s="87"/>
      <c r="I665" s="64"/>
      <c r="J665" s="64"/>
      <c r="K665" s="64"/>
      <c r="L665" s="64"/>
      <c r="M665" s="79"/>
      <c r="N665" s="64"/>
      <c r="O665" s="64"/>
      <c r="P665" s="64"/>
      <c r="Q665" s="64"/>
      <c r="R665" s="64"/>
      <c r="S665" s="64"/>
      <c r="T665" s="64"/>
      <c r="U665" s="78"/>
      <c r="V665" s="64"/>
      <c r="W665" s="79"/>
      <c r="X665" s="64"/>
      <c r="Y665" s="64"/>
      <c r="Z665" s="64"/>
      <c r="AA665" s="64"/>
      <c r="AB665" s="64"/>
      <c r="AC665" s="64"/>
      <c r="AD665" s="64"/>
      <c r="AE665" s="64"/>
    </row>
    <row r="666" spans="1:31" ht="17.25" customHeight="1">
      <c r="A666" s="79"/>
      <c r="B666" s="64"/>
      <c r="C666" s="64"/>
      <c r="D666" s="64"/>
      <c r="E666" s="64"/>
      <c r="F666" s="64"/>
      <c r="G666" s="64"/>
      <c r="H666" s="87"/>
      <c r="I666" s="64"/>
      <c r="J666" s="64"/>
      <c r="K666" s="64"/>
      <c r="L666" s="64"/>
      <c r="M666" s="79"/>
      <c r="N666" s="64"/>
      <c r="O666" s="64"/>
      <c r="P666" s="64"/>
      <c r="Q666" s="64"/>
      <c r="R666" s="64"/>
      <c r="S666" s="64"/>
      <c r="T666" s="64"/>
      <c r="U666" s="78"/>
      <c r="V666" s="64"/>
      <c r="W666" s="79"/>
      <c r="X666" s="64"/>
      <c r="Y666" s="64"/>
      <c r="Z666" s="64"/>
      <c r="AA666" s="64"/>
      <c r="AB666" s="64"/>
      <c r="AC666" s="64"/>
      <c r="AD666" s="64"/>
      <c r="AE666" s="64"/>
    </row>
    <row r="667" spans="1:31" ht="17.25" customHeight="1">
      <c r="A667" s="79"/>
      <c r="B667" s="64"/>
      <c r="C667" s="64"/>
      <c r="D667" s="64"/>
      <c r="E667" s="64"/>
      <c r="F667" s="64"/>
      <c r="G667" s="64"/>
      <c r="H667" s="87"/>
      <c r="I667" s="64"/>
      <c r="J667" s="64"/>
      <c r="K667" s="64"/>
      <c r="L667" s="64"/>
      <c r="M667" s="79"/>
      <c r="N667" s="64"/>
      <c r="O667" s="64"/>
      <c r="P667" s="64"/>
      <c r="Q667" s="64"/>
      <c r="R667" s="64"/>
      <c r="S667" s="64"/>
      <c r="T667" s="64"/>
      <c r="U667" s="78"/>
      <c r="V667" s="64"/>
      <c r="W667" s="79"/>
      <c r="X667" s="64"/>
      <c r="Y667" s="64"/>
      <c r="Z667" s="64"/>
      <c r="AA667" s="64"/>
      <c r="AB667" s="64"/>
      <c r="AC667" s="64"/>
      <c r="AD667" s="64"/>
      <c r="AE667" s="64"/>
    </row>
    <row r="668" spans="1:31" ht="17.25" customHeight="1">
      <c r="A668" s="79"/>
      <c r="B668" s="64"/>
      <c r="C668" s="64"/>
      <c r="D668" s="64"/>
      <c r="E668" s="64"/>
      <c r="F668" s="64"/>
      <c r="G668" s="64"/>
      <c r="H668" s="87"/>
      <c r="I668" s="64"/>
      <c r="J668" s="64"/>
      <c r="K668" s="64"/>
      <c r="L668" s="64"/>
      <c r="M668" s="79"/>
      <c r="N668" s="64"/>
      <c r="O668" s="64"/>
      <c r="P668" s="64"/>
      <c r="Q668" s="64"/>
      <c r="R668" s="64"/>
      <c r="S668" s="64"/>
      <c r="T668" s="64"/>
      <c r="U668" s="78"/>
      <c r="V668" s="64"/>
      <c r="W668" s="79"/>
      <c r="X668" s="64"/>
      <c r="Y668" s="64"/>
      <c r="Z668" s="64"/>
      <c r="AA668" s="64"/>
      <c r="AB668" s="64"/>
      <c r="AC668" s="64"/>
      <c r="AD668" s="64"/>
      <c r="AE668" s="64"/>
    </row>
    <row r="669" spans="1:31" ht="17.25" customHeight="1">
      <c r="A669" s="79"/>
      <c r="B669" s="64"/>
      <c r="C669" s="64"/>
      <c r="D669" s="64"/>
      <c r="E669" s="64"/>
      <c r="F669" s="64"/>
      <c r="G669" s="64"/>
      <c r="H669" s="87"/>
      <c r="I669" s="64"/>
      <c r="J669" s="64"/>
      <c r="K669" s="64"/>
      <c r="L669" s="64"/>
      <c r="M669" s="79"/>
      <c r="N669" s="64"/>
      <c r="O669" s="64"/>
      <c r="P669" s="64"/>
      <c r="Q669" s="64"/>
      <c r="R669" s="64"/>
      <c r="S669" s="64"/>
      <c r="T669" s="64"/>
      <c r="U669" s="78"/>
      <c r="V669" s="64"/>
      <c r="W669" s="79"/>
      <c r="X669" s="64"/>
      <c r="Y669" s="64"/>
      <c r="Z669" s="64"/>
      <c r="AA669" s="64"/>
      <c r="AB669" s="64"/>
      <c r="AC669" s="64"/>
      <c r="AD669" s="64"/>
      <c r="AE669" s="64"/>
    </row>
    <row r="670" spans="1:31" ht="17.25" customHeight="1">
      <c r="A670" s="79"/>
      <c r="B670" s="64"/>
      <c r="C670" s="64"/>
      <c r="D670" s="64"/>
      <c r="E670" s="64"/>
      <c r="F670" s="64"/>
      <c r="G670" s="64"/>
      <c r="H670" s="87"/>
      <c r="I670" s="64"/>
      <c r="J670" s="64"/>
      <c r="K670" s="64"/>
      <c r="L670" s="64"/>
      <c r="M670" s="79"/>
      <c r="N670" s="64"/>
      <c r="O670" s="64"/>
      <c r="P670" s="64"/>
      <c r="Q670" s="64"/>
      <c r="R670" s="64"/>
      <c r="S670" s="64"/>
      <c r="T670" s="64"/>
      <c r="U670" s="78"/>
      <c r="V670" s="64"/>
      <c r="W670" s="79"/>
      <c r="X670" s="64"/>
      <c r="Y670" s="64"/>
      <c r="Z670" s="64"/>
      <c r="AA670" s="64"/>
      <c r="AB670" s="64"/>
      <c r="AC670" s="64"/>
      <c r="AD670" s="64"/>
      <c r="AE670" s="64"/>
    </row>
    <row r="671" spans="1:31" ht="17.25" customHeight="1">
      <c r="A671" s="79"/>
      <c r="B671" s="64"/>
      <c r="C671" s="64"/>
      <c r="D671" s="64"/>
      <c r="E671" s="64"/>
      <c r="F671" s="64"/>
      <c r="G671" s="64"/>
      <c r="H671" s="87"/>
      <c r="I671" s="64"/>
      <c r="J671" s="64"/>
      <c r="K671" s="64"/>
      <c r="L671" s="64"/>
      <c r="M671" s="79"/>
      <c r="N671" s="64"/>
      <c r="O671" s="64"/>
      <c r="P671" s="64"/>
      <c r="Q671" s="64"/>
      <c r="R671" s="64"/>
      <c r="S671" s="64"/>
      <c r="T671" s="64"/>
      <c r="U671" s="78"/>
      <c r="V671" s="64"/>
      <c r="W671" s="79"/>
      <c r="X671" s="64"/>
      <c r="Y671" s="64"/>
      <c r="Z671" s="64"/>
      <c r="AA671" s="64"/>
      <c r="AB671" s="64"/>
      <c r="AC671" s="64"/>
      <c r="AD671" s="64"/>
      <c r="AE671" s="64"/>
    </row>
    <row r="672" spans="1:31" ht="17.25" customHeight="1">
      <c r="A672" s="79"/>
      <c r="B672" s="64"/>
      <c r="C672" s="64"/>
      <c r="D672" s="64"/>
      <c r="E672" s="64"/>
      <c r="F672" s="64"/>
      <c r="G672" s="64"/>
      <c r="H672" s="87"/>
      <c r="I672" s="64"/>
      <c r="J672" s="64"/>
      <c r="K672" s="64"/>
      <c r="L672" s="64"/>
      <c r="M672" s="79"/>
      <c r="N672" s="64"/>
      <c r="O672" s="64"/>
      <c r="P672" s="64"/>
      <c r="Q672" s="64"/>
      <c r="R672" s="64"/>
      <c r="S672" s="64"/>
      <c r="T672" s="64"/>
      <c r="U672" s="78"/>
      <c r="V672" s="64"/>
      <c r="W672" s="79"/>
      <c r="X672" s="64"/>
      <c r="Y672" s="64"/>
      <c r="Z672" s="64"/>
      <c r="AA672" s="64"/>
      <c r="AB672" s="64"/>
      <c r="AC672" s="64"/>
      <c r="AD672" s="64"/>
      <c r="AE672" s="64"/>
    </row>
    <row r="673" spans="1:31" ht="17.25" customHeight="1">
      <c r="A673" s="79"/>
      <c r="B673" s="64"/>
      <c r="C673" s="64"/>
      <c r="D673" s="64"/>
      <c r="E673" s="64"/>
      <c r="F673" s="64"/>
      <c r="G673" s="64"/>
      <c r="H673" s="87"/>
      <c r="I673" s="64"/>
      <c r="J673" s="64"/>
      <c r="K673" s="64"/>
      <c r="L673" s="64"/>
      <c r="M673" s="79"/>
      <c r="N673" s="64"/>
      <c r="O673" s="64"/>
      <c r="P673" s="64"/>
      <c r="Q673" s="64"/>
      <c r="R673" s="64"/>
      <c r="S673" s="64"/>
      <c r="T673" s="64"/>
      <c r="U673" s="78"/>
      <c r="V673" s="64"/>
      <c r="W673" s="79"/>
      <c r="X673" s="64"/>
      <c r="Y673" s="64"/>
      <c r="Z673" s="64"/>
      <c r="AA673" s="64"/>
      <c r="AB673" s="64"/>
      <c r="AC673" s="64"/>
      <c r="AD673" s="64"/>
      <c r="AE673" s="64"/>
    </row>
    <row r="674" spans="1:31" ht="17.25" customHeight="1">
      <c r="A674" s="79"/>
      <c r="B674" s="64"/>
      <c r="C674" s="64"/>
      <c r="D674" s="64"/>
      <c r="E674" s="64"/>
      <c r="F674" s="64"/>
      <c r="G674" s="64"/>
      <c r="H674" s="87"/>
      <c r="I674" s="64"/>
      <c r="J674" s="64"/>
      <c r="K674" s="64"/>
      <c r="L674" s="64"/>
      <c r="M674" s="79"/>
      <c r="N674" s="64"/>
      <c r="O674" s="64"/>
      <c r="P674" s="64"/>
      <c r="Q674" s="64"/>
      <c r="R674" s="64"/>
      <c r="S674" s="64"/>
      <c r="T674" s="64"/>
      <c r="U674" s="78"/>
      <c r="V674" s="64"/>
      <c r="W674" s="79"/>
      <c r="X674" s="64"/>
      <c r="Y674" s="64"/>
      <c r="Z674" s="64"/>
      <c r="AA674" s="64"/>
      <c r="AB674" s="64"/>
      <c r="AC674" s="64"/>
      <c r="AD674" s="64"/>
      <c r="AE674" s="64"/>
    </row>
    <row r="675" spans="1:31" ht="17.25" customHeight="1">
      <c r="A675" s="79"/>
      <c r="B675" s="64"/>
      <c r="C675" s="64"/>
      <c r="D675" s="64"/>
      <c r="E675" s="64"/>
      <c r="F675" s="64"/>
      <c r="G675" s="64"/>
      <c r="H675" s="87"/>
      <c r="I675" s="64"/>
      <c r="J675" s="64"/>
      <c r="K675" s="64"/>
      <c r="L675" s="64"/>
      <c r="M675" s="79"/>
      <c r="N675" s="64"/>
      <c r="O675" s="64"/>
      <c r="P675" s="64"/>
      <c r="Q675" s="64"/>
      <c r="R675" s="64"/>
      <c r="S675" s="64"/>
      <c r="T675" s="64"/>
      <c r="U675" s="78"/>
      <c r="V675" s="64"/>
      <c r="W675" s="79"/>
      <c r="X675" s="64"/>
      <c r="Y675" s="64"/>
      <c r="Z675" s="64"/>
      <c r="AA675" s="64"/>
      <c r="AB675" s="64"/>
      <c r="AC675" s="64"/>
      <c r="AD675" s="64"/>
      <c r="AE675" s="64"/>
    </row>
    <row r="676" spans="1:31" ht="17.25" customHeight="1">
      <c r="A676" s="79"/>
      <c r="B676" s="64"/>
      <c r="C676" s="64"/>
      <c r="D676" s="64"/>
      <c r="E676" s="64"/>
      <c r="F676" s="64"/>
      <c r="G676" s="64"/>
      <c r="H676" s="87"/>
      <c r="I676" s="64"/>
      <c r="J676" s="64"/>
      <c r="K676" s="64"/>
      <c r="L676" s="64"/>
      <c r="M676" s="79"/>
      <c r="N676" s="64"/>
      <c r="O676" s="64"/>
      <c r="P676" s="64"/>
      <c r="Q676" s="64"/>
      <c r="R676" s="64"/>
      <c r="S676" s="64"/>
      <c r="T676" s="64"/>
      <c r="U676" s="78"/>
      <c r="V676" s="64"/>
      <c r="W676" s="79"/>
      <c r="X676" s="64"/>
      <c r="Y676" s="64"/>
      <c r="Z676" s="64"/>
      <c r="AA676" s="64"/>
      <c r="AB676" s="64"/>
      <c r="AC676" s="64"/>
      <c r="AD676" s="64"/>
      <c r="AE676" s="64"/>
    </row>
    <row r="677" spans="1:31" ht="17.25" customHeight="1">
      <c r="A677" s="79"/>
      <c r="B677" s="64"/>
      <c r="C677" s="64"/>
      <c r="D677" s="64"/>
      <c r="E677" s="64"/>
      <c r="F677" s="64"/>
      <c r="G677" s="64"/>
      <c r="H677" s="87"/>
      <c r="I677" s="64"/>
      <c r="J677" s="64"/>
      <c r="K677" s="64"/>
      <c r="L677" s="64"/>
      <c r="M677" s="79"/>
      <c r="N677" s="64"/>
      <c r="O677" s="64"/>
      <c r="P677" s="64"/>
      <c r="Q677" s="64"/>
      <c r="R677" s="64"/>
      <c r="S677" s="64"/>
      <c r="T677" s="64"/>
      <c r="U677" s="78"/>
      <c r="V677" s="64"/>
      <c r="W677" s="79"/>
      <c r="X677" s="64"/>
      <c r="Y677" s="64"/>
      <c r="Z677" s="64"/>
      <c r="AA677" s="64"/>
      <c r="AB677" s="64"/>
      <c r="AC677" s="64"/>
      <c r="AD677" s="64"/>
      <c r="AE677" s="64"/>
    </row>
    <row r="678" spans="1:31" ht="17.25" customHeight="1">
      <c r="A678" s="79"/>
      <c r="B678" s="64"/>
      <c r="C678" s="64"/>
      <c r="D678" s="64"/>
      <c r="E678" s="64"/>
      <c r="F678" s="64"/>
      <c r="G678" s="64"/>
      <c r="H678" s="87"/>
      <c r="I678" s="64"/>
      <c r="J678" s="64"/>
      <c r="K678" s="64"/>
      <c r="L678" s="64"/>
      <c r="M678" s="79"/>
      <c r="N678" s="64"/>
      <c r="O678" s="64"/>
      <c r="P678" s="64"/>
      <c r="Q678" s="64"/>
      <c r="R678" s="64"/>
      <c r="S678" s="64"/>
      <c r="T678" s="64"/>
      <c r="U678" s="78"/>
      <c r="V678" s="64"/>
      <c r="W678" s="79"/>
      <c r="X678" s="64"/>
      <c r="Y678" s="64"/>
      <c r="Z678" s="64"/>
      <c r="AA678" s="64"/>
      <c r="AB678" s="64"/>
      <c r="AC678" s="64"/>
      <c r="AD678" s="64"/>
      <c r="AE678" s="64"/>
    </row>
    <row r="679" spans="1:31" ht="17.25" customHeight="1">
      <c r="A679" s="79"/>
      <c r="B679" s="64"/>
      <c r="C679" s="64"/>
      <c r="D679" s="64"/>
      <c r="E679" s="64"/>
      <c r="F679" s="64"/>
      <c r="G679" s="64"/>
      <c r="H679" s="87"/>
      <c r="I679" s="64"/>
      <c r="J679" s="64"/>
      <c r="K679" s="64"/>
      <c r="L679" s="64"/>
      <c r="M679" s="79"/>
      <c r="N679" s="64"/>
      <c r="O679" s="64"/>
      <c r="P679" s="64"/>
      <c r="Q679" s="64"/>
      <c r="R679" s="64"/>
      <c r="S679" s="64"/>
      <c r="T679" s="64"/>
      <c r="U679" s="78"/>
      <c r="V679" s="64"/>
      <c r="W679" s="79"/>
      <c r="X679" s="64"/>
      <c r="Y679" s="64"/>
      <c r="Z679" s="64"/>
      <c r="AA679" s="64"/>
      <c r="AB679" s="64"/>
      <c r="AC679" s="64"/>
      <c r="AD679" s="64"/>
      <c r="AE679" s="64"/>
    </row>
    <row r="680" spans="1:31" ht="17.25" customHeight="1">
      <c r="A680" s="79"/>
      <c r="B680" s="64"/>
      <c r="C680" s="64"/>
      <c r="D680" s="64"/>
      <c r="E680" s="64"/>
      <c r="F680" s="64"/>
      <c r="G680" s="64"/>
      <c r="H680" s="87"/>
      <c r="I680" s="64"/>
      <c r="J680" s="64"/>
      <c r="K680" s="64"/>
      <c r="L680" s="64"/>
      <c r="M680" s="79"/>
      <c r="N680" s="64"/>
      <c r="O680" s="64"/>
      <c r="P680" s="64"/>
      <c r="Q680" s="64"/>
      <c r="R680" s="64"/>
      <c r="S680" s="64"/>
      <c r="T680" s="64"/>
      <c r="U680" s="78"/>
      <c r="V680" s="64"/>
      <c r="W680" s="79"/>
      <c r="X680" s="64"/>
      <c r="Y680" s="64"/>
      <c r="Z680" s="64"/>
      <c r="AA680" s="64"/>
      <c r="AB680" s="64"/>
      <c r="AC680" s="64"/>
      <c r="AD680" s="64"/>
      <c r="AE680" s="64"/>
    </row>
    <row r="681" spans="1:31" ht="17.25" customHeight="1">
      <c r="A681" s="79"/>
      <c r="B681" s="64"/>
      <c r="C681" s="64"/>
      <c r="D681" s="64"/>
      <c r="E681" s="64"/>
      <c r="F681" s="64"/>
      <c r="G681" s="64"/>
      <c r="H681" s="87"/>
      <c r="I681" s="64"/>
      <c r="J681" s="64"/>
      <c r="K681" s="64"/>
      <c r="L681" s="64"/>
      <c r="M681" s="79"/>
      <c r="N681" s="64"/>
      <c r="O681" s="64"/>
      <c r="P681" s="64"/>
      <c r="Q681" s="64"/>
      <c r="R681" s="64"/>
      <c r="S681" s="64"/>
      <c r="T681" s="64"/>
      <c r="U681" s="78"/>
      <c r="V681" s="64"/>
      <c r="W681" s="79"/>
      <c r="X681" s="64"/>
      <c r="Y681" s="64"/>
      <c r="Z681" s="64"/>
      <c r="AA681" s="64"/>
      <c r="AB681" s="64"/>
      <c r="AC681" s="64"/>
      <c r="AD681" s="64"/>
      <c r="AE681" s="64"/>
    </row>
    <row r="682" spans="1:31" ht="17.25" customHeight="1">
      <c r="A682" s="79"/>
      <c r="B682" s="64"/>
      <c r="C682" s="64"/>
      <c r="D682" s="64"/>
      <c r="E682" s="64"/>
      <c r="F682" s="64"/>
      <c r="G682" s="64"/>
      <c r="H682" s="87"/>
      <c r="I682" s="64"/>
      <c r="J682" s="64"/>
      <c r="K682" s="64"/>
      <c r="L682" s="64"/>
      <c r="M682" s="79"/>
      <c r="N682" s="64"/>
      <c r="O682" s="64"/>
      <c r="P682" s="64"/>
      <c r="Q682" s="64"/>
      <c r="R682" s="64"/>
      <c r="S682" s="64"/>
      <c r="T682" s="64"/>
      <c r="U682" s="78"/>
      <c r="V682" s="64"/>
      <c r="W682" s="79"/>
      <c r="X682" s="64"/>
      <c r="Y682" s="64"/>
      <c r="Z682" s="64"/>
      <c r="AA682" s="64"/>
      <c r="AB682" s="64"/>
      <c r="AC682" s="64"/>
      <c r="AD682" s="64"/>
      <c r="AE682" s="64"/>
    </row>
    <row r="683" spans="1:31" ht="17.25" customHeight="1">
      <c r="A683" s="79"/>
      <c r="B683" s="64"/>
      <c r="C683" s="64"/>
      <c r="D683" s="64"/>
      <c r="E683" s="64"/>
      <c r="F683" s="64"/>
      <c r="G683" s="64"/>
      <c r="H683" s="87"/>
      <c r="I683" s="64"/>
      <c r="J683" s="64"/>
      <c r="K683" s="64"/>
      <c r="L683" s="64"/>
      <c r="M683" s="79"/>
      <c r="N683" s="64"/>
      <c r="O683" s="64"/>
      <c r="P683" s="64"/>
      <c r="Q683" s="64"/>
      <c r="R683" s="64"/>
      <c r="S683" s="64"/>
      <c r="T683" s="64"/>
      <c r="U683" s="78"/>
      <c r="V683" s="64"/>
      <c r="W683" s="79"/>
      <c r="X683" s="64"/>
      <c r="Y683" s="64"/>
      <c r="Z683" s="64"/>
      <c r="AA683" s="64"/>
      <c r="AB683" s="64"/>
      <c r="AC683" s="64"/>
      <c r="AD683" s="64"/>
      <c r="AE683" s="64"/>
    </row>
    <row r="684" spans="1:31" ht="17.25" customHeight="1">
      <c r="A684" s="79"/>
      <c r="B684" s="64"/>
      <c r="C684" s="64"/>
      <c r="D684" s="64"/>
      <c r="E684" s="64"/>
      <c r="F684" s="64"/>
      <c r="G684" s="64"/>
      <c r="H684" s="87"/>
      <c r="I684" s="64"/>
      <c r="J684" s="64"/>
      <c r="K684" s="64"/>
      <c r="L684" s="64"/>
      <c r="M684" s="79"/>
      <c r="N684" s="64"/>
      <c r="O684" s="64"/>
      <c r="P684" s="64"/>
      <c r="Q684" s="64"/>
      <c r="R684" s="64"/>
      <c r="S684" s="64"/>
      <c r="T684" s="64"/>
      <c r="U684" s="78"/>
      <c r="V684" s="64"/>
      <c r="W684" s="79"/>
      <c r="X684" s="64"/>
      <c r="Y684" s="64"/>
      <c r="Z684" s="64"/>
      <c r="AA684" s="64"/>
      <c r="AB684" s="64"/>
      <c r="AC684" s="64"/>
      <c r="AD684" s="64"/>
      <c r="AE684" s="64"/>
    </row>
    <row r="685" spans="1:31" ht="17.25" customHeight="1">
      <c r="A685" s="79"/>
      <c r="B685" s="64"/>
      <c r="C685" s="64"/>
      <c r="D685" s="64"/>
      <c r="E685" s="64"/>
      <c r="F685" s="64"/>
      <c r="G685" s="64"/>
      <c r="H685" s="87"/>
      <c r="I685" s="64"/>
      <c r="J685" s="64"/>
      <c r="K685" s="64"/>
      <c r="L685" s="64"/>
      <c r="M685" s="79"/>
      <c r="N685" s="64"/>
      <c r="O685" s="64"/>
      <c r="P685" s="64"/>
      <c r="Q685" s="64"/>
      <c r="R685" s="64"/>
      <c r="S685" s="64"/>
      <c r="T685" s="64"/>
      <c r="U685" s="78"/>
      <c r="V685" s="64"/>
      <c r="W685" s="79"/>
      <c r="X685" s="64"/>
      <c r="Y685" s="64"/>
      <c r="Z685" s="64"/>
      <c r="AA685" s="64"/>
      <c r="AB685" s="64"/>
      <c r="AC685" s="64"/>
      <c r="AD685" s="64"/>
      <c r="AE685" s="64"/>
    </row>
    <row r="686" spans="1:31" ht="17.25" customHeight="1">
      <c r="A686" s="79"/>
      <c r="B686" s="64"/>
      <c r="C686" s="64"/>
      <c r="D686" s="64"/>
      <c r="E686" s="64"/>
      <c r="F686" s="64"/>
      <c r="G686" s="64"/>
      <c r="H686" s="87"/>
      <c r="I686" s="64"/>
      <c r="J686" s="64"/>
      <c r="K686" s="64"/>
      <c r="L686" s="64"/>
      <c r="M686" s="79"/>
      <c r="N686" s="64"/>
      <c r="O686" s="64"/>
      <c r="P686" s="64"/>
      <c r="Q686" s="64"/>
      <c r="R686" s="64"/>
      <c r="S686" s="64"/>
      <c r="T686" s="64"/>
      <c r="U686" s="78"/>
      <c r="V686" s="64"/>
      <c r="W686" s="79"/>
      <c r="X686" s="64"/>
      <c r="Y686" s="64"/>
      <c r="Z686" s="64"/>
      <c r="AA686" s="64"/>
      <c r="AB686" s="64"/>
      <c r="AC686" s="64"/>
      <c r="AD686" s="64"/>
      <c r="AE686" s="64"/>
    </row>
    <row r="687" spans="1:31" ht="17.25" customHeight="1">
      <c r="A687" s="79"/>
      <c r="B687" s="64"/>
      <c r="C687" s="64"/>
      <c r="D687" s="64"/>
      <c r="E687" s="64"/>
      <c r="F687" s="64"/>
      <c r="G687" s="64"/>
      <c r="H687" s="87"/>
      <c r="I687" s="64"/>
      <c r="J687" s="64"/>
      <c r="K687" s="64"/>
      <c r="L687" s="64"/>
      <c r="M687" s="79"/>
      <c r="N687" s="64"/>
      <c r="O687" s="64"/>
      <c r="P687" s="64"/>
      <c r="Q687" s="64"/>
      <c r="R687" s="64"/>
      <c r="S687" s="64"/>
      <c r="T687" s="64"/>
      <c r="U687" s="78"/>
      <c r="V687" s="64"/>
      <c r="W687" s="79"/>
      <c r="X687" s="64"/>
      <c r="Y687" s="64"/>
      <c r="Z687" s="64"/>
      <c r="AA687" s="64"/>
      <c r="AB687" s="64"/>
      <c r="AC687" s="64"/>
      <c r="AD687" s="64"/>
      <c r="AE687" s="64"/>
    </row>
    <row r="688" spans="1:31" ht="17.25" customHeight="1">
      <c r="A688" s="79"/>
      <c r="B688" s="64"/>
      <c r="C688" s="64"/>
      <c r="D688" s="64"/>
      <c r="E688" s="64"/>
      <c r="F688" s="64"/>
      <c r="G688" s="64"/>
      <c r="H688" s="87"/>
      <c r="I688" s="64"/>
      <c r="J688" s="64"/>
      <c r="K688" s="64"/>
      <c r="L688" s="64"/>
      <c r="M688" s="79"/>
      <c r="N688" s="64"/>
      <c r="O688" s="64"/>
      <c r="P688" s="64"/>
      <c r="Q688" s="64"/>
      <c r="R688" s="64"/>
      <c r="S688" s="64"/>
      <c r="T688" s="64"/>
      <c r="U688" s="78"/>
      <c r="V688" s="64"/>
      <c r="W688" s="79"/>
      <c r="X688" s="64"/>
      <c r="Y688" s="64"/>
      <c r="Z688" s="64"/>
      <c r="AA688" s="64"/>
      <c r="AB688" s="64"/>
      <c r="AC688" s="64"/>
      <c r="AD688" s="64"/>
      <c r="AE688" s="64"/>
    </row>
    <row r="689" spans="1:31" ht="17.25" customHeight="1">
      <c r="A689" s="79"/>
      <c r="B689" s="64"/>
      <c r="C689" s="64"/>
      <c r="D689" s="64"/>
      <c r="E689" s="64"/>
      <c r="F689" s="64"/>
      <c r="G689" s="64"/>
      <c r="H689" s="87"/>
      <c r="I689" s="64"/>
      <c r="J689" s="64"/>
      <c r="K689" s="64"/>
      <c r="L689" s="64"/>
      <c r="M689" s="79"/>
      <c r="N689" s="64"/>
      <c r="O689" s="64"/>
      <c r="P689" s="64"/>
      <c r="Q689" s="64"/>
      <c r="R689" s="64"/>
      <c r="S689" s="64"/>
      <c r="T689" s="64"/>
      <c r="U689" s="78"/>
      <c r="V689" s="64"/>
      <c r="W689" s="79"/>
      <c r="X689" s="64"/>
      <c r="Y689" s="64"/>
      <c r="Z689" s="64"/>
      <c r="AA689" s="64"/>
      <c r="AB689" s="64"/>
      <c r="AC689" s="64"/>
      <c r="AD689" s="64"/>
      <c r="AE689" s="64"/>
    </row>
    <row r="690" spans="1:31" ht="17.25" customHeight="1">
      <c r="A690" s="79"/>
      <c r="B690" s="64"/>
      <c r="C690" s="64"/>
      <c r="D690" s="64"/>
      <c r="E690" s="64"/>
      <c r="F690" s="64"/>
      <c r="G690" s="64"/>
      <c r="H690" s="87"/>
      <c r="I690" s="64"/>
      <c r="J690" s="64"/>
      <c r="K690" s="64"/>
      <c r="L690" s="64"/>
      <c r="M690" s="79"/>
      <c r="N690" s="64"/>
      <c r="O690" s="64"/>
      <c r="P690" s="64"/>
      <c r="Q690" s="64"/>
      <c r="R690" s="64"/>
      <c r="S690" s="64"/>
      <c r="T690" s="64"/>
      <c r="U690" s="78"/>
      <c r="V690" s="64"/>
      <c r="W690" s="79"/>
      <c r="X690" s="64"/>
      <c r="Y690" s="64"/>
      <c r="Z690" s="64"/>
      <c r="AA690" s="64"/>
      <c r="AB690" s="64"/>
      <c r="AC690" s="64"/>
      <c r="AD690" s="64"/>
      <c r="AE690" s="64"/>
    </row>
    <row r="691" spans="1:31" ht="17.25" customHeight="1">
      <c r="A691" s="79"/>
      <c r="B691" s="64"/>
      <c r="C691" s="64"/>
      <c r="D691" s="64"/>
      <c r="E691" s="64"/>
      <c r="F691" s="64"/>
      <c r="G691" s="64"/>
      <c r="H691" s="87"/>
      <c r="I691" s="64"/>
      <c r="J691" s="64"/>
      <c r="K691" s="64"/>
      <c r="L691" s="64"/>
      <c r="M691" s="79"/>
      <c r="N691" s="64"/>
      <c r="O691" s="64"/>
      <c r="P691" s="64"/>
      <c r="Q691" s="64"/>
      <c r="R691" s="64"/>
      <c r="S691" s="64"/>
      <c r="T691" s="64"/>
      <c r="U691" s="78"/>
      <c r="V691" s="64"/>
      <c r="W691" s="79"/>
      <c r="X691" s="64"/>
      <c r="Y691" s="64"/>
      <c r="Z691" s="64"/>
      <c r="AA691" s="64"/>
      <c r="AB691" s="64"/>
      <c r="AC691" s="64"/>
      <c r="AD691" s="64"/>
      <c r="AE691" s="64"/>
    </row>
    <row r="692" spans="1:31" ht="17.25" customHeight="1">
      <c r="A692" s="79"/>
      <c r="B692" s="64"/>
      <c r="C692" s="64"/>
      <c r="D692" s="64"/>
      <c r="E692" s="64"/>
      <c r="F692" s="64"/>
      <c r="G692" s="64"/>
      <c r="H692" s="87"/>
      <c r="I692" s="64"/>
      <c r="J692" s="64"/>
      <c r="K692" s="64"/>
      <c r="L692" s="64"/>
      <c r="M692" s="79"/>
      <c r="N692" s="64"/>
      <c r="O692" s="64"/>
      <c r="P692" s="64"/>
      <c r="Q692" s="64"/>
      <c r="R692" s="64"/>
      <c r="S692" s="64"/>
      <c r="T692" s="64"/>
      <c r="U692" s="78"/>
      <c r="V692" s="64"/>
      <c r="W692" s="79"/>
      <c r="X692" s="64"/>
      <c r="Y692" s="64"/>
      <c r="Z692" s="64"/>
      <c r="AA692" s="64"/>
      <c r="AB692" s="64"/>
      <c r="AC692" s="64"/>
      <c r="AD692" s="64"/>
      <c r="AE692" s="64"/>
    </row>
    <row r="693" spans="1:31" ht="17.25" customHeight="1">
      <c r="A693" s="79"/>
      <c r="B693" s="64"/>
      <c r="C693" s="64"/>
      <c r="D693" s="64"/>
      <c r="E693" s="64"/>
      <c r="F693" s="64"/>
      <c r="G693" s="64"/>
      <c r="H693" s="87"/>
      <c r="I693" s="64"/>
      <c r="J693" s="64"/>
      <c r="K693" s="64"/>
      <c r="L693" s="64"/>
      <c r="M693" s="79"/>
      <c r="N693" s="64"/>
      <c r="O693" s="64"/>
      <c r="P693" s="64"/>
      <c r="Q693" s="64"/>
      <c r="R693" s="64"/>
      <c r="S693" s="64"/>
      <c r="T693" s="64"/>
      <c r="U693" s="78"/>
      <c r="V693" s="64"/>
      <c r="W693" s="79"/>
      <c r="X693" s="64"/>
      <c r="Y693" s="64"/>
      <c r="Z693" s="64"/>
      <c r="AA693" s="64"/>
      <c r="AB693" s="64"/>
      <c r="AC693" s="64"/>
      <c r="AD693" s="64"/>
      <c r="AE693" s="64"/>
    </row>
    <row r="694" spans="1:31" ht="17.25" customHeight="1">
      <c r="A694" s="79"/>
      <c r="B694" s="64"/>
      <c r="C694" s="64"/>
      <c r="D694" s="64"/>
      <c r="E694" s="64"/>
      <c r="F694" s="64"/>
      <c r="G694" s="64"/>
      <c r="H694" s="87"/>
      <c r="I694" s="64"/>
      <c r="J694" s="64"/>
      <c r="K694" s="64"/>
      <c r="L694" s="64"/>
      <c r="M694" s="79"/>
      <c r="N694" s="64"/>
      <c r="O694" s="64"/>
      <c r="P694" s="64"/>
      <c r="Q694" s="64"/>
      <c r="R694" s="64"/>
      <c r="S694" s="64"/>
      <c r="T694" s="64"/>
      <c r="U694" s="78"/>
      <c r="V694" s="64"/>
      <c r="W694" s="79"/>
      <c r="X694" s="64"/>
      <c r="Y694" s="64"/>
      <c r="Z694" s="64"/>
      <c r="AA694" s="64"/>
      <c r="AB694" s="64"/>
      <c r="AC694" s="64"/>
      <c r="AD694" s="64"/>
      <c r="AE694" s="64"/>
    </row>
    <row r="695" spans="1:31" ht="17.25" customHeight="1">
      <c r="A695" s="79"/>
      <c r="B695" s="64"/>
      <c r="C695" s="64"/>
      <c r="D695" s="64"/>
      <c r="E695" s="64"/>
      <c r="F695" s="64"/>
      <c r="G695" s="64"/>
      <c r="H695" s="87"/>
      <c r="I695" s="64"/>
      <c r="J695" s="64"/>
      <c r="K695" s="64"/>
      <c r="L695" s="64"/>
      <c r="M695" s="79"/>
      <c r="N695" s="64"/>
      <c r="O695" s="64"/>
      <c r="P695" s="64"/>
      <c r="Q695" s="64"/>
      <c r="R695" s="64"/>
      <c r="S695" s="64"/>
      <c r="T695" s="64"/>
      <c r="U695" s="78"/>
      <c r="V695" s="64"/>
      <c r="W695" s="79"/>
      <c r="X695" s="64"/>
      <c r="Y695" s="64"/>
      <c r="Z695" s="64"/>
      <c r="AA695" s="64"/>
      <c r="AB695" s="64"/>
      <c r="AC695" s="64"/>
      <c r="AD695" s="64"/>
      <c r="AE695" s="64"/>
    </row>
    <row r="696" spans="1:31" ht="17.25" customHeight="1">
      <c r="A696" s="79"/>
      <c r="B696" s="64"/>
      <c r="C696" s="64"/>
      <c r="D696" s="64"/>
      <c r="E696" s="64"/>
      <c r="F696" s="64"/>
      <c r="G696" s="64"/>
      <c r="H696" s="87"/>
      <c r="I696" s="64"/>
      <c r="J696" s="64"/>
      <c r="K696" s="64"/>
      <c r="L696" s="64"/>
      <c r="M696" s="79"/>
      <c r="N696" s="64"/>
      <c r="O696" s="64"/>
      <c r="P696" s="64"/>
      <c r="Q696" s="64"/>
      <c r="R696" s="64"/>
      <c r="S696" s="64"/>
      <c r="T696" s="64"/>
      <c r="U696" s="78"/>
      <c r="V696" s="64"/>
      <c r="W696" s="79"/>
      <c r="X696" s="64"/>
      <c r="Y696" s="64"/>
      <c r="Z696" s="64"/>
      <c r="AA696" s="64"/>
      <c r="AB696" s="64"/>
      <c r="AC696" s="64"/>
      <c r="AD696" s="64"/>
      <c r="AE696" s="64"/>
    </row>
    <row r="697" spans="1:31" ht="17.25" customHeight="1">
      <c r="A697" s="79"/>
      <c r="B697" s="64"/>
      <c r="C697" s="64"/>
      <c r="D697" s="64"/>
      <c r="E697" s="64"/>
      <c r="F697" s="64"/>
      <c r="G697" s="64"/>
      <c r="H697" s="87"/>
      <c r="I697" s="64"/>
      <c r="J697" s="64"/>
      <c r="K697" s="64"/>
      <c r="L697" s="64"/>
      <c r="M697" s="79"/>
      <c r="N697" s="64"/>
      <c r="O697" s="64"/>
      <c r="P697" s="64"/>
      <c r="Q697" s="64"/>
      <c r="R697" s="64"/>
      <c r="S697" s="64"/>
      <c r="T697" s="64"/>
      <c r="U697" s="78"/>
      <c r="V697" s="64"/>
      <c r="W697" s="79"/>
      <c r="X697" s="64"/>
      <c r="Y697" s="64"/>
      <c r="Z697" s="64"/>
      <c r="AA697" s="64"/>
      <c r="AB697" s="64"/>
      <c r="AC697" s="64"/>
      <c r="AD697" s="64"/>
      <c r="AE697" s="64"/>
    </row>
    <row r="698" spans="1:31" ht="17.25" customHeight="1">
      <c r="A698" s="79"/>
      <c r="B698" s="64"/>
      <c r="C698" s="64"/>
      <c r="D698" s="64"/>
      <c r="E698" s="64"/>
      <c r="F698" s="64"/>
      <c r="G698" s="64"/>
      <c r="H698" s="87"/>
      <c r="I698" s="64"/>
      <c r="J698" s="64"/>
      <c r="K698" s="64"/>
      <c r="L698" s="64"/>
      <c r="M698" s="79"/>
      <c r="N698" s="64"/>
      <c r="O698" s="64"/>
      <c r="P698" s="64"/>
      <c r="Q698" s="64"/>
      <c r="R698" s="64"/>
      <c r="S698" s="64"/>
      <c r="T698" s="64"/>
      <c r="U698" s="78"/>
      <c r="V698" s="64"/>
      <c r="W698" s="79"/>
      <c r="X698" s="64"/>
      <c r="Y698" s="64"/>
      <c r="Z698" s="64"/>
      <c r="AA698" s="64"/>
      <c r="AB698" s="64"/>
      <c r="AC698" s="64"/>
      <c r="AD698" s="64"/>
      <c r="AE698" s="64"/>
    </row>
    <row r="699" spans="1:31" ht="17.25" customHeight="1">
      <c r="A699" s="79"/>
      <c r="B699" s="64"/>
      <c r="C699" s="64"/>
      <c r="D699" s="64"/>
      <c r="E699" s="64"/>
      <c r="F699" s="64"/>
      <c r="G699" s="64"/>
      <c r="H699" s="87"/>
      <c r="I699" s="64"/>
      <c r="J699" s="64"/>
      <c r="K699" s="64"/>
      <c r="L699" s="64"/>
      <c r="M699" s="79"/>
      <c r="N699" s="64"/>
      <c r="O699" s="64"/>
      <c r="P699" s="64"/>
      <c r="Q699" s="64"/>
      <c r="R699" s="64"/>
      <c r="S699" s="64"/>
      <c r="T699" s="64"/>
      <c r="U699" s="78"/>
      <c r="V699" s="64"/>
      <c r="W699" s="79"/>
      <c r="X699" s="64"/>
      <c r="Y699" s="64"/>
      <c r="Z699" s="64"/>
      <c r="AA699" s="64"/>
      <c r="AB699" s="64"/>
      <c r="AC699" s="64"/>
      <c r="AD699" s="64"/>
      <c r="AE699" s="64"/>
    </row>
    <row r="700" spans="1:31" ht="17.25" customHeight="1">
      <c r="A700" s="79"/>
      <c r="B700" s="64"/>
      <c r="C700" s="64"/>
      <c r="D700" s="64"/>
      <c r="E700" s="64"/>
      <c r="F700" s="64"/>
      <c r="G700" s="64"/>
      <c r="H700" s="87"/>
      <c r="I700" s="64"/>
      <c r="J700" s="64"/>
      <c r="K700" s="64"/>
      <c r="L700" s="64"/>
      <c r="M700" s="79"/>
      <c r="N700" s="64"/>
      <c r="O700" s="64"/>
      <c r="P700" s="64"/>
      <c r="Q700" s="64"/>
      <c r="R700" s="64"/>
      <c r="S700" s="64"/>
      <c r="T700" s="64"/>
      <c r="U700" s="78"/>
      <c r="V700" s="64"/>
      <c r="W700" s="79"/>
      <c r="X700" s="64"/>
      <c r="Y700" s="64"/>
      <c r="Z700" s="64"/>
      <c r="AA700" s="64"/>
      <c r="AB700" s="64"/>
      <c r="AC700" s="64"/>
      <c r="AD700" s="64"/>
      <c r="AE700" s="64"/>
    </row>
    <row r="701" spans="1:31" ht="17.25" customHeight="1">
      <c r="A701" s="79"/>
      <c r="B701" s="64"/>
      <c r="C701" s="64"/>
      <c r="D701" s="64"/>
      <c r="E701" s="64"/>
      <c r="F701" s="64"/>
      <c r="G701" s="64"/>
      <c r="H701" s="87"/>
      <c r="I701" s="64"/>
      <c r="J701" s="64"/>
      <c r="K701" s="64"/>
      <c r="L701" s="64"/>
      <c r="M701" s="79"/>
      <c r="N701" s="64"/>
      <c r="O701" s="64"/>
      <c r="P701" s="64"/>
      <c r="Q701" s="64"/>
      <c r="R701" s="64"/>
      <c r="S701" s="64"/>
      <c r="T701" s="64"/>
      <c r="U701" s="78"/>
      <c r="V701" s="64"/>
      <c r="W701" s="79"/>
      <c r="X701" s="64"/>
      <c r="Y701" s="64"/>
      <c r="Z701" s="64"/>
      <c r="AA701" s="64"/>
      <c r="AB701" s="64"/>
      <c r="AC701" s="64"/>
      <c r="AD701" s="64"/>
      <c r="AE701" s="64"/>
    </row>
    <row r="702" spans="1:31" ht="17.25" customHeight="1">
      <c r="A702" s="79"/>
      <c r="B702" s="64"/>
      <c r="C702" s="64"/>
      <c r="D702" s="64"/>
      <c r="E702" s="64"/>
      <c r="F702" s="64"/>
      <c r="G702" s="64"/>
      <c r="H702" s="87"/>
      <c r="I702" s="64"/>
      <c r="J702" s="64"/>
      <c r="K702" s="64"/>
      <c r="L702" s="64"/>
      <c r="M702" s="79"/>
      <c r="N702" s="64"/>
      <c r="O702" s="64"/>
      <c r="P702" s="64"/>
      <c r="Q702" s="64"/>
      <c r="R702" s="64"/>
      <c r="S702" s="64"/>
      <c r="T702" s="64"/>
      <c r="U702" s="78"/>
      <c r="V702" s="64"/>
      <c r="W702" s="79"/>
      <c r="X702" s="64"/>
      <c r="Y702" s="64"/>
      <c r="Z702" s="64"/>
      <c r="AA702" s="64"/>
      <c r="AB702" s="64"/>
      <c r="AC702" s="64"/>
      <c r="AD702" s="64"/>
      <c r="AE702" s="64"/>
    </row>
    <row r="703" spans="1:31" ht="17.25" customHeight="1">
      <c r="A703" s="79"/>
      <c r="B703" s="64"/>
      <c r="C703" s="64"/>
      <c r="D703" s="64"/>
      <c r="E703" s="64"/>
      <c r="F703" s="64"/>
      <c r="G703" s="64"/>
      <c r="H703" s="87"/>
      <c r="I703" s="64"/>
      <c r="J703" s="64"/>
      <c r="K703" s="64"/>
      <c r="L703" s="64"/>
      <c r="M703" s="79"/>
      <c r="N703" s="64"/>
      <c r="O703" s="64"/>
      <c r="P703" s="64"/>
      <c r="Q703" s="64"/>
      <c r="R703" s="64"/>
      <c r="S703" s="64"/>
      <c r="T703" s="64"/>
      <c r="U703" s="78"/>
      <c r="V703" s="64"/>
      <c r="W703" s="79"/>
      <c r="X703" s="64"/>
      <c r="Y703" s="64"/>
      <c r="Z703" s="64"/>
      <c r="AA703" s="64"/>
      <c r="AB703" s="64"/>
      <c r="AC703" s="64"/>
      <c r="AD703" s="64"/>
      <c r="AE703" s="64"/>
    </row>
    <row r="704" spans="1:31" ht="17.25" customHeight="1">
      <c r="A704" s="79"/>
      <c r="B704" s="64"/>
      <c r="C704" s="64"/>
      <c r="D704" s="64"/>
      <c r="E704" s="64"/>
      <c r="F704" s="64"/>
      <c r="G704" s="64"/>
      <c r="H704" s="87"/>
      <c r="I704" s="64"/>
      <c r="J704" s="64"/>
      <c r="K704" s="64"/>
      <c r="L704" s="64"/>
      <c r="M704" s="79"/>
      <c r="N704" s="64"/>
      <c r="O704" s="64"/>
      <c r="P704" s="64"/>
      <c r="Q704" s="64"/>
      <c r="R704" s="64"/>
      <c r="S704" s="64"/>
      <c r="T704" s="64"/>
      <c r="U704" s="78"/>
      <c r="V704" s="64"/>
      <c r="W704" s="79"/>
      <c r="X704" s="64"/>
      <c r="Y704" s="64"/>
      <c r="Z704" s="64"/>
      <c r="AA704" s="64"/>
      <c r="AB704" s="64"/>
      <c r="AC704" s="64"/>
      <c r="AD704" s="64"/>
      <c r="AE704" s="64"/>
    </row>
    <row r="705" spans="1:31" ht="17.25" customHeight="1">
      <c r="A705" s="79"/>
      <c r="B705" s="64"/>
      <c r="C705" s="64"/>
      <c r="D705" s="64"/>
      <c r="E705" s="64"/>
      <c r="F705" s="64"/>
      <c r="G705" s="64"/>
      <c r="H705" s="87"/>
      <c r="I705" s="64"/>
      <c r="J705" s="64"/>
      <c r="K705" s="64"/>
      <c r="L705" s="64"/>
      <c r="M705" s="79"/>
      <c r="N705" s="64"/>
      <c r="O705" s="64"/>
      <c r="P705" s="64"/>
      <c r="Q705" s="64"/>
      <c r="R705" s="64"/>
      <c r="S705" s="64"/>
      <c r="T705" s="64"/>
      <c r="U705" s="78"/>
      <c r="V705" s="64"/>
      <c r="W705" s="79"/>
      <c r="X705" s="64"/>
      <c r="Y705" s="64"/>
      <c r="Z705" s="64"/>
      <c r="AA705" s="64"/>
      <c r="AB705" s="64"/>
      <c r="AC705" s="64"/>
      <c r="AD705" s="64"/>
      <c r="AE705" s="64"/>
    </row>
    <row r="706" spans="1:31" ht="17.25" customHeight="1">
      <c r="A706" s="79"/>
      <c r="B706" s="64"/>
      <c r="C706" s="64"/>
      <c r="D706" s="64"/>
      <c r="E706" s="64"/>
      <c r="F706" s="64"/>
      <c r="G706" s="64"/>
      <c r="H706" s="87"/>
      <c r="I706" s="64"/>
      <c r="J706" s="64"/>
      <c r="K706" s="64"/>
      <c r="L706" s="64"/>
      <c r="M706" s="79"/>
      <c r="N706" s="64"/>
      <c r="O706" s="64"/>
      <c r="P706" s="64"/>
      <c r="Q706" s="64"/>
      <c r="R706" s="64"/>
      <c r="S706" s="64"/>
      <c r="T706" s="64"/>
      <c r="U706" s="78"/>
      <c r="V706" s="64"/>
      <c r="W706" s="79"/>
      <c r="X706" s="64"/>
      <c r="Y706" s="64"/>
      <c r="Z706" s="64"/>
      <c r="AA706" s="64"/>
      <c r="AB706" s="64"/>
      <c r="AC706" s="64"/>
      <c r="AD706" s="64"/>
      <c r="AE706" s="64"/>
    </row>
    <row r="707" spans="1:31" ht="17.25" customHeight="1">
      <c r="A707" s="79"/>
      <c r="B707" s="64"/>
      <c r="C707" s="64"/>
      <c r="D707" s="64"/>
      <c r="E707" s="64"/>
      <c r="F707" s="64"/>
      <c r="G707" s="64"/>
      <c r="H707" s="87"/>
      <c r="I707" s="64"/>
      <c r="J707" s="64"/>
      <c r="K707" s="64"/>
      <c r="L707" s="64"/>
      <c r="M707" s="79"/>
      <c r="N707" s="64"/>
      <c r="O707" s="64"/>
      <c r="P707" s="64"/>
      <c r="Q707" s="64"/>
      <c r="R707" s="64"/>
      <c r="S707" s="64"/>
      <c r="T707" s="64"/>
      <c r="U707" s="78"/>
      <c r="V707" s="64"/>
      <c r="W707" s="79"/>
      <c r="X707" s="64"/>
      <c r="Y707" s="64"/>
      <c r="Z707" s="64"/>
      <c r="AA707" s="64"/>
      <c r="AB707" s="64"/>
      <c r="AC707" s="64"/>
      <c r="AD707" s="64"/>
      <c r="AE707" s="64"/>
    </row>
    <row r="708" spans="1:31" ht="17.25" customHeight="1">
      <c r="A708" s="79"/>
      <c r="B708" s="64"/>
      <c r="C708" s="64"/>
      <c r="D708" s="64"/>
      <c r="E708" s="64"/>
      <c r="F708" s="64"/>
      <c r="G708" s="64"/>
      <c r="H708" s="87"/>
      <c r="I708" s="64"/>
      <c r="J708" s="64"/>
      <c r="K708" s="64"/>
      <c r="L708" s="64"/>
      <c r="M708" s="79"/>
      <c r="N708" s="64"/>
      <c r="O708" s="64"/>
      <c r="P708" s="64"/>
      <c r="Q708" s="64"/>
      <c r="R708" s="64"/>
      <c r="S708" s="64"/>
      <c r="T708" s="64"/>
      <c r="U708" s="78"/>
      <c r="V708" s="64"/>
      <c r="W708" s="79"/>
      <c r="X708" s="64"/>
      <c r="Y708" s="64"/>
      <c r="Z708" s="64"/>
      <c r="AA708" s="64"/>
      <c r="AB708" s="64"/>
      <c r="AC708" s="64"/>
      <c r="AD708" s="64"/>
      <c r="AE708" s="64"/>
    </row>
    <row r="709" spans="1:31" ht="17.25" customHeight="1">
      <c r="A709" s="79"/>
      <c r="B709" s="64"/>
      <c r="C709" s="64"/>
      <c r="D709" s="64"/>
      <c r="E709" s="64"/>
      <c r="F709" s="64"/>
      <c r="G709" s="64"/>
      <c r="H709" s="87"/>
      <c r="I709" s="64"/>
      <c r="J709" s="64"/>
      <c r="K709" s="64"/>
      <c r="L709" s="64"/>
      <c r="M709" s="79"/>
      <c r="N709" s="64"/>
      <c r="O709" s="64"/>
      <c r="P709" s="64"/>
      <c r="Q709" s="64"/>
      <c r="R709" s="64"/>
      <c r="S709" s="64"/>
      <c r="T709" s="64"/>
      <c r="U709" s="78"/>
      <c r="V709" s="64"/>
      <c r="W709" s="79"/>
      <c r="X709" s="64"/>
      <c r="Y709" s="64"/>
      <c r="Z709" s="64"/>
      <c r="AA709" s="64"/>
      <c r="AB709" s="64"/>
      <c r="AC709" s="64"/>
      <c r="AD709" s="64"/>
      <c r="AE709" s="64"/>
    </row>
    <row r="710" spans="1:31" ht="17.25" customHeight="1">
      <c r="A710" s="79"/>
      <c r="B710" s="64"/>
      <c r="C710" s="64"/>
      <c r="D710" s="64"/>
      <c r="E710" s="64"/>
      <c r="F710" s="64"/>
      <c r="G710" s="64"/>
      <c r="H710" s="87"/>
      <c r="I710" s="64"/>
      <c r="J710" s="64"/>
      <c r="K710" s="64"/>
      <c r="L710" s="64"/>
      <c r="M710" s="79"/>
      <c r="N710" s="64"/>
      <c r="O710" s="64"/>
      <c r="P710" s="64"/>
      <c r="Q710" s="64"/>
      <c r="R710" s="64"/>
      <c r="S710" s="64"/>
      <c r="T710" s="64"/>
      <c r="U710" s="78"/>
      <c r="V710" s="64"/>
      <c r="W710" s="79"/>
      <c r="X710" s="64"/>
      <c r="Y710" s="64"/>
      <c r="Z710" s="64"/>
      <c r="AA710" s="64"/>
      <c r="AB710" s="64"/>
      <c r="AC710" s="64"/>
      <c r="AD710" s="64"/>
      <c r="AE710" s="64"/>
    </row>
    <row r="711" spans="1:31" ht="17.25" customHeight="1">
      <c r="A711" s="79"/>
      <c r="B711" s="64"/>
      <c r="C711" s="64"/>
      <c r="D711" s="64"/>
      <c r="E711" s="64"/>
      <c r="F711" s="64"/>
      <c r="G711" s="64"/>
      <c r="H711" s="87"/>
      <c r="I711" s="64"/>
      <c r="J711" s="64"/>
      <c r="K711" s="64"/>
      <c r="L711" s="64"/>
      <c r="M711" s="79"/>
      <c r="N711" s="64"/>
      <c r="O711" s="64"/>
      <c r="P711" s="64"/>
      <c r="Q711" s="64"/>
      <c r="R711" s="64"/>
      <c r="S711" s="64"/>
      <c r="T711" s="64"/>
      <c r="U711" s="78"/>
      <c r="V711" s="64"/>
      <c r="W711" s="79"/>
      <c r="X711" s="64"/>
      <c r="Y711" s="64"/>
      <c r="Z711" s="64"/>
      <c r="AA711" s="64"/>
      <c r="AB711" s="64"/>
      <c r="AC711" s="64"/>
      <c r="AD711" s="64"/>
      <c r="AE711" s="64"/>
    </row>
    <row r="712" spans="1:31" ht="17.25" customHeight="1">
      <c r="A712" s="79"/>
      <c r="B712" s="64"/>
      <c r="C712" s="64"/>
      <c r="D712" s="64"/>
      <c r="E712" s="64"/>
      <c r="F712" s="64"/>
      <c r="G712" s="64"/>
      <c r="H712" s="87"/>
      <c r="I712" s="64"/>
      <c r="J712" s="64"/>
      <c r="K712" s="64"/>
      <c r="L712" s="64"/>
      <c r="M712" s="79"/>
      <c r="N712" s="64"/>
      <c r="O712" s="64"/>
      <c r="P712" s="64"/>
      <c r="Q712" s="64"/>
      <c r="R712" s="64"/>
      <c r="S712" s="64"/>
      <c r="T712" s="64"/>
      <c r="U712" s="78"/>
      <c r="V712" s="64"/>
      <c r="W712" s="79"/>
      <c r="X712" s="64"/>
      <c r="Y712" s="64"/>
      <c r="Z712" s="64"/>
      <c r="AA712" s="64"/>
      <c r="AB712" s="64"/>
      <c r="AC712" s="64"/>
      <c r="AD712" s="64"/>
      <c r="AE712" s="64"/>
    </row>
    <row r="713" spans="1:31" ht="17.25" customHeight="1">
      <c r="A713" s="79"/>
      <c r="B713" s="64"/>
      <c r="C713" s="64"/>
      <c r="D713" s="64"/>
      <c r="E713" s="64"/>
      <c r="F713" s="64"/>
      <c r="G713" s="64"/>
      <c r="H713" s="87"/>
      <c r="I713" s="64"/>
      <c r="J713" s="64"/>
      <c r="K713" s="64"/>
      <c r="L713" s="64"/>
      <c r="M713" s="79"/>
      <c r="N713" s="64"/>
      <c r="O713" s="64"/>
      <c r="P713" s="64"/>
      <c r="Q713" s="64"/>
      <c r="R713" s="64"/>
      <c r="S713" s="64"/>
      <c r="T713" s="64"/>
      <c r="U713" s="78"/>
      <c r="V713" s="64"/>
      <c r="W713" s="79"/>
      <c r="X713" s="64"/>
      <c r="Y713" s="64"/>
      <c r="Z713" s="64"/>
      <c r="AA713" s="64"/>
      <c r="AB713" s="64"/>
      <c r="AC713" s="64"/>
      <c r="AD713" s="64"/>
      <c r="AE713" s="64"/>
    </row>
    <row r="714" spans="1:31" ht="17.25" customHeight="1">
      <c r="A714" s="79"/>
      <c r="B714" s="64"/>
      <c r="C714" s="64"/>
      <c r="D714" s="64"/>
      <c r="E714" s="64"/>
      <c r="F714" s="64"/>
      <c r="G714" s="64"/>
      <c r="H714" s="87"/>
      <c r="I714" s="64"/>
      <c r="J714" s="64"/>
      <c r="K714" s="64"/>
      <c r="L714" s="64"/>
      <c r="M714" s="79"/>
      <c r="N714" s="64"/>
      <c r="O714" s="64"/>
      <c r="P714" s="64"/>
      <c r="Q714" s="64"/>
      <c r="R714" s="64"/>
      <c r="S714" s="64"/>
      <c r="T714" s="64"/>
      <c r="U714" s="78"/>
      <c r="V714" s="64"/>
      <c r="W714" s="79"/>
      <c r="X714" s="64"/>
      <c r="Y714" s="64"/>
      <c r="Z714" s="64"/>
      <c r="AA714" s="64"/>
      <c r="AB714" s="64"/>
      <c r="AC714" s="64"/>
      <c r="AD714" s="64"/>
      <c r="AE714" s="64"/>
    </row>
    <row r="715" spans="1:31" ht="17.25" customHeight="1">
      <c r="A715" s="79"/>
      <c r="B715" s="64"/>
      <c r="C715" s="64"/>
      <c r="D715" s="64"/>
      <c r="E715" s="64"/>
      <c r="F715" s="64"/>
      <c r="G715" s="64"/>
      <c r="H715" s="87"/>
      <c r="I715" s="64"/>
      <c r="J715" s="64"/>
      <c r="K715" s="64"/>
      <c r="L715" s="64"/>
      <c r="M715" s="79"/>
      <c r="N715" s="64"/>
      <c r="O715" s="64"/>
      <c r="P715" s="64"/>
      <c r="Q715" s="64"/>
      <c r="R715" s="64"/>
      <c r="S715" s="64"/>
      <c r="T715" s="64"/>
      <c r="U715" s="78"/>
      <c r="V715" s="64"/>
      <c r="W715" s="79"/>
      <c r="X715" s="64"/>
      <c r="Y715" s="64"/>
      <c r="Z715" s="64"/>
      <c r="AA715" s="64"/>
      <c r="AB715" s="64"/>
      <c r="AC715" s="64"/>
      <c r="AD715" s="64"/>
      <c r="AE715" s="64"/>
    </row>
    <row r="716" spans="1:31" ht="17.25" customHeight="1">
      <c r="A716" s="79"/>
      <c r="B716" s="64"/>
      <c r="C716" s="64"/>
      <c r="D716" s="64"/>
      <c r="E716" s="64"/>
      <c r="F716" s="64"/>
      <c r="G716" s="64"/>
      <c r="H716" s="87"/>
      <c r="I716" s="64"/>
      <c r="J716" s="64"/>
      <c r="K716" s="64"/>
      <c r="L716" s="64"/>
      <c r="M716" s="79"/>
      <c r="N716" s="64"/>
      <c r="O716" s="64"/>
      <c r="P716" s="64"/>
      <c r="Q716" s="64"/>
      <c r="R716" s="64"/>
      <c r="S716" s="64"/>
      <c r="T716" s="64"/>
      <c r="U716" s="78"/>
      <c r="V716" s="64"/>
      <c r="W716" s="79"/>
      <c r="X716" s="64"/>
      <c r="Y716" s="64"/>
      <c r="Z716" s="64"/>
      <c r="AA716" s="64"/>
      <c r="AB716" s="64"/>
      <c r="AC716" s="64"/>
      <c r="AD716" s="64"/>
      <c r="AE716" s="64"/>
    </row>
    <row r="717" spans="1:31" ht="17.25" customHeight="1">
      <c r="A717" s="79"/>
      <c r="B717" s="64"/>
      <c r="C717" s="64"/>
      <c r="D717" s="64"/>
      <c r="E717" s="64"/>
      <c r="F717" s="64"/>
      <c r="G717" s="64"/>
      <c r="H717" s="87"/>
      <c r="I717" s="64"/>
      <c r="J717" s="64"/>
      <c r="K717" s="64"/>
      <c r="L717" s="64"/>
      <c r="M717" s="79"/>
      <c r="N717" s="64"/>
      <c r="O717" s="64"/>
      <c r="P717" s="64"/>
      <c r="Q717" s="64"/>
      <c r="R717" s="64"/>
      <c r="S717" s="64"/>
      <c r="T717" s="64"/>
      <c r="U717" s="78"/>
      <c r="V717" s="64"/>
      <c r="W717" s="79"/>
      <c r="X717" s="64"/>
      <c r="Y717" s="64"/>
      <c r="Z717" s="64"/>
      <c r="AA717" s="64"/>
      <c r="AB717" s="64"/>
      <c r="AC717" s="64"/>
      <c r="AD717" s="64"/>
      <c r="AE717" s="64"/>
    </row>
    <row r="718" spans="1:31" ht="17.25" customHeight="1">
      <c r="A718" s="79"/>
      <c r="B718" s="64"/>
      <c r="C718" s="64"/>
      <c r="D718" s="64"/>
      <c r="E718" s="64"/>
      <c r="F718" s="64"/>
      <c r="G718" s="64"/>
      <c r="H718" s="87"/>
      <c r="I718" s="64"/>
      <c r="J718" s="64"/>
      <c r="K718" s="64"/>
      <c r="L718" s="64"/>
      <c r="M718" s="79"/>
      <c r="N718" s="64"/>
      <c r="O718" s="64"/>
      <c r="P718" s="64"/>
      <c r="Q718" s="64"/>
      <c r="R718" s="64"/>
      <c r="S718" s="64"/>
      <c r="T718" s="64"/>
      <c r="U718" s="78"/>
      <c r="V718" s="64"/>
      <c r="W718" s="79"/>
      <c r="X718" s="64"/>
      <c r="Y718" s="64"/>
      <c r="Z718" s="64"/>
      <c r="AA718" s="64"/>
      <c r="AB718" s="64"/>
      <c r="AC718" s="64"/>
      <c r="AD718" s="64"/>
      <c r="AE718" s="64"/>
    </row>
    <row r="719" spans="1:31" ht="17.25" customHeight="1">
      <c r="A719" s="79"/>
      <c r="B719" s="64"/>
      <c r="C719" s="64"/>
      <c r="D719" s="64"/>
      <c r="E719" s="64"/>
      <c r="F719" s="64"/>
      <c r="G719" s="64"/>
      <c r="H719" s="87"/>
      <c r="I719" s="64"/>
      <c r="J719" s="64"/>
      <c r="K719" s="64"/>
      <c r="L719" s="64"/>
      <c r="M719" s="79"/>
      <c r="N719" s="64"/>
      <c r="O719" s="64"/>
      <c r="P719" s="64"/>
      <c r="Q719" s="64"/>
      <c r="R719" s="64"/>
      <c r="S719" s="64"/>
      <c r="T719" s="64"/>
      <c r="U719" s="78"/>
      <c r="V719" s="64"/>
      <c r="W719" s="79"/>
      <c r="X719" s="64"/>
      <c r="Y719" s="64"/>
      <c r="Z719" s="64"/>
      <c r="AA719" s="64"/>
      <c r="AB719" s="64"/>
      <c r="AC719" s="64"/>
      <c r="AD719" s="64"/>
      <c r="AE719" s="64"/>
    </row>
    <row r="720" spans="1:31" ht="17.25" customHeight="1">
      <c r="A720" s="79"/>
      <c r="B720" s="64"/>
      <c r="C720" s="64"/>
      <c r="D720" s="64"/>
      <c r="E720" s="64"/>
      <c r="F720" s="64"/>
      <c r="G720" s="64"/>
      <c r="H720" s="87"/>
      <c r="I720" s="64"/>
      <c r="J720" s="64"/>
      <c r="K720" s="64"/>
      <c r="L720" s="64"/>
      <c r="M720" s="79"/>
      <c r="N720" s="64"/>
      <c r="O720" s="64"/>
      <c r="P720" s="64"/>
      <c r="Q720" s="64"/>
      <c r="R720" s="64"/>
      <c r="S720" s="64"/>
      <c r="T720" s="64"/>
      <c r="U720" s="78"/>
      <c r="V720" s="64"/>
      <c r="W720" s="79"/>
      <c r="X720" s="64"/>
      <c r="Y720" s="64"/>
      <c r="Z720" s="64"/>
      <c r="AA720" s="64"/>
      <c r="AB720" s="64"/>
      <c r="AC720" s="64"/>
      <c r="AD720" s="64"/>
      <c r="AE720" s="64"/>
    </row>
    <row r="721" spans="1:31" ht="17.25" customHeight="1">
      <c r="A721" s="79"/>
      <c r="B721" s="64"/>
      <c r="C721" s="64"/>
      <c r="D721" s="64"/>
      <c r="E721" s="64"/>
      <c r="F721" s="64"/>
      <c r="G721" s="64"/>
      <c r="H721" s="87"/>
      <c r="I721" s="64"/>
      <c r="J721" s="64"/>
      <c r="K721" s="64"/>
      <c r="L721" s="64"/>
      <c r="M721" s="79"/>
      <c r="N721" s="64"/>
      <c r="O721" s="64"/>
      <c r="P721" s="64"/>
      <c r="Q721" s="64"/>
      <c r="R721" s="64"/>
      <c r="S721" s="64"/>
      <c r="T721" s="64"/>
      <c r="U721" s="78"/>
      <c r="V721" s="64"/>
      <c r="W721" s="79"/>
      <c r="X721" s="64"/>
      <c r="Y721" s="64"/>
      <c r="Z721" s="64"/>
      <c r="AA721" s="64"/>
      <c r="AB721" s="64"/>
      <c r="AC721" s="64"/>
      <c r="AD721" s="64"/>
      <c r="AE721" s="64"/>
    </row>
    <row r="722" spans="1:31" ht="17.25" customHeight="1">
      <c r="A722" s="79"/>
      <c r="B722" s="64"/>
      <c r="C722" s="64"/>
      <c r="D722" s="64"/>
      <c r="E722" s="64"/>
      <c r="F722" s="64"/>
      <c r="G722" s="64"/>
      <c r="H722" s="87"/>
      <c r="I722" s="64"/>
      <c r="J722" s="64"/>
      <c r="K722" s="64"/>
      <c r="L722" s="64"/>
      <c r="M722" s="79"/>
      <c r="N722" s="64"/>
      <c r="O722" s="64"/>
      <c r="P722" s="64"/>
      <c r="Q722" s="64"/>
      <c r="R722" s="64"/>
      <c r="S722" s="64"/>
      <c r="T722" s="64"/>
      <c r="U722" s="78"/>
      <c r="V722" s="64"/>
      <c r="W722" s="79"/>
      <c r="X722" s="64"/>
      <c r="Y722" s="64"/>
      <c r="Z722" s="64"/>
      <c r="AA722" s="64"/>
      <c r="AB722" s="64"/>
      <c r="AC722" s="64"/>
      <c r="AD722" s="64"/>
      <c r="AE722" s="64"/>
    </row>
    <row r="723" spans="1:31" ht="17.25" customHeight="1">
      <c r="A723" s="79"/>
      <c r="B723" s="64"/>
      <c r="C723" s="64"/>
      <c r="D723" s="64"/>
      <c r="E723" s="64"/>
      <c r="F723" s="64"/>
      <c r="G723" s="64"/>
      <c r="H723" s="87"/>
      <c r="I723" s="64"/>
      <c r="J723" s="64"/>
      <c r="K723" s="64"/>
      <c r="L723" s="64"/>
      <c r="M723" s="79"/>
      <c r="N723" s="64"/>
      <c r="O723" s="64"/>
      <c r="P723" s="64"/>
      <c r="Q723" s="64"/>
      <c r="R723" s="64"/>
      <c r="S723" s="64"/>
      <c r="T723" s="64"/>
      <c r="U723" s="78"/>
      <c r="V723" s="64"/>
      <c r="W723" s="79"/>
      <c r="X723" s="64"/>
      <c r="Y723" s="64"/>
      <c r="Z723" s="64"/>
      <c r="AA723" s="64"/>
      <c r="AB723" s="64"/>
      <c r="AC723" s="64"/>
      <c r="AD723" s="64"/>
      <c r="AE723" s="64"/>
    </row>
    <row r="724" spans="1:31" ht="17.25" customHeight="1">
      <c r="A724" s="79"/>
      <c r="B724" s="64"/>
      <c r="C724" s="64"/>
      <c r="D724" s="64"/>
      <c r="E724" s="64"/>
      <c r="F724" s="64"/>
      <c r="G724" s="64"/>
      <c r="H724" s="87"/>
      <c r="I724" s="64"/>
      <c r="J724" s="64"/>
      <c r="K724" s="64"/>
      <c r="L724" s="64"/>
      <c r="M724" s="79"/>
      <c r="N724" s="64"/>
      <c r="O724" s="64"/>
      <c r="P724" s="64"/>
      <c r="Q724" s="64"/>
      <c r="R724" s="64"/>
      <c r="S724" s="64"/>
      <c r="T724" s="64"/>
      <c r="U724" s="78"/>
      <c r="V724" s="64"/>
      <c r="W724" s="79"/>
      <c r="X724" s="64"/>
      <c r="Y724" s="64"/>
      <c r="Z724" s="64"/>
      <c r="AA724" s="64"/>
      <c r="AB724" s="64"/>
      <c r="AC724" s="64"/>
      <c r="AD724" s="64"/>
      <c r="AE724" s="64"/>
    </row>
    <row r="725" spans="1:31" ht="17.25" customHeight="1">
      <c r="A725" s="79"/>
      <c r="B725" s="64"/>
      <c r="C725" s="64"/>
      <c r="D725" s="64"/>
      <c r="E725" s="64"/>
      <c r="F725" s="64"/>
      <c r="G725" s="64"/>
      <c r="H725" s="87"/>
      <c r="I725" s="64"/>
      <c r="J725" s="64"/>
      <c r="K725" s="64"/>
      <c r="L725" s="64"/>
      <c r="M725" s="79"/>
      <c r="N725" s="64"/>
      <c r="O725" s="64"/>
      <c r="P725" s="64"/>
      <c r="Q725" s="64"/>
      <c r="R725" s="64"/>
      <c r="S725" s="64"/>
      <c r="T725" s="64"/>
      <c r="U725" s="78"/>
      <c r="V725" s="64"/>
      <c r="W725" s="79"/>
      <c r="X725" s="64"/>
      <c r="Y725" s="64"/>
      <c r="Z725" s="64"/>
      <c r="AA725" s="64"/>
      <c r="AB725" s="64"/>
      <c r="AC725" s="64"/>
      <c r="AD725" s="64"/>
      <c r="AE725" s="64"/>
    </row>
    <row r="726" spans="1:31" ht="17.25" customHeight="1">
      <c r="A726" s="79"/>
      <c r="B726" s="64"/>
      <c r="C726" s="64"/>
      <c r="D726" s="64"/>
      <c r="E726" s="64"/>
      <c r="F726" s="64"/>
      <c r="G726" s="64"/>
      <c r="H726" s="87"/>
      <c r="I726" s="64"/>
      <c r="J726" s="64"/>
      <c r="K726" s="64"/>
      <c r="L726" s="64"/>
      <c r="M726" s="79"/>
      <c r="N726" s="64"/>
      <c r="O726" s="64"/>
      <c r="P726" s="64"/>
      <c r="Q726" s="64"/>
      <c r="R726" s="64"/>
      <c r="S726" s="64"/>
      <c r="T726" s="64"/>
      <c r="U726" s="78"/>
      <c r="V726" s="64"/>
      <c r="W726" s="79"/>
      <c r="X726" s="64"/>
      <c r="Y726" s="64"/>
      <c r="Z726" s="64"/>
      <c r="AA726" s="64"/>
      <c r="AB726" s="64"/>
      <c r="AC726" s="64"/>
      <c r="AD726" s="64"/>
      <c r="AE726" s="64"/>
    </row>
    <row r="727" spans="1:31" ht="17.25" customHeight="1">
      <c r="A727" s="79"/>
      <c r="B727" s="64"/>
      <c r="C727" s="64"/>
      <c r="D727" s="64"/>
      <c r="E727" s="64"/>
      <c r="F727" s="64"/>
      <c r="G727" s="64"/>
      <c r="H727" s="87"/>
      <c r="I727" s="64"/>
      <c r="J727" s="64"/>
      <c r="K727" s="64"/>
      <c r="L727" s="64"/>
      <c r="M727" s="79"/>
      <c r="N727" s="64"/>
      <c r="O727" s="64"/>
      <c r="P727" s="64"/>
      <c r="Q727" s="64"/>
      <c r="R727" s="64"/>
      <c r="S727" s="64"/>
      <c r="T727" s="64"/>
      <c r="U727" s="78"/>
      <c r="V727" s="64"/>
      <c r="W727" s="79"/>
      <c r="X727" s="64"/>
      <c r="Y727" s="64"/>
      <c r="Z727" s="64"/>
      <c r="AA727" s="64"/>
      <c r="AB727" s="64"/>
      <c r="AC727" s="64"/>
      <c r="AD727" s="64"/>
      <c r="AE727" s="64"/>
    </row>
    <row r="728" spans="1:31" ht="17.25" customHeight="1">
      <c r="A728" s="79"/>
      <c r="B728" s="64"/>
      <c r="C728" s="64"/>
      <c r="D728" s="64"/>
      <c r="E728" s="64"/>
      <c r="F728" s="64"/>
      <c r="G728" s="64"/>
      <c r="H728" s="87"/>
      <c r="I728" s="64"/>
      <c r="J728" s="64"/>
      <c r="K728" s="64"/>
      <c r="L728" s="64"/>
      <c r="M728" s="79"/>
      <c r="N728" s="64"/>
      <c r="O728" s="64"/>
      <c r="P728" s="64"/>
      <c r="Q728" s="64"/>
      <c r="R728" s="64"/>
      <c r="S728" s="64"/>
      <c r="T728" s="64"/>
      <c r="U728" s="78"/>
      <c r="V728" s="64"/>
      <c r="W728" s="79"/>
      <c r="X728" s="64"/>
      <c r="Y728" s="64"/>
      <c r="Z728" s="64"/>
      <c r="AA728" s="64"/>
      <c r="AB728" s="64"/>
      <c r="AC728" s="64"/>
      <c r="AD728" s="64"/>
      <c r="AE728" s="64"/>
    </row>
    <row r="729" spans="1:31" ht="17.25" customHeight="1">
      <c r="A729" s="79"/>
      <c r="B729" s="64"/>
      <c r="C729" s="64"/>
      <c r="D729" s="64"/>
      <c r="E729" s="64"/>
      <c r="F729" s="64"/>
      <c r="G729" s="64"/>
      <c r="H729" s="87"/>
      <c r="I729" s="64"/>
      <c r="J729" s="64"/>
      <c r="K729" s="64"/>
      <c r="L729" s="64"/>
      <c r="M729" s="79"/>
      <c r="N729" s="64"/>
      <c r="O729" s="64"/>
      <c r="P729" s="64"/>
      <c r="Q729" s="64"/>
      <c r="R729" s="64"/>
      <c r="S729" s="64"/>
      <c r="T729" s="64"/>
      <c r="U729" s="78"/>
      <c r="V729" s="64"/>
      <c r="W729" s="79"/>
      <c r="X729" s="64"/>
      <c r="Y729" s="64"/>
      <c r="Z729" s="64"/>
      <c r="AA729" s="64"/>
      <c r="AB729" s="64"/>
      <c r="AC729" s="64"/>
      <c r="AD729" s="64"/>
      <c r="AE729" s="64"/>
    </row>
    <row r="730" spans="1:31" ht="17.25" customHeight="1">
      <c r="A730" s="79"/>
      <c r="B730" s="64"/>
      <c r="C730" s="64"/>
      <c r="D730" s="64"/>
      <c r="E730" s="64"/>
      <c r="F730" s="64"/>
      <c r="G730" s="64"/>
      <c r="H730" s="87"/>
      <c r="I730" s="64"/>
      <c r="J730" s="64"/>
      <c r="K730" s="64"/>
      <c r="L730" s="64"/>
      <c r="M730" s="79"/>
      <c r="N730" s="64"/>
      <c r="O730" s="64"/>
      <c r="P730" s="64"/>
      <c r="Q730" s="64"/>
      <c r="R730" s="64"/>
      <c r="S730" s="64"/>
      <c r="T730" s="64"/>
      <c r="U730" s="78"/>
      <c r="V730" s="64"/>
      <c r="W730" s="79"/>
      <c r="X730" s="64"/>
      <c r="Y730" s="64"/>
      <c r="Z730" s="64"/>
      <c r="AA730" s="64"/>
      <c r="AB730" s="64"/>
      <c r="AC730" s="64"/>
      <c r="AD730" s="64"/>
      <c r="AE730" s="64"/>
    </row>
    <row r="731" spans="1:31" ht="17.25" customHeight="1">
      <c r="A731" s="79"/>
      <c r="B731" s="64"/>
      <c r="C731" s="64"/>
      <c r="D731" s="64"/>
      <c r="E731" s="64"/>
      <c r="F731" s="64"/>
      <c r="G731" s="64"/>
      <c r="H731" s="87"/>
      <c r="I731" s="64"/>
      <c r="J731" s="64"/>
      <c r="K731" s="64"/>
      <c r="L731" s="64"/>
      <c r="M731" s="79"/>
      <c r="N731" s="64"/>
      <c r="O731" s="64"/>
      <c r="P731" s="64"/>
      <c r="Q731" s="64"/>
      <c r="R731" s="64"/>
      <c r="S731" s="64"/>
      <c r="T731" s="64"/>
      <c r="U731" s="78"/>
      <c r="V731" s="64"/>
      <c r="W731" s="79"/>
      <c r="X731" s="64"/>
      <c r="Y731" s="64"/>
      <c r="Z731" s="64"/>
      <c r="AA731" s="64"/>
      <c r="AB731" s="64"/>
      <c r="AC731" s="64"/>
      <c r="AD731" s="64"/>
      <c r="AE731" s="64"/>
    </row>
    <row r="732" spans="1:31" ht="17.25" customHeight="1">
      <c r="A732" s="79"/>
      <c r="B732" s="64"/>
      <c r="C732" s="64"/>
      <c r="D732" s="64"/>
      <c r="E732" s="64"/>
      <c r="F732" s="64"/>
      <c r="G732" s="64"/>
      <c r="H732" s="87"/>
      <c r="I732" s="64"/>
      <c r="J732" s="64"/>
      <c r="K732" s="64"/>
      <c r="L732" s="64"/>
      <c r="M732" s="79"/>
      <c r="N732" s="64"/>
      <c r="O732" s="64"/>
      <c r="P732" s="64"/>
      <c r="Q732" s="64"/>
      <c r="R732" s="64"/>
      <c r="S732" s="64"/>
      <c r="T732" s="64"/>
      <c r="U732" s="78"/>
      <c r="V732" s="64"/>
      <c r="W732" s="79"/>
      <c r="X732" s="64"/>
      <c r="Y732" s="64"/>
      <c r="Z732" s="64"/>
      <c r="AA732" s="64"/>
      <c r="AB732" s="64"/>
      <c r="AC732" s="64"/>
      <c r="AD732" s="64"/>
      <c r="AE732" s="64"/>
    </row>
    <row r="733" spans="1:31" ht="17.25" customHeight="1">
      <c r="A733" s="79"/>
      <c r="B733" s="64"/>
      <c r="C733" s="64"/>
      <c r="D733" s="64"/>
      <c r="E733" s="64"/>
      <c r="F733" s="64"/>
      <c r="G733" s="64"/>
      <c r="H733" s="87"/>
      <c r="I733" s="64"/>
      <c r="J733" s="64"/>
      <c r="K733" s="64"/>
      <c r="L733" s="64"/>
      <c r="M733" s="79"/>
      <c r="N733" s="64"/>
      <c r="O733" s="64"/>
      <c r="P733" s="64"/>
      <c r="Q733" s="64"/>
      <c r="R733" s="64"/>
      <c r="S733" s="64"/>
      <c r="T733" s="64"/>
      <c r="U733" s="78"/>
      <c r="V733" s="64"/>
      <c r="W733" s="79"/>
      <c r="X733" s="64"/>
      <c r="Y733" s="64"/>
      <c r="Z733" s="64"/>
      <c r="AA733" s="64"/>
      <c r="AB733" s="64"/>
      <c r="AC733" s="64"/>
      <c r="AD733" s="64"/>
      <c r="AE733" s="64"/>
    </row>
    <row r="734" spans="1:31" ht="17.25" customHeight="1">
      <c r="A734" s="79"/>
      <c r="B734" s="64"/>
      <c r="C734" s="64"/>
      <c r="D734" s="64"/>
      <c r="E734" s="64"/>
      <c r="F734" s="64"/>
      <c r="G734" s="64"/>
      <c r="H734" s="87"/>
      <c r="I734" s="64"/>
      <c r="J734" s="64"/>
      <c r="K734" s="64"/>
      <c r="L734" s="64"/>
      <c r="M734" s="79"/>
      <c r="N734" s="64"/>
      <c r="O734" s="64"/>
      <c r="P734" s="64"/>
      <c r="Q734" s="64"/>
      <c r="R734" s="64"/>
      <c r="S734" s="64"/>
      <c r="T734" s="64"/>
      <c r="U734" s="78"/>
      <c r="V734" s="64"/>
      <c r="W734" s="79"/>
      <c r="X734" s="64"/>
      <c r="Y734" s="64"/>
      <c r="Z734" s="64"/>
      <c r="AA734" s="64"/>
      <c r="AB734" s="64"/>
      <c r="AC734" s="64"/>
      <c r="AD734" s="64"/>
      <c r="AE734" s="64"/>
    </row>
    <row r="735" spans="1:31" ht="17.25" customHeight="1">
      <c r="A735" s="79"/>
      <c r="B735" s="64"/>
      <c r="C735" s="64"/>
      <c r="D735" s="64"/>
      <c r="E735" s="64"/>
      <c r="F735" s="64"/>
      <c r="G735" s="64"/>
      <c r="H735" s="87"/>
      <c r="I735" s="64"/>
      <c r="J735" s="64"/>
      <c r="K735" s="64"/>
      <c r="L735" s="64"/>
      <c r="M735" s="79"/>
      <c r="N735" s="64"/>
      <c r="O735" s="64"/>
      <c r="P735" s="64"/>
      <c r="Q735" s="64"/>
      <c r="R735" s="64"/>
      <c r="S735" s="64"/>
      <c r="T735" s="64"/>
      <c r="U735" s="78"/>
      <c r="V735" s="64"/>
      <c r="W735" s="79"/>
      <c r="X735" s="64"/>
      <c r="Y735" s="64"/>
      <c r="Z735" s="64"/>
      <c r="AA735" s="64"/>
      <c r="AB735" s="64"/>
      <c r="AC735" s="64"/>
      <c r="AD735" s="64"/>
      <c r="AE735" s="64"/>
    </row>
    <row r="736" spans="1:31" ht="17.25" customHeight="1">
      <c r="A736" s="79"/>
      <c r="B736" s="64"/>
      <c r="C736" s="64"/>
      <c r="D736" s="64"/>
      <c r="E736" s="64"/>
      <c r="F736" s="64"/>
      <c r="G736" s="64"/>
      <c r="H736" s="87"/>
      <c r="I736" s="64"/>
      <c r="J736" s="64"/>
      <c r="K736" s="64"/>
      <c r="L736" s="64"/>
      <c r="M736" s="79"/>
      <c r="N736" s="64"/>
      <c r="O736" s="64"/>
      <c r="P736" s="64"/>
      <c r="Q736" s="64"/>
      <c r="R736" s="64"/>
      <c r="S736" s="64"/>
      <c r="T736" s="64"/>
      <c r="U736" s="78"/>
      <c r="V736" s="64"/>
      <c r="W736" s="79"/>
      <c r="X736" s="64"/>
      <c r="Y736" s="64"/>
      <c r="Z736" s="64"/>
      <c r="AA736" s="64"/>
      <c r="AB736" s="64"/>
      <c r="AC736" s="64"/>
      <c r="AD736" s="64"/>
      <c r="AE736" s="64"/>
    </row>
    <row r="737" spans="1:31" ht="17.25" customHeight="1">
      <c r="A737" s="79"/>
      <c r="B737" s="64"/>
      <c r="C737" s="64"/>
      <c r="D737" s="64"/>
      <c r="E737" s="64"/>
      <c r="F737" s="64"/>
      <c r="G737" s="64"/>
      <c r="H737" s="87"/>
      <c r="I737" s="64"/>
      <c r="J737" s="64"/>
      <c r="K737" s="64"/>
      <c r="L737" s="64"/>
      <c r="M737" s="79"/>
      <c r="N737" s="64"/>
      <c r="O737" s="64"/>
      <c r="P737" s="64"/>
      <c r="Q737" s="64"/>
      <c r="R737" s="64"/>
      <c r="S737" s="64"/>
      <c r="T737" s="64"/>
      <c r="U737" s="78"/>
      <c r="V737" s="64"/>
      <c r="W737" s="79"/>
      <c r="X737" s="64"/>
      <c r="Y737" s="64"/>
      <c r="Z737" s="64"/>
      <c r="AA737" s="64"/>
      <c r="AB737" s="64"/>
      <c r="AC737" s="64"/>
      <c r="AD737" s="64"/>
      <c r="AE737" s="64"/>
    </row>
    <row r="738" spans="1:31" ht="17.25" customHeight="1">
      <c r="A738" s="79"/>
      <c r="B738" s="64"/>
      <c r="C738" s="64"/>
      <c r="D738" s="64"/>
      <c r="E738" s="64"/>
      <c r="F738" s="64"/>
      <c r="G738" s="64"/>
      <c r="H738" s="87"/>
      <c r="I738" s="64"/>
      <c r="J738" s="64"/>
      <c r="K738" s="64"/>
      <c r="L738" s="64"/>
      <c r="M738" s="79"/>
      <c r="N738" s="64"/>
      <c r="O738" s="64"/>
      <c r="P738" s="64"/>
      <c r="Q738" s="64"/>
      <c r="R738" s="64"/>
      <c r="S738" s="64"/>
      <c r="T738" s="64"/>
      <c r="U738" s="78"/>
      <c r="V738" s="64"/>
      <c r="W738" s="79"/>
      <c r="X738" s="64"/>
      <c r="Y738" s="64"/>
      <c r="Z738" s="64"/>
      <c r="AA738" s="64"/>
      <c r="AB738" s="64"/>
      <c r="AC738" s="64"/>
      <c r="AD738" s="64"/>
      <c r="AE738" s="64"/>
    </row>
    <row r="739" spans="1:31" ht="17.25" customHeight="1">
      <c r="A739" s="79"/>
      <c r="B739" s="64"/>
      <c r="C739" s="64"/>
      <c r="D739" s="64"/>
      <c r="E739" s="64"/>
      <c r="F739" s="64"/>
      <c r="G739" s="64"/>
      <c r="H739" s="87"/>
      <c r="I739" s="64"/>
      <c r="J739" s="64"/>
      <c r="K739" s="64"/>
      <c r="L739" s="64"/>
      <c r="M739" s="79"/>
      <c r="N739" s="64"/>
      <c r="O739" s="64"/>
      <c r="P739" s="64"/>
      <c r="Q739" s="64"/>
      <c r="R739" s="64"/>
      <c r="S739" s="64"/>
      <c r="T739" s="64"/>
      <c r="U739" s="78"/>
      <c r="V739" s="64"/>
      <c r="W739" s="79"/>
      <c r="X739" s="64"/>
      <c r="Y739" s="64"/>
      <c r="Z739" s="64"/>
      <c r="AA739" s="64"/>
      <c r="AB739" s="64"/>
      <c r="AC739" s="64"/>
      <c r="AD739" s="64"/>
      <c r="AE739" s="64"/>
    </row>
    <row r="740" spans="1:31" ht="17.25" customHeight="1">
      <c r="A740" s="79"/>
      <c r="B740" s="64"/>
      <c r="C740" s="64"/>
      <c r="D740" s="64"/>
      <c r="E740" s="64"/>
      <c r="F740" s="64"/>
      <c r="G740" s="64"/>
      <c r="H740" s="87"/>
      <c r="I740" s="64"/>
      <c r="J740" s="64"/>
      <c r="K740" s="64"/>
      <c r="L740" s="64"/>
      <c r="M740" s="79"/>
      <c r="N740" s="64"/>
      <c r="O740" s="64"/>
      <c r="P740" s="64"/>
      <c r="Q740" s="64"/>
      <c r="R740" s="64"/>
      <c r="S740" s="64"/>
      <c r="T740" s="64"/>
      <c r="U740" s="78"/>
      <c r="V740" s="64"/>
      <c r="W740" s="79"/>
      <c r="X740" s="64"/>
      <c r="Y740" s="64"/>
      <c r="Z740" s="64"/>
      <c r="AA740" s="64"/>
      <c r="AB740" s="64"/>
      <c r="AC740" s="64"/>
      <c r="AD740" s="64"/>
      <c r="AE740" s="64"/>
    </row>
    <row r="741" spans="1:31" ht="17.25" customHeight="1">
      <c r="A741" s="79"/>
      <c r="B741" s="64"/>
      <c r="C741" s="64"/>
      <c r="D741" s="64"/>
      <c r="E741" s="64"/>
      <c r="F741" s="64"/>
      <c r="G741" s="64"/>
      <c r="H741" s="87"/>
      <c r="I741" s="64"/>
      <c r="J741" s="64"/>
      <c r="K741" s="64"/>
      <c r="L741" s="64"/>
      <c r="M741" s="79"/>
      <c r="N741" s="64"/>
      <c r="O741" s="64"/>
      <c r="P741" s="64"/>
      <c r="Q741" s="64"/>
      <c r="R741" s="64"/>
      <c r="S741" s="64"/>
      <c r="T741" s="64"/>
      <c r="U741" s="78"/>
      <c r="V741" s="64"/>
      <c r="W741" s="79"/>
      <c r="X741" s="64"/>
      <c r="Y741" s="64"/>
      <c r="Z741" s="64"/>
      <c r="AA741" s="64"/>
      <c r="AB741" s="64"/>
      <c r="AC741" s="64"/>
      <c r="AD741" s="64"/>
      <c r="AE741" s="64"/>
    </row>
    <row r="742" spans="1:31" ht="17.25" customHeight="1">
      <c r="A742" s="79"/>
      <c r="B742" s="64"/>
      <c r="C742" s="64"/>
      <c r="D742" s="64"/>
      <c r="E742" s="64"/>
      <c r="F742" s="64"/>
      <c r="G742" s="64"/>
      <c r="H742" s="87"/>
      <c r="I742" s="64"/>
      <c r="J742" s="64"/>
      <c r="K742" s="64"/>
      <c r="L742" s="64"/>
      <c r="M742" s="79"/>
      <c r="N742" s="64"/>
      <c r="O742" s="64"/>
      <c r="P742" s="64"/>
      <c r="Q742" s="64"/>
      <c r="R742" s="64"/>
      <c r="S742" s="64"/>
      <c r="T742" s="64"/>
      <c r="U742" s="78"/>
      <c r="V742" s="64"/>
      <c r="W742" s="79"/>
      <c r="X742" s="64"/>
      <c r="Y742" s="64"/>
      <c r="Z742" s="64"/>
      <c r="AA742" s="64"/>
      <c r="AB742" s="64"/>
      <c r="AC742" s="64"/>
      <c r="AD742" s="64"/>
      <c r="AE742" s="64"/>
    </row>
    <row r="743" spans="1:31" ht="17.25" customHeight="1">
      <c r="A743" s="79"/>
      <c r="B743" s="64"/>
      <c r="C743" s="64"/>
      <c r="D743" s="64"/>
      <c r="E743" s="64"/>
      <c r="F743" s="64"/>
      <c r="G743" s="64"/>
      <c r="H743" s="87"/>
      <c r="I743" s="64"/>
      <c r="J743" s="64"/>
      <c r="K743" s="64"/>
      <c r="L743" s="64"/>
      <c r="M743" s="79"/>
      <c r="N743" s="64"/>
      <c r="O743" s="64"/>
      <c r="P743" s="64"/>
      <c r="Q743" s="64"/>
      <c r="R743" s="64"/>
      <c r="S743" s="64"/>
      <c r="T743" s="64"/>
      <c r="U743" s="78"/>
      <c r="V743" s="64"/>
      <c r="W743" s="79"/>
      <c r="X743" s="64"/>
      <c r="Y743" s="64"/>
      <c r="Z743" s="64"/>
      <c r="AA743" s="64"/>
      <c r="AB743" s="64"/>
      <c r="AC743" s="64"/>
      <c r="AD743" s="64"/>
      <c r="AE743" s="64"/>
    </row>
    <row r="744" spans="1:31" ht="17.25" customHeight="1">
      <c r="A744" s="79"/>
      <c r="B744" s="64"/>
      <c r="C744" s="64"/>
      <c r="D744" s="64"/>
      <c r="E744" s="64"/>
      <c r="F744" s="64"/>
      <c r="G744" s="64"/>
      <c r="H744" s="87"/>
      <c r="I744" s="64"/>
      <c r="J744" s="64"/>
      <c r="K744" s="64"/>
      <c r="L744" s="64"/>
      <c r="M744" s="79"/>
      <c r="N744" s="64"/>
      <c r="O744" s="64"/>
      <c r="P744" s="64"/>
      <c r="Q744" s="64"/>
      <c r="R744" s="64"/>
      <c r="S744" s="64"/>
      <c r="T744" s="64"/>
      <c r="U744" s="78"/>
      <c r="V744" s="64"/>
      <c r="W744" s="79"/>
      <c r="X744" s="64"/>
      <c r="Y744" s="64"/>
      <c r="Z744" s="64"/>
      <c r="AA744" s="64"/>
      <c r="AB744" s="64"/>
      <c r="AC744" s="64"/>
      <c r="AD744" s="64"/>
      <c r="AE744" s="64"/>
    </row>
    <row r="745" spans="1:31" ht="17.25" customHeight="1">
      <c r="A745" s="79"/>
      <c r="B745" s="64"/>
      <c r="C745" s="64"/>
      <c r="D745" s="64"/>
      <c r="E745" s="64"/>
      <c r="F745" s="64"/>
      <c r="G745" s="64"/>
      <c r="H745" s="87"/>
      <c r="I745" s="64"/>
      <c r="J745" s="64"/>
      <c r="K745" s="64"/>
      <c r="L745" s="64"/>
      <c r="M745" s="79"/>
      <c r="N745" s="64"/>
      <c r="O745" s="64"/>
      <c r="P745" s="64"/>
      <c r="Q745" s="64"/>
      <c r="R745" s="64"/>
      <c r="S745" s="64"/>
      <c r="T745" s="64"/>
      <c r="U745" s="78"/>
      <c r="V745" s="64"/>
      <c r="W745" s="79"/>
      <c r="X745" s="64"/>
      <c r="Y745" s="64"/>
      <c r="Z745" s="64"/>
      <c r="AA745" s="64"/>
      <c r="AB745" s="64"/>
      <c r="AC745" s="64"/>
      <c r="AD745" s="64"/>
      <c r="AE745" s="64"/>
    </row>
    <row r="746" spans="1:31" ht="17.25" customHeight="1">
      <c r="A746" s="79"/>
      <c r="B746" s="64"/>
      <c r="C746" s="64"/>
      <c r="D746" s="64"/>
      <c r="E746" s="64"/>
      <c r="F746" s="64"/>
      <c r="G746" s="64"/>
      <c r="H746" s="87"/>
      <c r="I746" s="64"/>
      <c r="J746" s="64"/>
      <c r="K746" s="64"/>
      <c r="L746" s="64"/>
      <c r="M746" s="79"/>
      <c r="N746" s="64"/>
      <c r="O746" s="64"/>
      <c r="P746" s="64"/>
      <c r="Q746" s="64"/>
      <c r="R746" s="64"/>
      <c r="S746" s="64"/>
      <c r="T746" s="64"/>
      <c r="U746" s="78"/>
      <c r="V746" s="64"/>
      <c r="W746" s="79"/>
      <c r="X746" s="64"/>
      <c r="Y746" s="64"/>
      <c r="Z746" s="64"/>
      <c r="AA746" s="64"/>
      <c r="AB746" s="64"/>
      <c r="AC746" s="64"/>
      <c r="AD746" s="64"/>
      <c r="AE746" s="64"/>
    </row>
    <row r="747" spans="1:31" ht="17.25" customHeight="1">
      <c r="A747" s="79"/>
      <c r="B747" s="64"/>
      <c r="C747" s="64"/>
      <c r="D747" s="64"/>
      <c r="E747" s="64"/>
      <c r="F747" s="64"/>
      <c r="G747" s="64"/>
      <c r="H747" s="87"/>
      <c r="I747" s="64"/>
      <c r="J747" s="64"/>
      <c r="K747" s="64"/>
      <c r="L747" s="64"/>
      <c r="M747" s="79"/>
      <c r="N747" s="64"/>
      <c r="O747" s="64"/>
      <c r="P747" s="64"/>
      <c r="Q747" s="64"/>
      <c r="R747" s="64"/>
      <c r="S747" s="64"/>
      <c r="T747" s="64"/>
      <c r="U747" s="78"/>
      <c r="V747" s="64"/>
      <c r="W747" s="79"/>
      <c r="X747" s="64"/>
      <c r="Y747" s="64"/>
      <c r="Z747" s="64"/>
      <c r="AA747" s="64"/>
      <c r="AB747" s="64"/>
      <c r="AC747" s="64"/>
      <c r="AD747" s="64"/>
      <c r="AE747" s="64"/>
    </row>
    <row r="748" spans="1:31" ht="17.25" customHeight="1">
      <c r="A748" s="79"/>
      <c r="B748" s="64"/>
      <c r="C748" s="64"/>
      <c r="D748" s="64"/>
      <c r="E748" s="64"/>
      <c r="F748" s="64"/>
      <c r="G748" s="64"/>
      <c r="H748" s="87"/>
      <c r="I748" s="64"/>
      <c r="J748" s="64"/>
      <c r="K748" s="64"/>
      <c r="L748" s="64"/>
      <c r="M748" s="79"/>
      <c r="N748" s="64"/>
      <c r="O748" s="64"/>
      <c r="P748" s="64"/>
      <c r="Q748" s="64"/>
      <c r="R748" s="64"/>
      <c r="S748" s="64"/>
      <c r="T748" s="64"/>
      <c r="U748" s="78"/>
      <c r="V748" s="64"/>
      <c r="W748" s="79"/>
      <c r="X748" s="64"/>
      <c r="Y748" s="64"/>
      <c r="Z748" s="64"/>
      <c r="AA748" s="64"/>
      <c r="AB748" s="64"/>
      <c r="AC748" s="64"/>
      <c r="AD748" s="64"/>
      <c r="AE748" s="64"/>
    </row>
    <row r="749" spans="1:31" ht="17.25" customHeight="1">
      <c r="A749" s="79"/>
      <c r="B749" s="64"/>
      <c r="C749" s="64"/>
      <c r="D749" s="64"/>
      <c r="E749" s="64"/>
      <c r="F749" s="64"/>
      <c r="G749" s="64"/>
      <c r="H749" s="87"/>
      <c r="I749" s="64"/>
      <c r="J749" s="64"/>
      <c r="K749" s="64"/>
      <c r="L749" s="64"/>
      <c r="M749" s="79"/>
      <c r="N749" s="64"/>
      <c r="O749" s="64"/>
      <c r="P749" s="64"/>
      <c r="Q749" s="64"/>
      <c r="R749" s="64"/>
      <c r="S749" s="64"/>
      <c r="T749" s="64"/>
      <c r="U749" s="78"/>
      <c r="V749" s="64"/>
      <c r="W749" s="79"/>
      <c r="X749" s="64"/>
      <c r="Y749" s="64"/>
      <c r="Z749" s="64"/>
      <c r="AA749" s="64"/>
      <c r="AB749" s="64"/>
      <c r="AC749" s="64"/>
      <c r="AD749" s="64"/>
      <c r="AE749" s="64"/>
    </row>
    <row r="750" spans="1:31" ht="17.25" customHeight="1">
      <c r="A750" s="79"/>
      <c r="B750" s="64"/>
      <c r="C750" s="64"/>
      <c r="D750" s="64"/>
      <c r="E750" s="64"/>
      <c r="F750" s="64"/>
      <c r="G750" s="64"/>
      <c r="H750" s="87"/>
      <c r="I750" s="64"/>
      <c r="J750" s="64"/>
      <c r="K750" s="64"/>
      <c r="L750" s="64"/>
      <c r="M750" s="79"/>
      <c r="N750" s="64"/>
      <c r="O750" s="64"/>
      <c r="P750" s="64"/>
      <c r="Q750" s="64"/>
      <c r="R750" s="64"/>
      <c r="S750" s="64"/>
      <c r="T750" s="64"/>
      <c r="U750" s="78"/>
      <c r="V750" s="64"/>
      <c r="W750" s="79"/>
      <c r="X750" s="64"/>
      <c r="Y750" s="64"/>
      <c r="Z750" s="64"/>
      <c r="AA750" s="64"/>
      <c r="AB750" s="64"/>
      <c r="AC750" s="64"/>
      <c r="AD750" s="64"/>
      <c r="AE750" s="64"/>
    </row>
    <row r="751" spans="1:31" ht="17.25" customHeight="1">
      <c r="A751" s="79"/>
      <c r="B751" s="64"/>
      <c r="C751" s="64"/>
      <c r="D751" s="64"/>
      <c r="E751" s="64"/>
      <c r="F751" s="64"/>
      <c r="G751" s="64"/>
      <c r="H751" s="87"/>
      <c r="I751" s="64"/>
      <c r="J751" s="64"/>
      <c r="K751" s="64"/>
      <c r="L751" s="64"/>
      <c r="M751" s="79"/>
      <c r="N751" s="64"/>
      <c r="O751" s="64"/>
      <c r="P751" s="64"/>
      <c r="Q751" s="64"/>
      <c r="R751" s="64"/>
      <c r="S751" s="64"/>
      <c r="T751" s="64"/>
      <c r="U751" s="78"/>
      <c r="V751" s="64"/>
      <c r="W751" s="79"/>
      <c r="X751" s="64"/>
      <c r="Y751" s="64"/>
      <c r="Z751" s="64"/>
      <c r="AA751" s="64"/>
      <c r="AB751" s="64"/>
      <c r="AC751" s="64"/>
      <c r="AD751" s="64"/>
      <c r="AE751" s="64"/>
    </row>
    <row r="752" spans="1:31" ht="17.25" customHeight="1">
      <c r="A752" s="79"/>
      <c r="B752" s="64"/>
      <c r="C752" s="64"/>
      <c r="D752" s="64"/>
      <c r="E752" s="64"/>
      <c r="F752" s="64"/>
      <c r="G752" s="64"/>
      <c r="H752" s="87"/>
      <c r="I752" s="64"/>
      <c r="J752" s="64"/>
      <c r="K752" s="64"/>
      <c r="L752" s="64"/>
      <c r="M752" s="79"/>
      <c r="N752" s="64"/>
      <c r="O752" s="64"/>
      <c r="P752" s="64"/>
      <c r="Q752" s="64"/>
      <c r="R752" s="64"/>
      <c r="S752" s="64"/>
      <c r="T752" s="64"/>
      <c r="U752" s="78"/>
      <c r="V752" s="64"/>
      <c r="W752" s="79"/>
      <c r="X752" s="64"/>
      <c r="Y752" s="64"/>
      <c r="Z752" s="64"/>
      <c r="AA752" s="64"/>
      <c r="AB752" s="64"/>
      <c r="AC752" s="64"/>
      <c r="AD752" s="64"/>
      <c r="AE752" s="64"/>
    </row>
    <row r="753" spans="1:31" ht="17.25" customHeight="1">
      <c r="A753" s="79"/>
      <c r="B753" s="64"/>
      <c r="C753" s="64"/>
      <c r="D753" s="64"/>
      <c r="E753" s="64"/>
      <c r="F753" s="64"/>
      <c r="G753" s="64"/>
      <c r="H753" s="87"/>
      <c r="I753" s="64"/>
      <c r="J753" s="64"/>
      <c r="K753" s="64"/>
      <c r="L753" s="64"/>
      <c r="M753" s="79"/>
      <c r="N753" s="64"/>
      <c r="O753" s="64"/>
      <c r="P753" s="64"/>
      <c r="Q753" s="64"/>
      <c r="R753" s="64"/>
      <c r="S753" s="64"/>
      <c r="T753" s="64"/>
      <c r="U753" s="78"/>
      <c r="V753" s="64"/>
      <c r="W753" s="79"/>
      <c r="X753" s="64"/>
      <c r="Y753" s="64"/>
      <c r="Z753" s="64"/>
      <c r="AA753" s="64"/>
      <c r="AB753" s="64"/>
      <c r="AC753" s="64"/>
      <c r="AD753" s="64"/>
      <c r="AE753" s="64"/>
    </row>
    <row r="754" spans="1:31" ht="17.25" customHeight="1">
      <c r="A754" s="79"/>
      <c r="B754" s="64"/>
      <c r="C754" s="64"/>
      <c r="D754" s="64"/>
      <c r="E754" s="64"/>
      <c r="F754" s="64"/>
      <c r="G754" s="64"/>
      <c r="H754" s="87"/>
      <c r="I754" s="64"/>
      <c r="J754" s="64"/>
      <c r="K754" s="64"/>
      <c r="L754" s="64"/>
      <c r="M754" s="79"/>
      <c r="N754" s="64"/>
      <c r="O754" s="64"/>
      <c r="P754" s="64"/>
      <c r="Q754" s="64"/>
      <c r="R754" s="64"/>
      <c r="S754" s="64"/>
      <c r="T754" s="64"/>
      <c r="U754" s="78"/>
      <c r="V754" s="64"/>
      <c r="W754" s="79"/>
      <c r="X754" s="64"/>
      <c r="Y754" s="64"/>
      <c r="Z754" s="64"/>
      <c r="AA754" s="64"/>
      <c r="AB754" s="64"/>
      <c r="AC754" s="64"/>
      <c r="AD754" s="64"/>
      <c r="AE754" s="64"/>
    </row>
    <row r="755" spans="1:31" ht="17.25" customHeight="1">
      <c r="A755" s="79"/>
      <c r="B755" s="64"/>
      <c r="C755" s="64"/>
      <c r="D755" s="64"/>
      <c r="E755" s="64"/>
      <c r="F755" s="64"/>
      <c r="G755" s="64"/>
      <c r="H755" s="87"/>
      <c r="I755" s="64"/>
      <c r="J755" s="64"/>
      <c r="K755" s="64"/>
      <c r="L755" s="64"/>
      <c r="M755" s="79"/>
      <c r="N755" s="64"/>
      <c r="O755" s="64"/>
      <c r="P755" s="64"/>
      <c r="Q755" s="64"/>
      <c r="R755" s="64"/>
      <c r="S755" s="64"/>
      <c r="T755" s="64"/>
      <c r="U755" s="78"/>
      <c r="V755" s="64"/>
      <c r="W755" s="79"/>
      <c r="X755" s="64"/>
      <c r="Y755" s="64"/>
      <c r="Z755" s="64"/>
      <c r="AA755" s="64"/>
      <c r="AB755" s="64"/>
      <c r="AC755" s="64"/>
      <c r="AD755" s="64"/>
      <c r="AE755" s="64"/>
    </row>
    <row r="756" spans="1:31" ht="17.25" customHeight="1">
      <c r="A756" s="79"/>
      <c r="B756" s="64"/>
      <c r="C756" s="64"/>
      <c r="D756" s="64"/>
      <c r="E756" s="64"/>
      <c r="F756" s="64"/>
      <c r="G756" s="64"/>
      <c r="H756" s="87"/>
      <c r="I756" s="64"/>
      <c r="J756" s="64"/>
      <c r="K756" s="64"/>
      <c r="L756" s="64"/>
      <c r="M756" s="79"/>
      <c r="N756" s="64"/>
      <c r="O756" s="64"/>
      <c r="P756" s="64"/>
      <c r="Q756" s="64"/>
      <c r="R756" s="64"/>
      <c r="S756" s="64"/>
      <c r="T756" s="64"/>
      <c r="U756" s="78"/>
      <c r="V756" s="64"/>
      <c r="W756" s="79"/>
      <c r="X756" s="64"/>
      <c r="Y756" s="64"/>
      <c r="Z756" s="64"/>
      <c r="AA756" s="64"/>
      <c r="AB756" s="64"/>
      <c r="AC756" s="64"/>
      <c r="AD756" s="64"/>
      <c r="AE756" s="64"/>
    </row>
    <row r="757" spans="1:31" ht="17.25" customHeight="1">
      <c r="A757" s="79"/>
      <c r="B757" s="64"/>
      <c r="C757" s="64"/>
      <c r="D757" s="64"/>
      <c r="E757" s="64"/>
      <c r="F757" s="64"/>
      <c r="G757" s="64"/>
      <c r="H757" s="87"/>
      <c r="I757" s="64"/>
      <c r="J757" s="64"/>
      <c r="K757" s="64"/>
      <c r="L757" s="64"/>
      <c r="M757" s="79"/>
      <c r="N757" s="64"/>
      <c r="O757" s="64"/>
      <c r="P757" s="64"/>
      <c r="Q757" s="64"/>
      <c r="R757" s="64"/>
      <c r="S757" s="64"/>
      <c r="T757" s="64"/>
      <c r="U757" s="78"/>
      <c r="V757" s="64"/>
      <c r="W757" s="79"/>
      <c r="X757" s="64"/>
      <c r="Y757" s="64"/>
      <c r="Z757" s="64"/>
      <c r="AA757" s="64"/>
      <c r="AB757" s="64"/>
      <c r="AC757" s="64"/>
      <c r="AD757" s="64"/>
      <c r="AE757" s="64"/>
    </row>
    <row r="758" spans="1:31" ht="17.25" customHeight="1">
      <c r="A758" s="79"/>
      <c r="B758" s="64"/>
      <c r="C758" s="64"/>
      <c r="D758" s="64"/>
      <c r="E758" s="64"/>
      <c r="F758" s="64"/>
      <c r="G758" s="64"/>
      <c r="H758" s="87"/>
      <c r="I758" s="64"/>
      <c r="J758" s="64"/>
      <c r="K758" s="64"/>
      <c r="L758" s="64"/>
      <c r="M758" s="79"/>
      <c r="N758" s="64"/>
      <c r="O758" s="64"/>
      <c r="P758" s="64"/>
      <c r="Q758" s="64"/>
      <c r="R758" s="64"/>
      <c r="S758" s="64"/>
      <c r="T758" s="64"/>
      <c r="U758" s="78"/>
      <c r="V758" s="64"/>
      <c r="W758" s="79"/>
      <c r="X758" s="64"/>
      <c r="Y758" s="64"/>
      <c r="Z758" s="64"/>
      <c r="AA758" s="64"/>
      <c r="AB758" s="64"/>
      <c r="AC758" s="64"/>
      <c r="AD758" s="64"/>
      <c r="AE758" s="64"/>
    </row>
    <row r="759" spans="1:31" ht="17.25" customHeight="1">
      <c r="A759" s="79"/>
      <c r="B759" s="64"/>
      <c r="C759" s="64"/>
      <c r="D759" s="64"/>
      <c r="E759" s="64"/>
      <c r="F759" s="64"/>
      <c r="G759" s="64"/>
      <c r="H759" s="87"/>
      <c r="I759" s="64"/>
      <c r="J759" s="64"/>
      <c r="K759" s="64"/>
      <c r="L759" s="64"/>
      <c r="M759" s="79"/>
      <c r="N759" s="64"/>
      <c r="O759" s="64"/>
      <c r="P759" s="64"/>
      <c r="Q759" s="64"/>
      <c r="R759" s="64"/>
      <c r="S759" s="64"/>
      <c r="T759" s="64"/>
      <c r="U759" s="78"/>
      <c r="V759" s="64"/>
      <c r="W759" s="79"/>
      <c r="X759" s="64"/>
      <c r="Y759" s="64"/>
      <c r="Z759" s="64"/>
      <c r="AA759" s="64"/>
      <c r="AB759" s="64"/>
      <c r="AC759" s="64"/>
      <c r="AD759" s="64"/>
      <c r="AE759" s="64"/>
    </row>
    <row r="760" spans="1:31" ht="17.25" customHeight="1">
      <c r="A760" s="79"/>
      <c r="B760" s="64"/>
      <c r="C760" s="64"/>
      <c r="D760" s="64"/>
      <c r="E760" s="64"/>
      <c r="F760" s="64"/>
      <c r="G760" s="64"/>
      <c r="H760" s="87"/>
      <c r="I760" s="64"/>
      <c r="J760" s="64"/>
      <c r="K760" s="64"/>
      <c r="L760" s="64"/>
      <c r="M760" s="79"/>
      <c r="N760" s="64"/>
      <c r="O760" s="64"/>
      <c r="P760" s="64"/>
      <c r="Q760" s="64"/>
      <c r="R760" s="64"/>
      <c r="S760" s="64"/>
      <c r="T760" s="64"/>
      <c r="U760" s="78"/>
      <c r="V760" s="64"/>
      <c r="W760" s="79"/>
      <c r="X760" s="64"/>
      <c r="Y760" s="64"/>
      <c r="Z760" s="64"/>
      <c r="AA760" s="64"/>
      <c r="AB760" s="64"/>
      <c r="AC760" s="64"/>
      <c r="AD760" s="64"/>
      <c r="AE760" s="64"/>
    </row>
    <row r="761" spans="1:31" ht="17.25" customHeight="1">
      <c r="A761" s="79"/>
      <c r="B761" s="64"/>
      <c r="C761" s="64"/>
      <c r="D761" s="64"/>
      <c r="E761" s="64"/>
      <c r="F761" s="64"/>
      <c r="G761" s="64"/>
      <c r="H761" s="87"/>
      <c r="I761" s="64"/>
      <c r="J761" s="64"/>
      <c r="K761" s="64"/>
      <c r="L761" s="64"/>
      <c r="M761" s="79"/>
      <c r="N761" s="64"/>
      <c r="O761" s="64"/>
      <c r="P761" s="64"/>
      <c r="Q761" s="64"/>
      <c r="R761" s="64"/>
      <c r="S761" s="64"/>
      <c r="T761" s="64"/>
      <c r="U761" s="78"/>
      <c r="V761" s="64"/>
      <c r="W761" s="79"/>
      <c r="X761" s="64"/>
      <c r="Y761" s="64"/>
      <c r="Z761" s="64"/>
      <c r="AA761" s="64"/>
      <c r="AB761" s="64"/>
      <c r="AC761" s="64"/>
      <c r="AD761" s="64"/>
      <c r="AE761" s="64"/>
    </row>
    <row r="762" spans="1:31" ht="17.25" customHeight="1">
      <c r="A762" s="79"/>
      <c r="B762" s="64"/>
      <c r="C762" s="64"/>
      <c r="D762" s="64"/>
      <c r="E762" s="64"/>
      <c r="F762" s="64"/>
      <c r="G762" s="64"/>
      <c r="H762" s="87"/>
      <c r="I762" s="64"/>
      <c r="J762" s="64"/>
      <c r="K762" s="64"/>
      <c r="L762" s="64"/>
      <c r="M762" s="79"/>
      <c r="N762" s="64"/>
      <c r="O762" s="64"/>
      <c r="P762" s="64"/>
      <c r="Q762" s="64"/>
      <c r="R762" s="64"/>
      <c r="S762" s="64"/>
      <c r="T762" s="64"/>
      <c r="U762" s="78"/>
      <c r="V762" s="64"/>
      <c r="W762" s="79"/>
      <c r="X762" s="64"/>
      <c r="Y762" s="64"/>
      <c r="Z762" s="64"/>
      <c r="AA762" s="64"/>
      <c r="AB762" s="64"/>
      <c r="AC762" s="64"/>
      <c r="AD762" s="64"/>
      <c r="AE762" s="64"/>
    </row>
    <row r="763" spans="1:31" ht="17.25" customHeight="1">
      <c r="A763" s="79"/>
      <c r="B763" s="64"/>
      <c r="C763" s="64"/>
      <c r="D763" s="64"/>
      <c r="E763" s="64"/>
      <c r="F763" s="64"/>
      <c r="G763" s="64"/>
      <c r="H763" s="87"/>
      <c r="I763" s="64"/>
      <c r="J763" s="64"/>
      <c r="K763" s="64"/>
      <c r="L763" s="64"/>
      <c r="M763" s="79"/>
      <c r="N763" s="64"/>
      <c r="O763" s="64"/>
      <c r="P763" s="64"/>
      <c r="Q763" s="64"/>
      <c r="R763" s="64"/>
      <c r="S763" s="64"/>
      <c r="T763" s="64"/>
      <c r="U763" s="78"/>
      <c r="V763" s="64"/>
      <c r="W763" s="79"/>
      <c r="X763" s="64"/>
      <c r="Y763" s="64"/>
      <c r="Z763" s="64"/>
      <c r="AA763" s="64"/>
      <c r="AB763" s="64"/>
      <c r="AC763" s="64"/>
      <c r="AD763" s="64"/>
      <c r="AE763" s="64"/>
    </row>
    <row r="764" spans="1:31" ht="17.25" customHeight="1">
      <c r="A764" s="79"/>
      <c r="B764" s="64"/>
      <c r="C764" s="64"/>
      <c r="D764" s="64"/>
      <c r="E764" s="64"/>
      <c r="F764" s="64"/>
      <c r="G764" s="64"/>
      <c r="H764" s="87"/>
      <c r="I764" s="64"/>
      <c r="J764" s="64"/>
      <c r="K764" s="64"/>
      <c r="L764" s="64"/>
      <c r="M764" s="79"/>
      <c r="N764" s="64"/>
      <c r="O764" s="64"/>
      <c r="P764" s="64"/>
      <c r="Q764" s="64"/>
      <c r="R764" s="64"/>
      <c r="S764" s="64"/>
      <c r="T764" s="64"/>
      <c r="U764" s="78"/>
      <c r="V764" s="64"/>
      <c r="W764" s="79"/>
      <c r="X764" s="64"/>
      <c r="Y764" s="64"/>
      <c r="Z764" s="64"/>
      <c r="AA764" s="64"/>
      <c r="AB764" s="64"/>
      <c r="AC764" s="64"/>
      <c r="AD764" s="64"/>
      <c r="AE764" s="64"/>
    </row>
    <row r="765" spans="1:31" ht="17.25" customHeight="1">
      <c r="A765" s="79"/>
      <c r="B765" s="64"/>
      <c r="C765" s="64"/>
      <c r="D765" s="64"/>
      <c r="E765" s="64"/>
      <c r="F765" s="64"/>
      <c r="G765" s="64"/>
      <c r="H765" s="87"/>
      <c r="I765" s="64"/>
      <c r="J765" s="64"/>
      <c r="K765" s="64"/>
      <c r="L765" s="64"/>
      <c r="M765" s="79"/>
      <c r="N765" s="64"/>
      <c r="O765" s="64"/>
      <c r="P765" s="64"/>
      <c r="Q765" s="64"/>
      <c r="R765" s="64"/>
      <c r="S765" s="64"/>
      <c r="T765" s="64"/>
      <c r="U765" s="78"/>
      <c r="V765" s="64"/>
      <c r="W765" s="79"/>
      <c r="X765" s="64"/>
      <c r="Y765" s="64"/>
      <c r="Z765" s="64"/>
      <c r="AA765" s="64"/>
      <c r="AB765" s="64"/>
      <c r="AC765" s="64"/>
      <c r="AD765" s="64"/>
      <c r="AE765" s="64"/>
    </row>
    <row r="766" spans="1:31" ht="17.25" customHeight="1">
      <c r="A766" s="79"/>
      <c r="B766" s="64"/>
      <c r="C766" s="64"/>
      <c r="D766" s="64"/>
      <c r="E766" s="64"/>
      <c r="F766" s="64"/>
      <c r="G766" s="64"/>
      <c r="H766" s="87"/>
      <c r="I766" s="64"/>
      <c r="J766" s="64"/>
      <c r="K766" s="64"/>
      <c r="L766" s="64"/>
      <c r="M766" s="79"/>
      <c r="N766" s="64"/>
      <c r="O766" s="64"/>
      <c r="P766" s="64"/>
      <c r="Q766" s="64"/>
      <c r="R766" s="64"/>
      <c r="S766" s="64"/>
      <c r="T766" s="64"/>
      <c r="U766" s="78"/>
      <c r="V766" s="64"/>
      <c r="W766" s="79"/>
      <c r="X766" s="64"/>
      <c r="Y766" s="64"/>
      <c r="Z766" s="64"/>
      <c r="AA766" s="64"/>
      <c r="AB766" s="64"/>
      <c r="AC766" s="64"/>
      <c r="AD766" s="64"/>
      <c r="AE766" s="64"/>
    </row>
    <row r="767" spans="1:31" ht="17.25" customHeight="1">
      <c r="A767" s="79"/>
      <c r="B767" s="64"/>
      <c r="C767" s="64"/>
      <c r="D767" s="64"/>
      <c r="E767" s="64"/>
      <c r="F767" s="64"/>
      <c r="G767" s="64"/>
      <c r="H767" s="87"/>
      <c r="I767" s="64"/>
      <c r="J767" s="64"/>
      <c r="K767" s="64"/>
      <c r="L767" s="64"/>
      <c r="M767" s="79"/>
      <c r="N767" s="64"/>
      <c r="O767" s="64"/>
      <c r="P767" s="64"/>
      <c r="Q767" s="64"/>
      <c r="R767" s="64"/>
      <c r="S767" s="64"/>
      <c r="T767" s="64"/>
      <c r="U767" s="78"/>
      <c r="V767" s="64"/>
      <c r="W767" s="79"/>
      <c r="X767" s="64"/>
      <c r="Y767" s="64"/>
      <c r="Z767" s="64"/>
      <c r="AA767" s="64"/>
      <c r="AB767" s="64"/>
      <c r="AC767" s="64"/>
      <c r="AD767" s="64"/>
      <c r="AE767" s="64"/>
    </row>
    <row r="768" spans="1:31" ht="17.25" customHeight="1">
      <c r="A768" s="79"/>
      <c r="B768" s="64"/>
      <c r="C768" s="64"/>
      <c r="D768" s="64"/>
      <c r="E768" s="64"/>
      <c r="F768" s="64"/>
      <c r="G768" s="64"/>
      <c r="H768" s="87"/>
      <c r="I768" s="64"/>
      <c r="J768" s="64"/>
      <c r="K768" s="64"/>
      <c r="L768" s="64"/>
      <c r="M768" s="79"/>
      <c r="N768" s="64"/>
      <c r="O768" s="64"/>
      <c r="P768" s="64"/>
      <c r="Q768" s="64"/>
      <c r="R768" s="64"/>
      <c r="S768" s="64"/>
      <c r="T768" s="64"/>
      <c r="U768" s="78"/>
      <c r="V768" s="64"/>
      <c r="W768" s="79"/>
      <c r="X768" s="64"/>
      <c r="Y768" s="64"/>
      <c r="Z768" s="64"/>
      <c r="AA768" s="64"/>
      <c r="AB768" s="64"/>
      <c r="AC768" s="64"/>
      <c r="AD768" s="64"/>
      <c r="AE768" s="64"/>
    </row>
    <row r="769" spans="1:31" ht="17.25" customHeight="1">
      <c r="A769" s="79"/>
      <c r="B769" s="64"/>
      <c r="C769" s="64"/>
      <c r="D769" s="64"/>
      <c r="E769" s="64"/>
      <c r="F769" s="64"/>
      <c r="G769" s="64"/>
      <c r="H769" s="87"/>
      <c r="I769" s="64"/>
      <c r="J769" s="64"/>
      <c r="K769" s="64"/>
      <c r="L769" s="64"/>
      <c r="M769" s="79"/>
      <c r="N769" s="64"/>
      <c r="O769" s="64"/>
      <c r="P769" s="64"/>
      <c r="Q769" s="64"/>
      <c r="R769" s="64"/>
      <c r="S769" s="64"/>
      <c r="T769" s="64"/>
      <c r="U769" s="78"/>
      <c r="V769" s="64"/>
      <c r="W769" s="79"/>
      <c r="X769" s="64"/>
      <c r="Y769" s="64"/>
      <c r="Z769" s="64"/>
      <c r="AA769" s="64"/>
      <c r="AB769" s="64"/>
      <c r="AC769" s="64"/>
      <c r="AD769" s="64"/>
      <c r="AE769" s="64"/>
    </row>
    <row r="770" spans="1:31" ht="17.25" customHeight="1">
      <c r="A770" s="79"/>
      <c r="B770" s="64"/>
      <c r="C770" s="64"/>
      <c r="D770" s="64"/>
      <c r="E770" s="64"/>
      <c r="F770" s="64"/>
      <c r="G770" s="64"/>
      <c r="H770" s="87"/>
      <c r="I770" s="64"/>
      <c r="J770" s="64"/>
      <c r="K770" s="64"/>
      <c r="L770" s="64"/>
      <c r="M770" s="79"/>
      <c r="N770" s="64"/>
      <c r="O770" s="64"/>
      <c r="P770" s="64"/>
      <c r="Q770" s="64"/>
      <c r="R770" s="64"/>
      <c r="S770" s="64"/>
      <c r="T770" s="64"/>
      <c r="U770" s="78"/>
      <c r="V770" s="64"/>
      <c r="W770" s="79"/>
      <c r="X770" s="64"/>
      <c r="Y770" s="64"/>
      <c r="Z770" s="64"/>
      <c r="AA770" s="64"/>
      <c r="AB770" s="64"/>
      <c r="AC770" s="64"/>
      <c r="AD770" s="64"/>
      <c r="AE770" s="64"/>
    </row>
    <row r="771" spans="1:31" ht="17.25" customHeight="1">
      <c r="A771" s="79"/>
      <c r="B771" s="64"/>
      <c r="C771" s="64"/>
      <c r="D771" s="64"/>
      <c r="E771" s="64"/>
      <c r="F771" s="64"/>
      <c r="G771" s="64"/>
      <c r="H771" s="87"/>
      <c r="I771" s="64"/>
      <c r="J771" s="64"/>
      <c r="K771" s="64"/>
      <c r="L771" s="64"/>
      <c r="M771" s="79"/>
      <c r="N771" s="64"/>
      <c r="O771" s="64"/>
      <c r="P771" s="64"/>
      <c r="Q771" s="64"/>
      <c r="R771" s="64"/>
      <c r="S771" s="64"/>
      <c r="T771" s="64"/>
      <c r="U771" s="78"/>
      <c r="V771" s="64"/>
      <c r="W771" s="79"/>
      <c r="X771" s="64"/>
      <c r="Y771" s="64"/>
      <c r="Z771" s="64"/>
      <c r="AA771" s="64"/>
      <c r="AB771" s="64"/>
      <c r="AC771" s="64"/>
      <c r="AD771" s="64"/>
      <c r="AE771" s="64"/>
    </row>
    <row r="772" spans="1:31" ht="17.25" customHeight="1">
      <c r="A772" s="79"/>
      <c r="B772" s="64"/>
      <c r="C772" s="64"/>
      <c r="D772" s="64"/>
      <c r="E772" s="64"/>
      <c r="F772" s="64"/>
      <c r="G772" s="64"/>
      <c r="H772" s="87"/>
      <c r="I772" s="64"/>
      <c r="J772" s="64"/>
      <c r="K772" s="64"/>
      <c r="L772" s="64"/>
      <c r="M772" s="79"/>
      <c r="N772" s="64"/>
      <c r="O772" s="64"/>
      <c r="P772" s="64"/>
      <c r="Q772" s="64"/>
      <c r="R772" s="64"/>
      <c r="S772" s="64"/>
      <c r="T772" s="64"/>
      <c r="U772" s="78"/>
      <c r="V772" s="64"/>
      <c r="W772" s="79"/>
      <c r="X772" s="64"/>
      <c r="Y772" s="64"/>
      <c r="Z772" s="64"/>
      <c r="AA772" s="64"/>
      <c r="AB772" s="64"/>
      <c r="AC772" s="64"/>
      <c r="AD772" s="64"/>
      <c r="AE772" s="64"/>
    </row>
    <row r="773" spans="1:31" ht="17.25" customHeight="1">
      <c r="A773" s="79"/>
      <c r="B773" s="64"/>
      <c r="C773" s="64"/>
      <c r="D773" s="64"/>
      <c r="E773" s="64"/>
      <c r="F773" s="64"/>
      <c r="G773" s="64"/>
      <c r="H773" s="87"/>
      <c r="I773" s="64"/>
      <c r="J773" s="64"/>
      <c r="K773" s="64"/>
      <c r="L773" s="64"/>
      <c r="M773" s="79"/>
      <c r="N773" s="64"/>
      <c r="O773" s="64"/>
      <c r="P773" s="64"/>
      <c r="Q773" s="64"/>
      <c r="R773" s="64"/>
      <c r="S773" s="64"/>
      <c r="T773" s="64"/>
      <c r="U773" s="78"/>
      <c r="V773" s="64"/>
      <c r="W773" s="79"/>
      <c r="X773" s="64"/>
      <c r="Y773" s="64"/>
      <c r="Z773" s="64"/>
      <c r="AA773" s="64"/>
      <c r="AB773" s="64"/>
      <c r="AC773" s="64"/>
      <c r="AD773" s="64"/>
      <c r="AE773" s="64"/>
    </row>
    <row r="774" spans="1:31" ht="17.25" customHeight="1">
      <c r="A774" s="79"/>
      <c r="B774" s="64"/>
      <c r="C774" s="64"/>
      <c r="D774" s="64"/>
      <c r="E774" s="64"/>
      <c r="F774" s="64"/>
      <c r="G774" s="64"/>
      <c r="H774" s="87"/>
      <c r="I774" s="64"/>
      <c r="J774" s="64"/>
      <c r="K774" s="64"/>
      <c r="L774" s="64"/>
      <c r="M774" s="79"/>
      <c r="N774" s="64"/>
      <c r="O774" s="64"/>
      <c r="P774" s="64"/>
      <c r="Q774" s="64"/>
      <c r="R774" s="64"/>
      <c r="S774" s="64"/>
      <c r="T774" s="64"/>
      <c r="U774" s="78"/>
      <c r="V774" s="64"/>
      <c r="W774" s="79"/>
      <c r="X774" s="64"/>
      <c r="Y774" s="64"/>
      <c r="Z774" s="64"/>
      <c r="AA774" s="64"/>
      <c r="AB774" s="64"/>
      <c r="AC774" s="64"/>
      <c r="AD774" s="64"/>
      <c r="AE774" s="64"/>
    </row>
    <row r="775" spans="1:31" ht="17.25" customHeight="1">
      <c r="A775" s="79"/>
      <c r="B775" s="64"/>
      <c r="C775" s="64"/>
      <c r="D775" s="64"/>
      <c r="E775" s="64"/>
      <c r="F775" s="64"/>
      <c r="G775" s="64"/>
      <c r="H775" s="87"/>
      <c r="I775" s="64"/>
      <c r="J775" s="64"/>
      <c r="K775" s="64"/>
      <c r="L775" s="64"/>
      <c r="M775" s="79"/>
      <c r="N775" s="64"/>
      <c r="O775" s="64"/>
      <c r="P775" s="64"/>
      <c r="Q775" s="64"/>
      <c r="R775" s="64"/>
      <c r="S775" s="64"/>
      <c r="T775" s="64"/>
      <c r="U775" s="78"/>
      <c r="V775" s="64"/>
      <c r="W775" s="79"/>
      <c r="X775" s="64"/>
      <c r="Y775" s="64"/>
      <c r="Z775" s="64"/>
      <c r="AA775" s="64"/>
      <c r="AB775" s="64"/>
      <c r="AC775" s="64"/>
      <c r="AD775" s="64"/>
      <c r="AE775" s="64"/>
    </row>
    <row r="776" spans="1:31" ht="17.25" customHeight="1">
      <c r="A776" s="79"/>
      <c r="B776" s="64"/>
      <c r="C776" s="64"/>
      <c r="D776" s="64"/>
      <c r="E776" s="64"/>
      <c r="F776" s="64"/>
      <c r="G776" s="64"/>
      <c r="H776" s="87"/>
      <c r="I776" s="64"/>
      <c r="J776" s="64"/>
      <c r="K776" s="64"/>
      <c r="L776" s="64"/>
      <c r="M776" s="79"/>
      <c r="N776" s="64"/>
      <c r="O776" s="64"/>
      <c r="P776" s="64"/>
      <c r="Q776" s="64"/>
      <c r="R776" s="64"/>
      <c r="S776" s="64"/>
      <c r="T776" s="64"/>
      <c r="U776" s="78"/>
      <c r="V776" s="64"/>
      <c r="W776" s="79"/>
      <c r="X776" s="64"/>
      <c r="Y776" s="64"/>
      <c r="Z776" s="64"/>
      <c r="AA776" s="64"/>
      <c r="AB776" s="64"/>
      <c r="AC776" s="64"/>
      <c r="AD776" s="64"/>
      <c r="AE776" s="64"/>
    </row>
    <row r="777" spans="1:31" ht="17.25" customHeight="1">
      <c r="A777" s="79"/>
      <c r="B777" s="64"/>
      <c r="C777" s="64"/>
      <c r="D777" s="64"/>
      <c r="E777" s="64"/>
      <c r="F777" s="64"/>
      <c r="G777" s="64"/>
      <c r="H777" s="87"/>
      <c r="I777" s="64"/>
      <c r="J777" s="64"/>
      <c r="K777" s="64"/>
      <c r="L777" s="64"/>
      <c r="M777" s="79"/>
      <c r="N777" s="64"/>
      <c r="O777" s="64"/>
      <c r="P777" s="64"/>
      <c r="Q777" s="64"/>
      <c r="R777" s="64"/>
      <c r="S777" s="64"/>
      <c r="T777" s="64"/>
      <c r="U777" s="78"/>
      <c r="V777" s="64"/>
      <c r="W777" s="79"/>
      <c r="X777" s="64"/>
      <c r="Y777" s="64"/>
      <c r="Z777" s="64"/>
      <c r="AA777" s="64"/>
      <c r="AB777" s="64"/>
      <c r="AC777" s="64"/>
      <c r="AD777" s="64"/>
      <c r="AE777" s="64"/>
    </row>
    <row r="778" spans="1:31" ht="17.25" customHeight="1">
      <c r="A778" s="79"/>
      <c r="B778" s="64"/>
      <c r="C778" s="64"/>
      <c r="D778" s="64"/>
      <c r="E778" s="64"/>
      <c r="F778" s="64"/>
      <c r="G778" s="64"/>
      <c r="H778" s="87"/>
      <c r="I778" s="64"/>
      <c r="J778" s="64"/>
      <c r="K778" s="64"/>
      <c r="L778" s="64"/>
      <c r="M778" s="79"/>
      <c r="N778" s="64"/>
      <c r="O778" s="64"/>
      <c r="P778" s="64"/>
      <c r="Q778" s="64"/>
      <c r="R778" s="64"/>
      <c r="S778" s="64"/>
      <c r="T778" s="64"/>
      <c r="U778" s="78"/>
      <c r="V778" s="64"/>
      <c r="W778" s="79"/>
      <c r="X778" s="64"/>
      <c r="Y778" s="64"/>
      <c r="Z778" s="64"/>
      <c r="AA778" s="64"/>
      <c r="AB778" s="64"/>
      <c r="AC778" s="64"/>
      <c r="AD778" s="64"/>
      <c r="AE778" s="64"/>
    </row>
    <row r="779" spans="1:31" ht="17.25" customHeight="1">
      <c r="A779" s="79"/>
      <c r="B779" s="64"/>
      <c r="C779" s="64"/>
      <c r="D779" s="64"/>
      <c r="E779" s="64"/>
      <c r="F779" s="64"/>
      <c r="G779" s="64"/>
      <c r="H779" s="87"/>
      <c r="I779" s="64"/>
      <c r="J779" s="64"/>
      <c r="K779" s="64"/>
      <c r="L779" s="64"/>
      <c r="M779" s="79"/>
      <c r="N779" s="64"/>
      <c r="O779" s="64"/>
      <c r="P779" s="64"/>
      <c r="Q779" s="64"/>
      <c r="R779" s="64"/>
      <c r="S779" s="64"/>
      <c r="T779" s="64"/>
      <c r="U779" s="78"/>
      <c r="V779" s="64"/>
      <c r="W779" s="79"/>
      <c r="X779" s="64"/>
      <c r="Y779" s="64"/>
      <c r="Z779" s="64"/>
      <c r="AA779" s="64"/>
      <c r="AB779" s="64"/>
      <c r="AC779" s="64"/>
      <c r="AD779" s="64"/>
      <c r="AE779" s="64"/>
    </row>
    <row r="780" spans="1:31" ht="17.25" customHeight="1">
      <c r="A780" s="79"/>
      <c r="B780" s="64"/>
      <c r="C780" s="64"/>
      <c r="D780" s="64"/>
      <c r="E780" s="64"/>
      <c r="F780" s="64"/>
      <c r="G780" s="64"/>
      <c r="H780" s="87"/>
      <c r="I780" s="64"/>
      <c r="J780" s="64"/>
      <c r="K780" s="64"/>
      <c r="L780" s="64"/>
      <c r="M780" s="79"/>
      <c r="N780" s="64"/>
      <c r="O780" s="64"/>
      <c r="P780" s="64"/>
      <c r="Q780" s="64"/>
      <c r="R780" s="64"/>
      <c r="S780" s="64"/>
      <c r="T780" s="64"/>
      <c r="U780" s="78"/>
      <c r="V780" s="64"/>
      <c r="W780" s="79"/>
      <c r="X780" s="64"/>
      <c r="Y780" s="64"/>
      <c r="Z780" s="64"/>
      <c r="AA780" s="64"/>
      <c r="AB780" s="64"/>
      <c r="AC780" s="64"/>
      <c r="AD780" s="64"/>
      <c r="AE780" s="64"/>
    </row>
    <row r="781" spans="1:31" ht="17.25" customHeight="1">
      <c r="A781" s="79"/>
      <c r="B781" s="64"/>
      <c r="C781" s="64"/>
      <c r="D781" s="64"/>
      <c r="E781" s="64"/>
      <c r="F781" s="64"/>
      <c r="G781" s="64"/>
      <c r="H781" s="87"/>
      <c r="I781" s="64"/>
      <c r="J781" s="64"/>
      <c r="K781" s="64"/>
      <c r="L781" s="64"/>
      <c r="M781" s="79"/>
      <c r="N781" s="64"/>
      <c r="O781" s="64"/>
      <c r="P781" s="64"/>
      <c r="Q781" s="64"/>
      <c r="R781" s="64"/>
      <c r="S781" s="64"/>
      <c r="T781" s="64"/>
      <c r="U781" s="78"/>
      <c r="V781" s="64"/>
      <c r="W781" s="79"/>
      <c r="X781" s="64"/>
      <c r="Y781" s="64"/>
      <c r="Z781" s="64"/>
      <c r="AA781" s="64"/>
      <c r="AB781" s="64"/>
      <c r="AC781" s="64"/>
      <c r="AD781" s="64"/>
      <c r="AE781" s="64"/>
    </row>
    <row r="782" spans="1:31" ht="17.25" customHeight="1">
      <c r="A782" s="79"/>
      <c r="B782" s="64"/>
      <c r="C782" s="64"/>
      <c r="D782" s="64"/>
      <c r="E782" s="64"/>
      <c r="F782" s="64"/>
      <c r="G782" s="64"/>
      <c r="H782" s="87"/>
      <c r="I782" s="64"/>
      <c r="J782" s="64"/>
      <c r="K782" s="64"/>
      <c r="L782" s="64"/>
      <c r="M782" s="79"/>
      <c r="N782" s="64"/>
      <c r="O782" s="64"/>
      <c r="P782" s="64"/>
      <c r="Q782" s="64"/>
      <c r="R782" s="64"/>
      <c r="S782" s="64"/>
      <c r="T782" s="64"/>
      <c r="U782" s="78"/>
      <c r="V782" s="64"/>
      <c r="W782" s="79"/>
      <c r="X782" s="64"/>
      <c r="Y782" s="64"/>
      <c r="Z782" s="64"/>
      <c r="AA782" s="64"/>
      <c r="AB782" s="64"/>
      <c r="AC782" s="64"/>
      <c r="AD782" s="64"/>
      <c r="AE782" s="64"/>
    </row>
    <row r="783" spans="1:31" ht="17.25" customHeight="1">
      <c r="A783" s="79"/>
      <c r="B783" s="64"/>
      <c r="C783" s="64"/>
      <c r="D783" s="64"/>
      <c r="E783" s="64"/>
      <c r="F783" s="64"/>
      <c r="G783" s="64"/>
      <c r="H783" s="87"/>
      <c r="I783" s="64"/>
      <c r="J783" s="64"/>
      <c r="K783" s="64"/>
      <c r="L783" s="64"/>
      <c r="M783" s="79"/>
      <c r="N783" s="64"/>
      <c r="O783" s="64"/>
      <c r="P783" s="64"/>
      <c r="Q783" s="64"/>
      <c r="R783" s="64"/>
      <c r="S783" s="64"/>
      <c r="T783" s="64"/>
      <c r="U783" s="78"/>
      <c r="V783" s="64"/>
      <c r="W783" s="79"/>
      <c r="X783" s="64"/>
      <c r="Y783" s="64"/>
      <c r="Z783" s="64"/>
      <c r="AA783" s="64"/>
      <c r="AB783" s="64"/>
      <c r="AC783" s="64"/>
      <c r="AD783" s="64"/>
      <c r="AE783" s="64"/>
    </row>
    <row r="784" spans="1:31" ht="17.25" customHeight="1">
      <c r="A784" s="79"/>
      <c r="B784" s="64"/>
      <c r="C784" s="64"/>
      <c r="D784" s="64"/>
      <c r="E784" s="64"/>
      <c r="F784" s="64"/>
      <c r="G784" s="64"/>
      <c r="H784" s="87"/>
      <c r="I784" s="64"/>
      <c r="J784" s="64"/>
      <c r="K784" s="64"/>
      <c r="L784" s="64"/>
      <c r="M784" s="79"/>
      <c r="N784" s="64"/>
      <c r="O784" s="64"/>
      <c r="P784" s="64"/>
      <c r="Q784" s="64"/>
      <c r="R784" s="64"/>
      <c r="S784" s="64"/>
      <c r="T784" s="64"/>
      <c r="U784" s="78"/>
      <c r="V784" s="64"/>
      <c r="W784" s="79"/>
      <c r="X784" s="64"/>
      <c r="Y784" s="64"/>
      <c r="Z784" s="64"/>
      <c r="AA784" s="64"/>
      <c r="AB784" s="64"/>
      <c r="AC784" s="64"/>
      <c r="AD784" s="64"/>
      <c r="AE784" s="64"/>
    </row>
    <row r="785" spans="1:31" ht="17.25" customHeight="1">
      <c r="A785" s="79"/>
      <c r="B785" s="64"/>
      <c r="C785" s="64"/>
      <c r="D785" s="64"/>
      <c r="E785" s="64"/>
      <c r="F785" s="64"/>
      <c r="G785" s="64"/>
      <c r="H785" s="87"/>
      <c r="I785" s="64"/>
      <c r="J785" s="64"/>
      <c r="K785" s="64"/>
      <c r="L785" s="64"/>
      <c r="M785" s="79"/>
      <c r="N785" s="64"/>
      <c r="O785" s="64"/>
      <c r="P785" s="64"/>
      <c r="Q785" s="64"/>
      <c r="R785" s="64"/>
      <c r="S785" s="64"/>
      <c r="T785" s="64"/>
      <c r="U785" s="78"/>
      <c r="V785" s="64"/>
      <c r="W785" s="79"/>
      <c r="X785" s="64"/>
      <c r="Y785" s="64"/>
      <c r="Z785" s="64"/>
      <c r="AA785" s="64"/>
      <c r="AB785" s="64"/>
      <c r="AC785" s="64"/>
      <c r="AD785" s="64"/>
      <c r="AE785" s="64"/>
    </row>
    <row r="786" spans="1:31" ht="17.25" customHeight="1">
      <c r="A786" s="79"/>
      <c r="B786" s="64"/>
      <c r="C786" s="64"/>
      <c r="D786" s="64"/>
      <c r="E786" s="64"/>
      <c r="F786" s="64"/>
      <c r="G786" s="64"/>
      <c r="H786" s="87"/>
      <c r="I786" s="64"/>
      <c r="J786" s="64"/>
      <c r="K786" s="64"/>
      <c r="L786" s="64"/>
      <c r="M786" s="79"/>
      <c r="N786" s="64"/>
      <c r="O786" s="64"/>
      <c r="P786" s="64"/>
      <c r="Q786" s="64"/>
      <c r="R786" s="64"/>
      <c r="S786" s="64"/>
      <c r="T786" s="64"/>
      <c r="U786" s="78"/>
      <c r="V786" s="64"/>
      <c r="W786" s="79"/>
      <c r="X786" s="64"/>
      <c r="Y786" s="64"/>
      <c r="Z786" s="64"/>
      <c r="AA786" s="64"/>
      <c r="AB786" s="64"/>
      <c r="AC786" s="64"/>
      <c r="AD786" s="64"/>
      <c r="AE786" s="64"/>
    </row>
    <row r="787" spans="1:31" ht="17.25" customHeight="1">
      <c r="A787" s="79"/>
      <c r="B787" s="64"/>
      <c r="C787" s="64"/>
      <c r="D787" s="64"/>
      <c r="E787" s="64"/>
      <c r="F787" s="64"/>
      <c r="G787" s="64"/>
      <c r="H787" s="87"/>
      <c r="I787" s="64"/>
      <c r="J787" s="64"/>
      <c r="K787" s="64"/>
      <c r="L787" s="64"/>
      <c r="M787" s="79"/>
      <c r="N787" s="64"/>
      <c r="O787" s="64"/>
      <c r="P787" s="64"/>
      <c r="Q787" s="64"/>
      <c r="R787" s="64"/>
      <c r="S787" s="64"/>
      <c r="T787" s="64"/>
      <c r="U787" s="78"/>
      <c r="V787" s="64"/>
      <c r="W787" s="79"/>
      <c r="X787" s="64"/>
      <c r="Y787" s="64"/>
      <c r="Z787" s="64"/>
      <c r="AA787" s="64"/>
      <c r="AB787" s="64"/>
      <c r="AC787" s="64"/>
      <c r="AD787" s="64"/>
      <c r="AE787" s="64"/>
    </row>
    <row r="788" spans="1:31" ht="17.25" customHeight="1">
      <c r="A788" s="79"/>
      <c r="B788" s="64"/>
      <c r="C788" s="64"/>
      <c r="D788" s="64"/>
      <c r="E788" s="64"/>
      <c r="F788" s="64"/>
      <c r="G788" s="64"/>
      <c r="H788" s="87"/>
      <c r="I788" s="64"/>
      <c r="J788" s="64"/>
      <c r="K788" s="64"/>
      <c r="L788" s="64"/>
      <c r="M788" s="79"/>
      <c r="N788" s="64"/>
      <c r="O788" s="64"/>
      <c r="P788" s="64"/>
      <c r="Q788" s="64"/>
      <c r="R788" s="64"/>
      <c r="S788" s="64"/>
      <c r="T788" s="64"/>
      <c r="U788" s="78"/>
      <c r="V788" s="64"/>
      <c r="W788" s="79"/>
      <c r="X788" s="64"/>
      <c r="Y788" s="64"/>
      <c r="Z788" s="64"/>
      <c r="AA788" s="64"/>
      <c r="AB788" s="64"/>
      <c r="AC788" s="64"/>
      <c r="AD788" s="64"/>
      <c r="AE788" s="64"/>
    </row>
    <row r="789" spans="1:31" ht="17.25" customHeight="1">
      <c r="A789" s="79"/>
      <c r="B789" s="64"/>
      <c r="C789" s="64"/>
      <c r="D789" s="64"/>
      <c r="E789" s="64"/>
      <c r="F789" s="64"/>
      <c r="G789" s="64"/>
      <c r="H789" s="87"/>
      <c r="I789" s="64"/>
      <c r="J789" s="64"/>
      <c r="K789" s="64"/>
      <c r="L789" s="64"/>
      <c r="M789" s="79"/>
      <c r="N789" s="64"/>
      <c r="O789" s="64"/>
      <c r="P789" s="64"/>
      <c r="Q789" s="64"/>
      <c r="R789" s="64"/>
      <c r="S789" s="64"/>
      <c r="T789" s="64"/>
      <c r="U789" s="78"/>
      <c r="V789" s="64"/>
      <c r="W789" s="79"/>
      <c r="X789" s="64"/>
      <c r="Y789" s="64"/>
      <c r="Z789" s="64"/>
      <c r="AA789" s="64"/>
      <c r="AB789" s="64"/>
      <c r="AC789" s="64"/>
      <c r="AD789" s="64"/>
      <c r="AE789" s="64"/>
    </row>
    <row r="790" spans="1:31" ht="17.25" customHeight="1">
      <c r="A790" s="79"/>
      <c r="B790" s="64"/>
      <c r="C790" s="64"/>
      <c r="D790" s="64"/>
      <c r="E790" s="64"/>
      <c r="F790" s="64"/>
      <c r="G790" s="64"/>
      <c r="H790" s="87"/>
      <c r="I790" s="64"/>
      <c r="J790" s="64"/>
      <c r="K790" s="64"/>
      <c r="L790" s="64"/>
      <c r="M790" s="79"/>
      <c r="N790" s="64"/>
      <c r="O790" s="64"/>
      <c r="P790" s="64"/>
      <c r="Q790" s="64"/>
      <c r="R790" s="64"/>
      <c r="S790" s="64"/>
      <c r="T790" s="64"/>
      <c r="U790" s="78"/>
      <c r="V790" s="64"/>
      <c r="W790" s="79"/>
      <c r="X790" s="64"/>
      <c r="Y790" s="64"/>
      <c r="Z790" s="64"/>
      <c r="AA790" s="64"/>
      <c r="AB790" s="64"/>
      <c r="AC790" s="64"/>
      <c r="AD790" s="64"/>
      <c r="AE790" s="64"/>
    </row>
    <row r="791" spans="1:31" ht="17.25" customHeight="1">
      <c r="A791" s="79"/>
      <c r="B791" s="64"/>
      <c r="C791" s="64"/>
      <c r="D791" s="64"/>
      <c r="E791" s="64"/>
      <c r="F791" s="64"/>
      <c r="G791" s="64"/>
      <c r="H791" s="87"/>
      <c r="I791" s="64"/>
      <c r="J791" s="64"/>
      <c r="K791" s="64"/>
      <c r="L791" s="64"/>
      <c r="M791" s="79"/>
      <c r="N791" s="64"/>
      <c r="O791" s="64"/>
      <c r="P791" s="64"/>
      <c r="Q791" s="64"/>
      <c r="R791" s="64"/>
      <c r="S791" s="64"/>
      <c r="T791" s="64"/>
      <c r="U791" s="78"/>
      <c r="V791" s="64"/>
      <c r="W791" s="79"/>
      <c r="X791" s="64"/>
      <c r="Y791" s="64"/>
      <c r="Z791" s="64"/>
      <c r="AA791" s="64"/>
      <c r="AB791" s="64"/>
      <c r="AC791" s="64"/>
      <c r="AD791" s="64"/>
      <c r="AE791" s="64"/>
    </row>
    <row r="792" spans="1:31" ht="17.25" customHeight="1">
      <c r="A792" s="79"/>
      <c r="B792" s="64"/>
      <c r="C792" s="64"/>
      <c r="D792" s="64"/>
      <c r="E792" s="64"/>
      <c r="F792" s="64"/>
      <c r="G792" s="64"/>
      <c r="H792" s="87"/>
      <c r="I792" s="64"/>
      <c r="J792" s="64"/>
      <c r="K792" s="64"/>
      <c r="L792" s="64"/>
      <c r="M792" s="79"/>
      <c r="N792" s="64"/>
      <c r="O792" s="64"/>
      <c r="P792" s="64"/>
      <c r="Q792" s="64"/>
      <c r="R792" s="64"/>
      <c r="S792" s="64"/>
      <c r="T792" s="64"/>
      <c r="U792" s="78"/>
      <c r="V792" s="64"/>
      <c r="W792" s="79"/>
      <c r="X792" s="64"/>
      <c r="Y792" s="64"/>
      <c r="Z792" s="64"/>
      <c r="AA792" s="64"/>
      <c r="AB792" s="64"/>
      <c r="AC792" s="64"/>
      <c r="AD792" s="64"/>
      <c r="AE792" s="64"/>
    </row>
    <row r="793" spans="1:31" ht="17.25" customHeight="1">
      <c r="A793" s="79"/>
      <c r="B793" s="64"/>
      <c r="C793" s="64"/>
      <c r="D793" s="64"/>
      <c r="E793" s="64"/>
      <c r="F793" s="64"/>
      <c r="G793" s="64"/>
      <c r="H793" s="87"/>
      <c r="I793" s="64"/>
      <c r="J793" s="64"/>
      <c r="K793" s="64"/>
      <c r="L793" s="64"/>
      <c r="M793" s="79"/>
      <c r="N793" s="64"/>
      <c r="O793" s="64"/>
      <c r="P793" s="64"/>
      <c r="Q793" s="64"/>
      <c r="R793" s="64"/>
      <c r="S793" s="64"/>
      <c r="T793" s="64"/>
      <c r="U793" s="78"/>
      <c r="V793" s="64"/>
      <c r="W793" s="79"/>
      <c r="X793" s="64"/>
      <c r="Y793" s="64"/>
      <c r="Z793" s="64"/>
      <c r="AA793" s="64"/>
      <c r="AB793" s="64"/>
      <c r="AC793" s="64"/>
      <c r="AD793" s="64"/>
      <c r="AE793" s="64"/>
    </row>
    <row r="794" spans="1:31" ht="17.25" customHeight="1">
      <c r="A794" s="79"/>
      <c r="B794" s="64"/>
      <c r="C794" s="64"/>
      <c r="D794" s="64"/>
      <c r="E794" s="64"/>
      <c r="F794" s="64"/>
      <c r="G794" s="64"/>
      <c r="H794" s="87"/>
      <c r="I794" s="64"/>
      <c r="J794" s="64"/>
      <c r="K794" s="64"/>
      <c r="L794" s="64"/>
      <c r="M794" s="79"/>
      <c r="N794" s="64"/>
      <c r="O794" s="64"/>
      <c r="P794" s="64"/>
      <c r="Q794" s="64"/>
      <c r="R794" s="64"/>
      <c r="S794" s="64"/>
      <c r="T794" s="64"/>
      <c r="U794" s="78"/>
      <c r="V794" s="64"/>
      <c r="W794" s="79"/>
      <c r="X794" s="64"/>
      <c r="Y794" s="64"/>
      <c r="Z794" s="64"/>
      <c r="AA794" s="64"/>
      <c r="AB794" s="64"/>
      <c r="AC794" s="64"/>
      <c r="AD794" s="64"/>
      <c r="AE794" s="64"/>
    </row>
    <row r="795" spans="1:31" ht="17.25" customHeight="1">
      <c r="A795" s="79"/>
      <c r="B795" s="64"/>
      <c r="C795" s="64"/>
      <c r="D795" s="64"/>
      <c r="E795" s="64"/>
      <c r="F795" s="64"/>
      <c r="G795" s="64"/>
      <c r="H795" s="87"/>
      <c r="I795" s="64"/>
      <c r="J795" s="64"/>
      <c r="K795" s="64"/>
      <c r="L795" s="64"/>
      <c r="M795" s="79"/>
      <c r="N795" s="64"/>
      <c r="O795" s="64"/>
      <c r="P795" s="64"/>
      <c r="Q795" s="64"/>
      <c r="R795" s="64"/>
      <c r="S795" s="64"/>
      <c r="T795" s="64"/>
      <c r="U795" s="78"/>
      <c r="V795" s="64"/>
      <c r="W795" s="79"/>
      <c r="X795" s="64"/>
      <c r="Y795" s="64"/>
      <c r="Z795" s="64"/>
      <c r="AA795" s="64"/>
      <c r="AB795" s="64"/>
      <c r="AC795" s="64"/>
      <c r="AD795" s="64"/>
      <c r="AE795" s="64"/>
    </row>
    <row r="796" spans="1:31" ht="17.25" customHeight="1">
      <c r="A796" s="79"/>
      <c r="B796" s="64"/>
      <c r="C796" s="64"/>
      <c r="D796" s="64"/>
      <c r="E796" s="64"/>
      <c r="F796" s="64"/>
      <c r="G796" s="64"/>
      <c r="H796" s="87"/>
      <c r="I796" s="64"/>
      <c r="J796" s="64"/>
      <c r="K796" s="64"/>
      <c r="L796" s="64"/>
      <c r="M796" s="79"/>
      <c r="N796" s="64"/>
      <c r="O796" s="64"/>
      <c r="P796" s="64"/>
      <c r="Q796" s="64"/>
      <c r="R796" s="64"/>
      <c r="S796" s="64"/>
      <c r="T796" s="64"/>
      <c r="U796" s="78"/>
      <c r="V796" s="64"/>
      <c r="W796" s="79"/>
      <c r="X796" s="64"/>
      <c r="Y796" s="64"/>
      <c r="Z796" s="64"/>
      <c r="AA796" s="64"/>
      <c r="AB796" s="64"/>
      <c r="AC796" s="64"/>
      <c r="AD796" s="64"/>
      <c r="AE796" s="64"/>
    </row>
    <row r="797" spans="1:31" ht="17.25" customHeight="1">
      <c r="A797" s="79"/>
      <c r="B797" s="64"/>
      <c r="C797" s="64"/>
      <c r="D797" s="64"/>
      <c r="E797" s="64"/>
      <c r="F797" s="64"/>
      <c r="G797" s="64"/>
      <c r="H797" s="87"/>
      <c r="I797" s="64"/>
      <c r="J797" s="64"/>
      <c r="K797" s="64"/>
      <c r="L797" s="64"/>
      <c r="M797" s="79"/>
      <c r="N797" s="64"/>
      <c r="O797" s="64"/>
      <c r="P797" s="64"/>
      <c r="Q797" s="64"/>
      <c r="R797" s="64"/>
      <c r="S797" s="64"/>
      <c r="T797" s="64"/>
      <c r="U797" s="78"/>
      <c r="V797" s="64"/>
      <c r="W797" s="79"/>
      <c r="X797" s="64"/>
      <c r="Y797" s="64"/>
      <c r="Z797" s="64"/>
      <c r="AA797" s="64"/>
      <c r="AB797" s="64"/>
      <c r="AC797" s="64"/>
      <c r="AD797" s="64"/>
      <c r="AE797" s="64"/>
    </row>
    <row r="798" spans="1:31" ht="17.25" customHeight="1">
      <c r="A798" s="79"/>
      <c r="B798" s="64"/>
      <c r="C798" s="64"/>
      <c r="D798" s="64"/>
      <c r="E798" s="64"/>
      <c r="F798" s="64"/>
      <c r="G798" s="64"/>
      <c r="H798" s="87"/>
      <c r="I798" s="64"/>
      <c r="J798" s="64"/>
      <c r="K798" s="64"/>
      <c r="L798" s="64"/>
      <c r="M798" s="79"/>
      <c r="N798" s="64"/>
      <c r="O798" s="64"/>
      <c r="P798" s="64"/>
      <c r="Q798" s="64"/>
      <c r="R798" s="64"/>
      <c r="S798" s="64"/>
      <c r="T798" s="64"/>
      <c r="U798" s="78"/>
      <c r="V798" s="64"/>
      <c r="W798" s="79"/>
      <c r="X798" s="64"/>
      <c r="Y798" s="64"/>
      <c r="Z798" s="64"/>
      <c r="AA798" s="64"/>
      <c r="AB798" s="64"/>
      <c r="AC798" s="64"/>
      <c r="AD798" s="64"/>
      <c r="AE798" s="64"/>
    </row>
    <row r="799" spans="1:31" ht="17.25" customHeight="1">
      <c r="A799" s="79"/>
      <c r="B799" s="64"/>
      <c r="C799" s="64"/>
      <c r="D799" s="64"/>
      <c r="E799" s="64"/>
      <c r="F799" s="64"/>
      <c r="G799" s="64"/>
      <c r="H799" s="87"/>
      <c r="I799" s="64"/>
      <c r="J799" s="64"/>
      <c r="K799" s="64"/>
      <c r="L799" s="64"/>
      <c r="M799" s="79"/>
      <c r="N799" s="64"/>
      <c r="O799" s="64"/>
      <c r="P799" s="64"/>
      <c r="Q799" s="64"/>
      <c r="R799" s="64"/>
      <c r="S799" s="64"/>
      <c r="T799" s="64"/>
      <c r="U799" s="78"/>
      <c r="V799" s="64"/>
      <c r="W799" s="79"/>
      <c r="X799" s="64"/>
      <c r="Y799" s="64"/>
      <c r="Z799" s="64"/>
      <c r="AA799" s="64"/>
      <c r="AB799" s="64"/>
      <c r="AC799" s="64"/>
      <c r="AD799" s="64"/>
      <c r="AE799" s="64"/>
    </row>
    <row r="800" spans="1:31" ht="17.25" customHeight="1">
      <c r="A800" s="79"/>
      <c r="B800" s="64"/>
      <c r="C800" s="64"/>
      <c r="D800" s="64"/>
      <c r="E800" s="64"/>
      <c r="F800" s="64"/>
      <c r="G800" s="64"/>
      <c r="H800" s="87"/>
      <c r="I800" s="64"/>
      <c r="J800" s="64"/>
      <c r="K800" s="64"/>
      <c r="L800" s="64"/>
      <c r="M800" s="79"/>
      <c r="N800" s="64"/>
      <c r="O800" s="64"/>
      <c r="P800" s="64"/>
      <c r="Q800" s="64"/>
      <c r="R800" s="64"/>
      <c r="S800" s="64"/>
      <c r="T800" s="64"/>
      <c r="U800" s="78"/>
      <c r="V800" s="64"/>
      <c r="W800" s="79"/>
      <c r="X800" s="64"/>
      <c r="Y800" s="64"/>
      <c r="Z800" s="64"/>
      <c r="AA800" s="64"/>
      <c r="AB800" s="64"/>
      <c r="AC800" s="64"/>
      <c r="AD800" s="64"/>
      <c r="AE800" s="64"/>
    </row>
    <row r="801" spans="1:31" ht="17.25" customHeight="1">
      <c r="A801" s="79"/>
      <c r="B801" s="64"/>
      <c r="C801" s="64"/>
      <c r="D801" s="64"/>
      <c r="E801" s="64"/>
      <c r="F801" s="64"/>
      <c r="G801" s="64"/>
      <c r="H801" s="87"/>
      <c r="I801" s="64"/>
      <c r="J801" s="64"/>
      <c r="K801" s="64"/>
      <c r="L801" s="64"/>
      <c r="M801" s="79"/>
      <c r="N801" s="64"/>
      <c r="O801" s="64"/>
      <c r="P801" s="64"/>
      <c r="Q801" s="64"/>
      <c r="R801" s="64"/>
      <c r="S801" s="64"/>
      <c r="T801" s="64"/>
      <c r="U801" s="78"/>
      <c r="V801" s="64"/>
      <c r="W801" s="79"/>
      <c r="X801" s="64"/>
      <c r="Y801" s="64"/>
      <c r="Z801" s="64"/>
      <c r="AA801" s="64"/>
      <c r="AB801" s="64"/>
      <c r="AC801" s="64"/>
      <c r="AD801" s="64"/>
      <c r="AE801" s="64"/>
    </row>
    <row r="802" spans="1:31" ht="17.25" customHeight="1">
      <c r="A802" s="79"/>
      <c r="B802" s="64"/>
      <c r="C802" s="64"/>
      <c r="D802" s="64"/>
      <c r="E802" s="64"/>
      <c r="F802" s="64"/>
      <c r="G802" s="64"/>
      <c r="H802" s="87"/>
      <c r="I802" s="64"/>
      <c r="J802" s="64"/>
      <c r="K802" s="64"/>
      <c r="L802" s="64"/>
      <c r="M802" s="79"/>
      <c r="N802" s="64"/>
      <c r="O802" s="64"/>
      <c r="P802" s="64"/>
      <c r="Q802" s="64"/>
      <c r="R802" s="64"/>
      <c r="S802" s="64"/>
      <c r="T802" s="64"/>
      <c r="U802" s="78"/>
      <c r="V802" s="64"/>
      <c r="W802" s="79"/>
      <c r="X802" s="64"/>
      <c r="Y802" s="64"/>
      <c r="Z802" s="64"/>
      <c r="AA802" s="64"/>
      <c r="AB802" s="64"/>
      <c r="AC802" s="64"/>
      <c r="AD802" s="64"/>
      <c r="AE802" s="64"/>
    </row>
    <row r="803" spans="1:31" ht="17.25" customHeight="1">
      <c r="A803" s="79"/>
      <c r="B803" s="64"/>
      <c r="C803" s="64"/>
      <c r="D803" s="64"/>
      <c r="E803" s="64"/>
      <c r="F803" s="64"/>
      <c r="G803" s="64"/>
      <c r="H803" s="87"/>
      <c r="I803" s="64"/>
      <c r="J803" s="64"/>
      <c r="K803" s="64"/>
      <c r="L803" s="64"/>
      <c r="M803" s="79"/>
      <c r="N803" s="64"/>
      <c r="O803" s="64"/>
      <c r="P803" s="64"/>
      <c r="Q803" s="64"/>
      <c r="R803" s="64"/>
      <c r="S803" s="64"/>
      <c r="T803" s="64"/>
      <c r="U803" s="78"/>
      <c r="V803" s="64"/>
      <c r="W803" s="79"/>
      <c r="X803" s="64"/>
      <c r="Y803" s="64"/>
      <c r="Z803" s="64"/>
      <c r="AA803" s="64"/>
      <c r="AB803" s="64"/>
      <c r="AC803" s="64"/>
      <c r="AD803" s="64"/>
      <c r="AE803" s="64"/>
    </row>
    <row r="804" spans="1:31" ht="17.25" customHeight="1">
      <c r="A804" s="79"/>
      <c r="B804" s="64"/>
      <c r="C804" s="64"/>
      <c r="D804" s="64"/>
      <c r="E804" s="64"/>
      <c r="F804" s="64"/>
      <c r="G804" s="64"/>
      <c r="H804" s="87"/>
      <c r="I804" s="64"/>
      <c r="J804" s="64"/>
      <c r="K804" s="64"/>
      <c r="L804" s="64"/>
      <c r="M804" s="79"/>
      <c r="N804" s="64"/>
      <c r="O804" s="64"/>
      <c r="P804" s="64"/>
      <c r="Q804" s="64"/>
      <c r="R804" s="64"/>
      <c r="S804" s="64"/>
      <c r="T804" s="64"/>
      <c r="U804" s="78"/>
      <c r="V804" s="64"/>
      <c r="W804" s="79"/>
      <c r="X804" s="64"/>
      <c r="Y804" s="64"/>
      <c r="Z804" s="64"/>
      <c r="AA804" s="64"/>
      <c r="AB804" s="64"/>
      <c r="AC804" s="64"/>
      <c r="AD804" s="64"/>
      <c r="AE804" s="64"/>
    </row>
    <row r="805" spans="1:31" ht="17.25" customHeight="1">
      <c r="A805" s="79"/>
      <c r="B805" s="64"/>
      <c r="C805" s="64"/>
      <c r="D805" s="64"/>
      <c r="E805" s="64"/>
      <c r="F805" s="64"/>
      <c r="G805" s="64"/>
      <c r="H805" s="87"/>
      <c r="I805" s="64"/>
      <c r="J805" s="64"/>
      <c r="K805" s="64"/>
      <c r="L805" s="64"/>
      <c r="M805" s="79"/>
      <c r="N805" s="64"/>
      <c r="O805" s="64"/>
      <c r="P805" s="64"/>
      <c r="Q805" s="64"/>
      <c r="R805" s="64"/>
      <c r="S805" s="64"/>
      <c r="T805" s="64"/>
      <c r="U805" s="78"/>
      <c r="V805" s="64"/>
      <c r="W805" s="79"/>
      <c r="X805" s="64"/>
      <c r="Y805" s="64"/>
      <c r="Z805" s="64"/>
      <c r="AA805" s="64"/>
      <c r="AB805" s="64"/>
      <c r="AC805" s="64"/>
      <c r="AD805" s="64"/>
      <c r="AE805" s="64"/>
    </row>
    <row r="806" spans="1:31" ht="17.25" customHeight="1">
      <c r="A806" s="79"/>
      <c r="B806" s="64"/>
      <c r="C806" s="64"/>
      <c r="D806" s="64"/>
      <c r="E806" s="64"/>
      <c r="F806" s="64"/>
      <c r="G806" s="64"/>
      <c r="H806" s="87"/>
      <c r="I806" s="64"/>
      <c r="J806" s="64"/>
      <c r="K806" s="64"/>
      <c r="L806" s="64"/>
      <c r="M806" s="79"/>
      <c r="N806" s="64"/>
      <c r="O806" s="64"/>
      <c r="P806" s="64"/>
      <c r="Q806" s="64"/>
      <c r="R806" s="64"/>
      <c r="S806" s="64"/>
      <c r="T806" s="64"/>
      <c r="U806" s="78"/>
      <c r="V806" s="64"/>
      <c r="W806" s="79"/>
      <c r="X806" s="64"/>
      <c r="Y806" s="64"/>
      <c r="Z806" s="64"/>
      <c r="AA806" s="64"/>
      <c r="AB806" s="64"/>
      <c r="AC806" s="64"/>
      <c r="AD806" s="64"/>
      <c r="AE806" s="64"/>
    </row>
    <row r="807" spans="1:31" ht="17.25" customHeight="1">
      <c r="A807" s="79"/>
      <c r="B807" s="64"/>
      <c r="C807" s="64"/>
      <c r="D807" s="64"/>
      <c r="E807" s="64"/>
      <c r="F807" s="64"/>
      <c r="G807" s="64"/>
      <c r="H807" s="87"/>
      <c r="I807" s="64"/>
      <c r="J807" s="64"/>
      <c r="K807" s="64"/>
      <c r="L807" s="64"/>
      <c r="M807" s="79"/>
      <c r="N807" s="64"/>
      <c r="O807" s="64"/>
      <c r="P807" s="64"/>
      <c r="Q807" s="64"/>
      <c r="R807" s="64"/>
      <c r="S807" s="64"/>
      <c r="T807" s="64"/>
      <c r="U807" s="78"/>
      <c r="V807" s="64"/>
      <c r="W807" s="79"/>
      <c r="X807" s="64"/>
      <c r="Y807" s="64"/>
      <c r="Z807" s="64"/>
      <c r="AA807" s="64"/>
      <c r="AB807" s="64"/>
      <c r="AC807" s="64"/>
      <c r="AD807" s="64"/>
      <c r="AE807" s="64"/>
    </row>
    <row r="808" spans="1:31" ht="17.25" customHeight="1">
      <c r="A808" s="79"/>
      <c r="B808" s="64"/>
      <c r="C808" s="64"/>
      <c r="D808" s="64"/>
      <c r="E808" s="64"/>
      <c r="F808" s="64"/>
      <c r="G808" s="64"/>
      <c r="H808" s="87"/>
      <c r="I808" s="64"/>
      <c r="J808" s="64"/>
      <c r="K808" s="64"/>
      <c r="L808" s="64"/>
      <c r="M808" s="79"/>
      <c r="N808" s="64"/>
      <c r="O808" s="64"/>
      <c r="P808" s="64"/>
      <c r="Q808" s="64"/>
      <c r="R808" s="64"/>
      <c r="S808" s="64"/>
      <c r="T808" s="64"/>
      <c r="U808" s="78"/>
      <c r="V808" s="64"/>
      <c r="W808" s="79"/>
      <c r="X808" s="64"/>
      <c r="Y808" s="64"/>
      <c r="Z808" s="64"/>
      <c r="AA808" s="64"/>
      <c r="AB808" s="64"/>
      <c r="AC808" s="64"/>
      <c r="AD808" s="64"/>
      <c r="AE808" s="64"/>
    </row>
    <row r="809" spans="1:31" ht="17.25" customHeight="1">
      <c r="A809" s="79"/>
      <c r="B809" s="64"/>
      <c r="C809" s="64"/>
      <c r="D809" s="64"/>
      <c r="E809" s="64"/>
      <c r="F809" s="64"/>
      <c r="G809" s="64"/>
      <c r="H809" s="87"/>
      <c r="I809" s="64"/>
      <c r="J809" s="64"/>
      <c r="K809" s="64"/>
      <c r="L809" s="64"/>
      <c r="M809" s="79"/>
      <c r="N809" s="64"/>
      <c r="O809" s="64"/>
      <c r="P809" s="64"/>
      <c r="Q809" s="64"/>
      <c r="R809" s="64"/>
      <c r="S809" s="64"/>
      <c r="T809" s="64"/>
      <c r="U809" s="78"/>
      <c r="V809" s="64"/>
      <c r="W809" s="79"/>
      <c r="X809" s="64"/>
      <c r="Y809" s="64"/>
      <c r="Z809" s="64"/>
      <c r="AA809" s="64"/>
      <c r="AB809" s="64"/>
      <c r="AC809" s="64"/>
      <c r="AD809" s="64"/>
      <c r="AE809" s="64"/>
    </row>
    <row r="810" spans="1:31" ht="17.25" customHeight="1">
      <c r="A810" s="79"/>
      <c r="B810" s="64"/>
      <c r="C810" s="64"/>
      <c r="D810" s="64"/>
      <c r="E810" s="64"/>
      <c r="F810" s="64"/>
      <c r="G810" s="64"/>
      <c r="H810" s="87"/>
      <c r="I810" s="64"/>
      <c r="J810" s="64"/>
      <c r="K810" s="64"/>
      <c r="L810" s="64"/>
      <c r="M810" s="79"/>
      <c r="N810" s="64"/>
      <c r="O810" s="64"/>
      <c r="P810" s="64"/>
      <c r="Q810" s="64"/>
      <c r="R810" s="64"/>
      <c r="S810" s="64"/>
      <c r="T810" s="64"/>
      <c r="U810" s="78"/>
      <c r="V810" s="64"/>
      <c r="W810" s="79"/>
      <c r="X810" s="64"/>
      <c r="Y810" s="64"/>
      <c r="Z810" s="64"/>
      <c r="AA810" s="64"/>
      <c r="AB810" s="64"/>
      <c r="AC810" s="64"/>
      <c r="AD810" s="64"/>
      <c r="AE810" s="64"/>
    </row>
    <row r="811" spans="1:31" ht="17.25" customHeight="1">
      <c r="A811" s="79"/>
      <c r="B811" s="64"/>
      <c r="C811" s="64"/>
      <c r="D811" s="64"/>
      <c r="E811" s="64"/>
      <c r="F811" s="64"/>
      <c r="G811" s="64"/>
      <c r="H811" s="87"/>
      <c r="I811" s="64"/>
      <c r="J811" s="64"/>
      <c r="K811" s="64"/>
      <c r="L811" s="64"/>
      <c r="M811" s="79"/>
      <c r="N811" s="64"/>
      <c r="O811" s="64"/>
      <c r="P811" s="64"/>
      <c r="Q811" s="64"/>
      <c r="R811" s="64"/>
      <c r="S811" s="64"/>
      <c r="T811" s="64"/>
      <c r="U811" s="78"/>
      <c r="V811" s="64"/>
      <c r="W811" s="79"/>
      <c r="X811" s="64"/>
      <c r="Y811" s="64"/>
      <c r="Z811" s="64"/>
      <c r="AA811" s="64"/>
      <c r="AB811" s="64"/>
      <c r="AC811" s="64"/>
      <c r="AD811" s="64"/>
      <c r="AE811" s="64"/>
    </row>
    <row r="812" spans="1:31" ht="17.25" customHeight="1">
      <c r="A812" s="79"/>
      <c r="B812" s="64"/>
      <c r="C812" s="64"/>
      <c r="D812" s="64"/>
      <c r="E812" s="64"/>
      <c r="F812" s="64"/>
      <c r="G812" s="64"/>
      <c r="H812" s="87"/>
      <c r="I812" s="64"/>
      <c r="J812" s="64"/>
      <c r="K812" s="64"/>
      <c r="L812" s="64"/>
      <c r="M812" s="79"/>
      <c r="N812" s="64"/>
      <c r="O812" s="64"/>
      <c r="P812" s="64"/>
      <c r="Q812" s="64"/>
      <c r="R812" s="64"/>
      <c r="S812" s="64"/>
      <c r="T812" s="64"/>
      <c r="U812" s="78"/>
      <c r="V812" s="64"/>
      <c r="W812" s="79"/>
      <c r="X812" s="64"/>
      <c r="Y812" s="64"/>
      <c r="Z812" s="64"/>
      <c r="AA812" s="64"/>
      <c r="AB812" s="64"/>
      <c r="AC812" s="64"/>
      <c r="AD812" s="64"/>
      <c r="AE812" s="64"/>
    </row>
    <row r="813" spans="1:31" ht="17.25" customHeight="1">
      <c r="A813" s="79"/>
      <c r="B813" s="64"/>
      <c r="C813" s="64"/>
      <c r="D813" s="64"/>
      <c r="E813" s="64"/>
      <c r="F813" s="64"/>
      <c r="G813" s="64"/>
      <c r="H813" s="87"/>
      <c r="I813" s="64"/>
      <c r="J813" s="64"/>
      <c r="K813" s="64"/>
      <c r="L813" s="64"/>
      <c r="M813" s="79"/>
      <c r="N813" s="64"/>
      <c r="O813" s="64"/>
      <c r="P813" s="64"/>
      <c r="Q813" s="64"/>
      <c r="R813" s="64"/>
      <c r="S813" s="64"/>
      <c r="T813" s="64"/>
      <c r="U813" s="78"/>
      <c r="V813" s="64"/>
      <c r="W813" s="79"/>
      <c r="X813" s="64"/>
      <c r="Y813" s="64"/>
      <c r="Z813" s="64"/>
      <c r="AA813" s="64"/>
      <c r="AB813" s="64"/>
      <c r="AC813" s="64"/>
      <c r="AD813" s="64"/>
      <c r="AE813" s="64"/>
    </row>
    <row r="814" spans="1:31" ht="17.25" customHeight="1">
      <c r="A814" s="79"/>
      <c r="B814" s="64"/>
      <c r="C814" s="64"/>
      <c r="D814" s="64"/>
      <c r="E814" s="64"/>
      <c r="F814" s="64"/>
      <c r="G814" s="64"/>
      <c r="H814" s="87"/>
      <c r="I814" s="64"/>
      <c r="J814" s="64"/>
      <c r="K814" s="64"/>
      <c r="L814" s="64"/>
      <c r="M814" s="79"/>
      <c r="N814" s="64"/>
      <c r="O814" s="64"/>
      <c r="P814" s="64"/>
      <c r="Q814" s="64"/>
      <c r="R814" s="64"/>
      <c r="S814" s="64"/>
      <c r="T814" s="64"/>
      <c r="U814" s="78"/>
      <c r="V814" s="64"/>
      <c r="W814" s="79"/>
      <c r="X814" s="64"/>
      <c r="Y814" s="64"/>
      <c r="Z814" s="64"/>
      <c r="AA814" s="64"/>
      <c r="AB814" s="64"/>
      <c r="AC814" s="64"/>
      <c r="AD814" s="64"/>
      <c r="AE814" s="64"/>
    </row>
    <row r="815" spans="1:31" ht="17.25" customHeight="1">
      <c r="A815" s="79"/>
      <c r="B815" s="64"/>
      <c r="C815" s="64"/>
      <c r="D815" s="64"/>
      <c r="E815" s="64"/>
      <c r="F815" s="64"/>
      <c r="G815" s="64"/>
      <c r="H815" s="87"/>
      <c r="I815" s="64"/>
      <c r="J815" s="64"/>
      <c r="K815" s="64"/>
      <c r="L815" s="64"/>
      <c r="M815" s="79"/>
      <c r="N815" s="64"/>
      <c r="O815" s="64"/>
      <c r="P815" s="64"/>
      <c r="Q815" s="64"/>
      <c r="R815" s="64"/>
      <c r="S815" s="64"/>
      <c r="T815" s="64"/>
      <c r="U815" s="78"/>
      <c r="V815" s="64"/>
      <c r="W815" s="79"/>
      <c r="X815" s="64"/>
      <c r="Y815" s="64"/>
      <c r="Z815" s="64"/>
      <c r="AA815" s="64"/>
      <c r="AB815" s="64"/>
      <c r="AC815" s="64"/>
      <c r="AD815" s="64"/>
      <c r="AE815" s="64"/>
    </row>
    <row r="816" spans="1:31" ht="17.25" customHeight="1">
      <c r="A816" s="79"/>
      <c r="B816" s="64"/>
      <c r="C816" s="64"/>
      <c r="D816" s="64"/>
      <c r="E816" s="64"/>
      <c r="F816" s="64"/>
      <c r="G816" s="64"/>
      <c r="H816" s="87"/>
      <c r="I816" s="64"/>
      <c r="J816" s="64"/>
      <c r="K816" s="64"/>
      <c r="L816" s="64"/>
      <c r="M816" s="79"/>
      <c r="N816" s="64"/>
      <c r="O816" s="64"/>
      <c r="P816" s="64"/>
      <c r="Q816" s="64"/>
      <c r="R816" s="64"/>
      <c r="S816" s="64"/>
      <c r="T816" s="64"/>
      <c r="U816" s="78"/>
      <c r="V816" s="64"/>
      <c r="W816" s="79"/>
      <c r="X816" s="64"/>
      <c r="Y816" s="64"/>
      <c r="Z816" s="64"/>
      <c r="AA816" s="64"/>
      <c r="AB816" s="64"/>
      <c r="AC816" s="64"/>
      <c r="AD816" s="64"/>
      <c r="AE816" s="64"/>
    </row>
    <row r="817" spans="1:31" ht="17.25" customHeight="1">
      <c r="A817" s="79"/>
      <c r="B817" s="64"/>
      <c r="C817" s="64"/>
      <c r="D817" s="64"/>
      <c r="E817" s="64"/>
      <c r="F817" s="64"/>
      <c r="G817" s="64"/>
      <c r="H817" s="87"/>
      <c r="I817" s="64"/>
      <c r="J817" s="64"/>
      <c r="K817" s="64"/>
      <c r="L817" s="64"/>
      <c r="M817" s="79"/>
      <c r="N817" s="64"/>
      <c r="O817" s="64"/>
      <c r="P817" s="64"/>
      <c r="Q817" s="64"/>
      <c r="R817" s="64"/>
      <c r="S817" s="64"/>
      <c r="T817" s="64"/>
      <c r="U817" s="78"/>
      <c r="V817" s="64"/>
      <c r="W817" s="79"/>
      <c r="X817" s="64"/>
      <c r="Y817" s="64"/>
      <c r="Z817" s="64"/>
      <c r="AA817" s="64"/>
      <c r="AB817" s="64"/>
      <c r="AC817" s="64"/>
      <c r="AD817" s="64"/>
      <c r="AE817" s="64"/>
    </row>
    <row r="818" spans="1:31" ht="17.25" customHeight="1">
      <c r="A818" s="79"/>
      <c r="B818" s="64"/>
      <c r="C818" s="64"/>
      <c r="D818" s="64"/>
      <c r="E818" s="64"/>
      <c r="F818" s="64"/>
      <c r="G818" s="64"/>
      <c r="H818" s="87"/>
      <c r="I818" s="64"/>
      <c r="J818" s="64"/>
      <c r="K818" s="64"/>
      <c r="L818" s="64"/>
      <c r="M818" s="79"/>
      <c r="N818" s="64"/>
      <c r="O818" s="64"/>
      <c r="P818" s="64"/>
      <c r="Q818" s="64"/>
      <c r="R818" s="64"/>
      <c r="S818" s="64"/>
      <c r="T818" s="64"/>
      <c r="U818" s="78"/>
      <c r="V818" s="64"/>
      <c r="W818" s="79"/>
      <c r="X818" s="64"/>
      <c r="Y818" s="64"/>
      <c r="Z818" s="64"/>
      <c r="AA818" s="64"/>
      <c r="AB818" s="64"/>
      <c r="AC818" s="64"/>
      <c r="AD818" s="64"/>
      <c r="AE818" s="64"/>
    </row>
    <row r="819" spans="1:31" ht="17.25" customHeight="1">
      <c r="A819" s="79"/>
      <c r="B819" s="64"/>
      <c r="C819" s="64"/>
      <c r="D819" s="64"/>
      <c r="E819" s="64"/>
      <c r="F819" s="64"/>
      <c r="G819" s="64"/>
      <c r="H819" s="87"/>
      <c r="I819" s="64"/>
      <c r="J819" s="64"/>
      <c r="K819" s="64"/>
      <c r="L819" s="64"/>
      <c r="M819" s="79"/>
      <c r="N819" s="64"/>
      <c r="O819" s="64"/>
      <c r="P819" s="64"/>
      <c r="Q819" s="64"/>
      <c r="R819" s="64"/>
      <c r="S819" s="64"/>
      <c r="T819" s="64"/>
      <c r="U819" s="78"/>
      <c r="V819" s="64"/>
      <c r="W819" s="79"/>
      <c r="X819" s="64"/>
      <c r="Y819" s="64"/>
      <c r="Z819" s="64"/>
      <c r="AA819" s="64"/>
      <c r="AB819" s="64"/>
      <c r="AC819" s="64"/>
      <c r="AD819" s="64"/>
      <c r="AE819" s="64"/>
    </row>
    <row r="820" spans="1:31" ht="17.25" customHeight="1">
      <c r="A820" s="79"/>
      <c r="B820" s="64"/>
      <c r="C820" s="64"/>
      <c r="D820" s="64"/>
      <c r="E820" s="64"/>
      <c r="F820" s="64"/>
      <c r="G820" s="64"/>
      <c r="H820" s="87"/>
      <c r="I820" s="64"/>
      <c r="J820" s="64"/>
      <c r="K820" s="64"/>
      <c r="L820" s="64"/>
      <c r="M820" s="79"/>
      <c r="N820" s="64"/>
      <c r="O820" s="64"/>
      <c r="P820" s="64"/>
      <c r="Q820" s="64"/>
      <c r="R820" s="64"/>
      <c r="S820" s="64"/>
      <c r="T820" s="64"/>
      <c r="U820" s="78"/>
      <c r="V820" s="64"/>
      <c r="W820" s="79"/>
      <c r="X820" s="64"/>
      <c r="Y820" s="64"/>
      <c r="Z820" s="64"/>
      <c r="AA820" s="64"/>
      <c r="AB820" s="64"/>
      <c r="AC820" s="64"/>
      <c r="AD820" s="64"/>
      <c r="AE820" s="64"/>
    </row>
    <row r="821" spans="1:31" ht="17.25" customHeight="1">
      <c r="A821" s="79"/>
      <c r="B821" s="64"/>
      <c r="C821" s="64"/>
      <c r="D821" s="64"/>
      <c r="E821" s="64"/>
      <c r="F821" s="64"/>
      <c r="G821" s="64"/>
      <c r="H821" s="87"/>
      <c r="I821" s="64"/>
      <c r="J821" s="64"/>
      <c r="K821" s="64"/>
      <c r="L821" s="64"/>
      <c r="M821" s="79"/>
      <c r="N821" s="64"/>
      <c r="O821" s="64"/>
      <c r="P821" s="64"/>
      <c r="Q821" s="64"/>
      <c r="R821" s="64"/>
      <c r="S821" s="64"/>
      <c r="T821" s="64"/>
      <c r="U821" s="78"/>
      <c r="V821" s="64"/>
      <c r="W821" s="79"/>
      <c r="X821" s="64"/>
      <c r="Y821" s="64"/>
      <c r="Z821" s="64"/>
      <c r="AA821" s="64"/>
      <c r="AB821" s="64"/>
      <c r="AC821" s="64"/>
      <c r="AD821" s="64"/>
      <c r="AE821" s="64"/>
    </row>
    <row r="822" spans="1:31" ht="17.25" customHeight="1">
      <c r="A822" s="79"/>
      <c r="B822" s="64"/>
      <c r="C822" s="64"/>
      <c r="D822" s="64"/>
      <c r="E822" s="64"/>
      <c r="F822" s="64"/>
      <c r="G822" s="64"/>
      <c r="H822" s="87"/>
      <c r="I822" s="64"/>
      <c r="J822" s="64"/>
      <c r="K822" s="64"/>
      <c r="L822" s="64"/>
      <c r="M822" s="79"/>
      <c r="N822" s="64"/>
      <c r="O822" s="64"/>
      <c r="P822" s="64"/>
      <c r="Q822" s="64"/>
      <c r="R822" s="64"/>
      <c r="S822" s="64"/>
      <c r="T822" s="64"/>
      <c r="U822" s="78"/>
      <c r="V822" s="64"/>
      <c r="W822" s="79"/>
      <c r="X822" s="64"/>
      <c r="Y822" s="64"/>
      <c r="Z822" s="64"/>
      <c r="AA822" s="64"/>
      <c r="AB822" s="64"/>
      <c r="AC822" s="64"/>
      <c r="AD822" s="64"/>
      <c r="AE822" s="64"/>
    </row>
    <row r="823" spans="1:31" ht="17.25" customHeight="1">
      <c r="A823" s="79"/>
      <c r="B823" s="64"/>
      <c r="C823" s="64"/>
      <c r="D823" s="64"/>
      <c r="E823" s="64"/>
      <c r="F823" s="64"/>
      <c r="G823" s="64"/>
      <c r="H823" s="87"/>
      <c r="I823" s="64"/>
      <c r="J823" s="64"/>
      <c r="K823" s="64"/>
      <c r="L823" s="64"/>
      <c r="M823" s="79"/>
      <c r="N823" s="64"/>
      <c r="O823" s="64"/>
      <c r="P823" s="64"/>
      <c r="Q823" s="64"/>
      <c r="R823" s="64"/>
      <c r="S823" s="64"/>
      <c r="T823" s="64"/>
      <c r="U823" s="78"/>
      <c r="V823" s="64"/>
      <c r="W823" s="79"/>
      <c r="X823" s="64"/>
      <c r="Y823" s="64"/>
      <c r="Z823" s="64"/>
      <c r="AA823" s="64"/>
      <c r="AB823" s="64"/>
      <c r="AC823" s="64"/>
      <c r="AD823" s="64"/>
      <c r="AE823" s="64"/>
    </row>
    <row r="824" spans="1:31" ht="17.25" customHeight="1">
      <c r="A824" s="79"/>
      <c r="B824" s="64"/>
      <c r="C824" s="64"/>
      <c r="D824" s="64"/>
      <c r="E824" s="64"/>
      <c r="F824" s="64"/>
      <c r="G824" s="64"/>
      <c r="H824" s="87"/>
      <c r="I824" s="64"/>
      <c r="J824" s="64"/>
      <c r="K824" s="64"/>
      <c r="L824" s="64"/>
      <c r="M824" s="79"/>
      <c r="N824" s="64"/>
      <c r="O824" s="64"/>
      <c r="P824" s="64"/>
      <c r="Q824" s="64"/>
      <c r="R824" s="64"/>
      <c r="S824" s="64"/>
      <c r="T824" s="64"/>
      <c r="U824" s="78"/>
      <c r="V824" s="64"/>
      <c r="W824" s="79"/>
      <c r="X824" s="64"/>
      <c r="Y824" s="64"/>
      <c r="Z824" s="64"/>
      <c r="AA824" s="64"/>
      <c r="AB824" s="64"/>
      <c r="AC824" s="64"/>
      <c r="AD824" s="64"/>
      <c r="AE824" s="64"/>
    </row>
    <row r="825" spans="1:31" ht="17.25" customHeight="1">
      <c r="A825" s="79"/>
      <c r="B825" s="64"/>
      <c r="C825" s="64"/>
      <c r="D825" s="64"/>
      <c r="E825" s="64"/>
      <c r="F825" s="64"/>
      <c r="G825" s="64"/>
      <c r="H825" s="87"/>
      <c r="I825" s="64"/>
      <c r="J825" s="64"/>
      <c r="K825" s="64"/>
      <c r="L825" s="64"/>
      <c r="M825" s="79"/>
      <c r="N825" s="64"/>
      <c r="O825" s="64"/>
      <c r="P825" s="64"/>
      <c r="Q825" s="64"/>
      <c r="R825" s="64"/>
      <c r="S825" s="64"/>
      <c r="T825" s="64"/>
      <c r="U825" s="78"/>
      <c r="V825" s="64"/>
      <c r="W825" s="79"/>
      <c r="X825" s="64"/>
      <c r="Y825" s="64"/>
      <c r="Z825" s="64"/>
      <c r="AA825" s="64"/>
      <c r="AB825" s="64"/>
      <c r="AC825" s="64"/>
      <c r="AD825" s="64"/>
      <c r="AE825" s="64"/>
    </row>
    <row r="826" spans="1:31" ht="17.25" customHeight="1">
      <c r="A826" s="79"/>
      <c r="B826" s="64"/>
      <c r="C826" s="64"/>
      <c r="D826" s="64"/>
      <c r="E826" s="64"/>
      <c r="F826" s="64"/>
      <c r="G826" s="64"/>
      <c r="H826" s="87"/>
      <c r="I826" s="64"/>
      <c r="J826" s="64"/>
      <c r="K826" s="64"/>
      <c r="L826" s="64"/>
      <c r="M826" s="79"/>
      <c r="N826" s="64"/>
      <c r="O826" s="64"/>
      <c r="P826" s="64"/>
      <c r="Q826" s="64"/>
      <c r="R826" s="64"/>
      <c r="S826" s="64"/>
      <c r="T826" s="64"/>
      <c r="U826" s="78"/>
      <c r="V826" s="64"/>
      <c r="W826" s="79"/>
      <c r="X826" s="64"/>
      <c r="Y826" s="64"/>
      <c r="Z826" s="64"/>
      <c r="AA826" s="64"/>
      <c r="AB826" s="64"/>
      <c r="AC826" s="64"/>
      <c r="AD826" s="64"/>
      <c r="AE826" s="64"/>
    </row>
    <row r="827" spans="1:31" ht="17.25" customHeight="1">
      <c r="A827" s="79"/>
      <c r="B827" s="64"/>
      <c r="C827" s="64"/>
      <c r="D827" s="64"/>
      <c r="E827" s="64"/>
      <c r="F827" s="64"/>
      <c r="G827" s="64"/>
      <c r="H827" s="87"/>
      <c r="I827" s="64"/>
      <c r="J827" s="64"/>
      <c r="K827" s="64"/>
      <c r="L827" s="64"/>
      <c r="M827" s="79"/>
      <c r="N827" s="64"/>
      <c r="O827" s="64"/>
      <c r="P827" s="64"/>
      <c r="Q827" s="64"/>
      <c r="R827" s="64"/>
      <c r="S827" s="64"/>
      <c r="T827" s="64"/>
      <c r="U827" s="78"/>
      <c r="V827" s="64"/>
      <c r="W827" s="79"/>
      <c r="X827" s="64"/>
      <c r="Y827" s="64"/>
      <c r="Z827" s="64"/>
      <c r="AA827" s="64"/>
      <c r="AB827" s="64"/>
      <c r="AC827" s="64"/>
      <c r="AD827" s="64"/>
      <c r="AE827" s="64"/>
    </row>
    <row r="828" spans="1:31" ht="17.25" customHeight="1">
      <c r="A828" s="79"/>
      <c r="B828" s="64"/>
      <c r="C828" s="64"/>
      <c r="D828" s="64"/>
      <c r="E828" s="64"/>
      <c r="F828" s="64"/>
      <c r="G828" s="64"/>
      <c r="H828" s="87"/>
      <c r="I828" s="64"/>
      <c r="J828" s="64"/>
      <c r="K828" s="64"/>
      <c r="L828" s="64"/>
      <c r="M828" s="79"/>
      <c r="N828" s="64"/>
      <c r="O828" s="64"/>
      <c r="P828" s="64"/>
      <c r="Q828" s="64"/>
      <c r="R828" s="64"/>
      <c r="S828" s="64"/>
      <c r="T828" s="64"/>
      <c r="U828" s="78"/>
      <c r="V828" s="64"/>
      <c r="W828" s="79"/>
      <c r="X828" s="64"/>
      <c r="Y828" s="64"/>
      <c r="Z828" s="64"/>
      <c r="AA828" s="64"/>
      <c r="AB828" s="64"/>
      <c r="AC828" s="64"/>
      <c r="AD828" s="64"/>
      <c r="AE828" s="64"/>
    </row>
    <row r="829" spans="1:31" ht="17.25" customHeight="1">
      <c r="A829" s="79"/>
      <c r="B829" s="64"/>
      <c r="C829" s="64"/>
      <c r="D829" s="64"/>
      <c r="E829" s="64"/>
      <c r="F829" s="64"/>
      <c r="G829" s="64"/>
      <c r="H829" s="87"/>
      <c r="I829" s="64"/>
      <c r="J829" s="64"/>
      <c r="K829" s="64"/>
      <c r="L829" s="64"/>
      <c r="M829" s="79"/>
      <c r="N829" s="64"/>
      <c r="O829" s="64"/>
      <c r="P829" s="64"/>
      <c r="Q829" s="64"/>
      <c r="R829" s="64"/>
      <c r="S829" s="64"/>
      <c r="T829" s="64"/>
      <c r="U829" s="78"/>
      <c r="V829" s="64"/>
      <c r="W829" s="79"/>
      <c r="X829" s="64"/>
      <c r="Y829" s="64"/>
      <c r="Z829" s="64"/>
      <c r="AA829" s="64"/>
      <c r="AB829" s="64"/>
      <c r="AC829" s="64"/>
      <c r="AD829" s="64"/>
      <c r="AE829" s="64"/>
    </row>
    <row r="830" spans="1:31" ht="17.25" customHeight="1">
      <c r="A830" s="79"/>
      <c r="B830" s="64"/>
      <c r="C830" s="64"/>
      <c r="D830" s="64"/>
      <c r="E830" s="64"/>
      <c r="F830" s="64"/>
      <c r="G830" s="64"/>
      <c r="H830" s="87"/>
      <c r="I830" s="64"/>
      <c r="J830" s="64"/>
      <c r="K830" s="64"/>
      <c r="L830" s="64"/>
      <c r="M830" s="79"/>
      <c r="N830" s="64"/>
      <c r="O830" s="64"/>
      <c r="P830" s="64"/>
      <c r="Q830" s="64"/>
      <c r="R830" s="64"/>
      <c r="S830" s="64"/>
      <c r="T830" s="64"/>
      <c r="U830" s="78"/>
      <c r="V830" s="64"/>
      <c r="W830" s="79"/>
      <c r="X830" s="64"/>
      <c r="Y830" s="64"/>
      <c r="Z830" s="64"/>
      <c r="AA830" s="64"/>
      <c r="AB830" s="64"/>
      <c r="AC830" s="64"/>
      <c r="AD830" s="64"/>
      <c r="AE830" s="64"/>
    </row>
    <row r="831" spans="1:31" ht="17.25" customHeight="1">
      <c r="A831" s="79"/>
      <c r="B831" s="64"/>
      <c r="C831" s="64"/>
      <c r="D831" s="64"/>
      <c r="E831" s="64"/>
      <c r="F831" s="64"/>
      <c r="G831" s="64"/>
      <c r="H831" s="87"/>
      <c r="I831" s="64"/>
      <c r="J831" s="64"/>
      <c r="K831" s="64"/>
      <c r="L831" s="64"/>
      <c r="M831" s="79"/>
      <c r="N831" s="64"/>
      <c r="O831" s="64"/>
      <c r="P831" s="64"/>
      <c r="Q831" s="64"/>
      <c r="R831" s="64"/>
      <c r="S831" s="64"/>
      <c r="T831" s="64"/>
      <c r="U831" s="78"/>
      <c r="V831" s="64"/>
      <c r="W831" s="79"/>
      <c r="X831" s="64"/>
      <c r="Y831" s="64"/>
      <c r="Z831" s="64"/>
      <c r="AA831" s="64"/>
      <c r="AB831" s="64"/>
      <c r="AC831" s="64"/>
      <c r="AD831" s="64"/>
      <c r="AE831" s="64"/>
    </row>
    <row r="832" spans="1:31" ht="17.25" customHeight="1">
      <c r="A832" s="79"/>
      <c r="B832" s="64"/>
      <c r="C832" s="64"/>
      <c r="D832" s="64"/>
      <c r="E832" s="64"/>
      <c r="F832" s="64"/>
      <c r="G832" s="64"/>
      <c r="H832" s="87"/>
      <c r="I832" s="64"/>
      <c r="J832" s="64"/>
      <c r="K832" s="64"/>
      <c r="L832" s="64"/>
      <c r="M832" s="79"/>
      <c r="N832" s="64"/>
      <c r="O832" s="64"/>
      <c r="P832" s="64"/>
      <c r="Q832" s="64"/>
      <c r="R832" s="64"/>
      <c r="S832" s="64"/>
      <c r="T832" s="64"/>
      <c r="U832" s="78"/>
      <c r="V832" s="64"/>
      <c r="W832" s="79"/>
      <c r="X832" s="64"/>
      <c r="Y832" s="64"/>
      <c r="Z832" s="64"/>
      <c r="AA832" s="64"/>
      <c r="AB832" s="64"/>
      <c r="AC832" s="64"/>
      <c r="AD832" s="64"/>
      <c r="AE832" s="64"/>
    </row>
    <row r="833" spans="1:31" ht="17.25" customHeight="1">
      <c r="A833" s="79"/>
      <c r="B833" s="64"/>
      <c r="C833" s="64"/>
      <c r="D833" s="64"/>
      <c r="E833" s="64"/>
      <c r="F833" s="64"/>
      <c r="G833" s="64"/>
      <c r="H833" s="87"/>
      <c r="I833" s="64"/>
      <c r="J833" s="64"/>
      <c r="K833" s="64"/>
      <c r="L833" s="64"/>
      <c r="M833" s="79"/>
      <c r="N833" s="64"/>
      <c r="O833" s="64"/>
      <c r="P833" s="64"/>
      <c r="Q833" s="64"/>
      <c r="R833" s="64"/>
      <c r="S833" s="64"/>
      <c r="T833" s="64"/>
      <c r="U833" s="78"/>
      <c r="V833" s="64"/>
      <c r="W833" s="79"/>
      <c r="X833" s="64"/>
      <c r="Y833" s="64"/>
      <c r="Z833" s="64"/>
      <c r="AA833" s="64"/>
      <c r="AB833" s="64"/>
      <c r="AC833" s="64"/>
      <c r="AD833" s="64"/>
      <c r="AE833" s="64"/>
    </row>
    <row r="834" spans="1:31" ht="17.25" customHeight="1">
      <c r="A834" s="79"/>
      <c r="B834" s="64"/>
      <c r="C834" s="64"/>
      <c r="D834" s="64"/>
      <c r="E834" s="64"/>
      <c r="F834" s="64"/>
      <c r="G834" s="64"/>
      <c r="H834" s="87"/>
      <c r="I834" s="64"/>
      <c r="J834" s="64"/>
      <c r="K834" s="64"/>
      <c r="L834" s="64"/>
      <c r="M834" s="79"/>
      <c r="N834" s="64"/>
      <c r="O834" s="64"/>
      <c r="P834" s="64"/>
      <c r="Q834" s="64"/>
      <c r="R834" s="64"/>
      <c r="S834" s="64"/>
      <c r="T834" s="64"/>
      <c r="U834" s="78"/>
      <c r="V834" s="64"/>
      <c r="W834" s="79"/>
      <c r="X834" s="64"/>
      <c r="Y834" s="64"/>
      <c r="Z834" s="64"/>
      <c r="AA834" s="64"/>
      <c r="AB834" s="64"/>
      <c r="AC834" s="64"/>
      <c r="AD834" s="64"/>
      <c r="AE834" s="64"/>
    </row>
    <row r="835" spans="1:31" ht="17.25" customHeight="1">
      <c r="A835" s="79"/>
      <c r="B835" s="64"/>
      <c r="C835" s="64"/>
      <c r="D835" s="64"/>
      <c r="E835" s="64"/>
      <c r="F835" s="64"/>
      <c r="G835" s="64"/>
      <c r="H835" s="87"/>
      <c r="I835" s="64"/>
      <c r="J835" s="64"/>
      <c r="K835" s="64"/>
      <c r="L835" s="64"/>
      <c r="M835" s="79"/>
      <c r="N835" s="64"/>
      <c r="O835" s="64"/>
      <c r="P835" s="64"/>
      <c r="Q835" s="64"/>
      <c r="R835" s="64"/>
      <c r="S835" s="64"/>
      <c r="T835" s="64"/>
      <c r="U835" s="78"/>
      <c r="V835" s="64"/>
      <c r="W835" s="79"/>
      <c r="X835" s="64"/>
      <c r="Y835" s="64"/>
      <c r="Z835" s="64"/>
      <c r="AA835" s="64"/>
      <c r="AB835" s="64"/>
      <c r="AC835" s="64"/>
      <c r="AD835" s="64"/>
      <c r="AE835" s="64"/>
    </row>
    <row r="836" spans="1:31" ht="17.25" customHeight="1">
      <c r="A836" s="79"/>
      <c r="B836" s="64"/>
      <c r="C836" s="64"/>
      <c r="D836" s="64"/>
      <c r="E836" s="64"/>
      <c r="F836" s="64"/>
      <c r="G836" s="64"/>
      <c r="H836" s="87"/>
      <c r="I836" s="64"/>
      <c r="J836" s="64"/>
      <c r="K836" s="64"/>
      <c r="L836" s="64"/>
      <c r="M836" s="79"/>
      <c r="N836" s="64"/>
      <c r="O836" s="64"/>
      <c r="P836" s="64"/>
      <c r="Q836" s="64"/>
      <c r="R836" s="64"/>
      <c r="S836" s="64"/>
      <c r="T836" s="64"/>
      <c r="U836" s="78"/>
      <c r="V836" s="64"/>
      <c r="W836" s="79"/>
      <c r="X836" s="64"/>
      <c r="Y836" s="64"/>
      <c r="Z836" s="64"/>
      <c r="AA836" s="64"/>
      <c r="AB836" s="64"/>
      <c r="AC836" s="64"/>
      <c r="AD836" s="64"/>
      <c r="AE836" s="64"/>
    </row>
    <row r="837" spans="1:31" ht="17.25" customHeight="1">
      <c r="A837" s="79"/>
      <c r="B837" s="64"/>
      <c r="C837" s="64"/>
      <c r="D837" s="64"/>
      <c r="E837" s="64"/>
      <c r="F837" s="64"/>
      <c r="G837" s="64"/>
      <c r="H837" s="87"/>
      <c r="I837" s="64"/>
      <c r="J837" s="64"/>
      <c r="K837" s="64"/>
      <c r="L837" s="64"/>
      <c r="M837" s="79"/>
      <c r="N837" s="64"/>
      <c r="O837" s="64"/>
      <c r="P837" s="64"/>
      <c r="Q837" s="64"/>
      <c r="R837" s="64"/>
      <c r="S837" s="64"/>
      <c r="T837" s="64"/>
      <c r="U837" s="78"/>
      <c r="V837" s="64"/>
      <c r="W837" s="79"/>
      <c r="X837" s="64"/>
      <c r="Y837" s="64"/>
      <c r="Z837" s="64"/>
      <c r="AA837" s="64"/>
      <c r="AB837" s="64"/>
      <c r="AC837" s="64"/>
      <c r="AD837" s="64"/>
      <c r="AE837" s="64"/>
    </row>
    <row r="838" spans="1:31" ht="17.25" customHeight="1">
      <c r="A838" s="79"/>
      <c r="B838" s="64"/>
      <c r="C838" s="64"/>
      <c r="D838" s="64"/>
      <c r="E838" s="64"/>
      <c r="F838" s="64"/>
      <c r="G838" s="64"/>
      <c r="H838" s="87"/>
      <c r="I838" s="64"/>
      <c r="J838" s="64"/>
      <c r="K838" s="64"/>
      <c r="L838" s="64"/>
      <c r="M838" s="79"/>
      <c r="N838" s="64"/>
      <c r="O838" s="64"/>
      <c r="P838" s="64"/>
      <c r="Q838" s="64"/>
      <c r="R838" s="64"/>
      <c r="S838" s="64"/>
      <c r="T838" s="64"/>
      <c r="U838" s="78"/>
      <c r="V838" s="64"/>
      <c r="W838" s="79"/>
      <c r="X838" s="64"/>
      <c r="Y838" s="64"/>
      <c r="Z838" s="64"/>
      <c r="AA838" s="64"/>
      <c r="AB838" s="64"/>
      <c r="AC838" s="64"/>
      <c r="AD838" s="64"/>
      <c r="AE838" s="64"/>
    </row>
    <row r="839" spans="1:31" ht="17.25" customHeight="1">
      <c r="A839" s="79"/>
      <c r="B839" s="64"/>
      <c r="C839" s="64"/>
      <c r="D839" s="64"/>
      <c r="E839" s="64"/>
      <c r="F839" s="64"/>
      <c r="G839" s="64"/>
      <c r="H839" s="87"/>
      <c r="I839" s="64"/>
      <c r="J839" s="64"/>
      <c r="K839" s="64"/>
      <c r="L839" s="64"/>
      <c r="M839" s="79"/>
      <c r="N839" s="64"/>
      <c r="O839" s="64"/>
      <c r="P839" s="64"/>
      <c r="Q839" s="64"/>
      <c r="R839" s="64"/>
      <c r="S839" s="64"/>
      <c r="T839" s="64"/>
      <c r="U839" s="78"/>
      <c r="V839" s="64"/>
      <c r="W839" s="79"/>
      <c r="X839" s="64"/>
      <c r="Y839" s="64"/>
      <c r="Z839" s="64"/>
      <c r="AA839" s="64"/>
      <c r="AB839" s="64"/>
      <c r="AC839" s="64"/>
      <c r="AD839" s="64"/>
      <c r="AE839" s="64"/>
    </row>
    <row r="840" spans="1:31" ht="17.25" customHeight="1">
      <c r="A840" s="79"/>
      <c r="B840" s="64"/>
      <c r="C840" s="64"/>
      <c r="D840" s="64"/>
      <c r="E840" s="64"/>
      <c r="F840" s="64"/>
      <c r="G840" s="64"/>
      <c r="H840" s="87"/>
      <c r="I840" s="64"/>
      <c r="J840" s="64"/>
      <c r="K840" s="64"/>
      <c r="L840" s="64"/>
      <c r="M840" s="79"/>
      <c r="N840" s="64"/>
      <c r="O840" s="64"/>
      <c r="P840" s="64"/>
      <c r="Q840" s="64"/>
      <c r="R840" s="64"/>
      <c r="S840" s="64"/>
      <c r="T840" s="64"/>
      <c r="U840" s="78"/>
      <c r="V840" s="64"/>
      <c r="W840" s="79"/>
      <c r="X840" s="64"/>
      <c r="Y840" s="64"/>
      <c r="Z840" s="64"/>
      <c r="AA840" s="64"/>
      <c r="AB840" s="64"/>
      <c r="AC840" s="64"/>
      <c r="AD840" s="64"/>
      <c r="AE840" s="64"/>
    </row>
    <row r="841" spans="1:31" ht="17.25" customHeight="1">
      <c r="A841" s="79"/>
      <c r="B841" s="64"/>
      <c r="C841" s="64"/>
      <c r="D841" s="64"/>
      <c r="E841" s="64"/>
      <c r="F841" s="64"/>
      <c r="G841" s="64"/>
      <c r="H841" s="87"/>
      <c r="I841" s="64"/>
      <c r="J841" s="64"/>
      <c r="K841" s="64"/>
      <c r="L841" s="64"/>
      <c r="M841" s="79"/>
      <c r="N841" s="64"/>
      <c r="O841" s="64"/>
      <c r="P841" s="64"/>
      <c r="Q841" s="64"/>
      <c r="R841" s="64"/>
      <c r="S841" s="64"/>
      <c r="T841" s="64"/>
      <c r="U841" s="78"/>
      <c r="V841" s="64"/>
      <c r="W841" s="79"/>
      <c r="X841" s="64"/>
      <c r="Y841" s="64"/>
      <c r="Z841" s="64"/>
      <c r="AA841" s="64"/>
      <c r="AB841" s="64"/>
      <c r="AC841" s="64"/>
      <c r="AD841" s="64"/>
      <c r="AE841" s="64"/>
    </row>
    <row r="842" spans="1:31" ht="17.25" customHeight="1">
      <c r="A842" s="79"/>
      <c r="B842" s="64"/>
      <c r="C842" s="64"/>
      <c r="D842" s="64"/>
      <c r="E842" s="64"/>
      <c r="F842" s="64"/>
      <c r="G842" s="64"/>
      <c r="H842" s="87"/>
      <c r="I842" s="64"/>
      <c r="J842" s="64"/>
      <c r="K842" s="64"/>
      <c r="L842" s="64"/>
      <c r="M842" s="79"/>
      <c r="N842" s="64"/>
      <c r="O842" s="64"/>
      <c r="P842" s="64"/>
      <c r="Q842" s="64"/>
      <c r="R842" s="64"/>
      <c r="S842" s="64"/>
      <c r="T842" s="64"/>
      <c r="U842" s="78"/>
      <c r="V842" s="64"/>
      <c r="W842" s="79"/>
      <c r="X842" s="64"/>
      <c r="Y842" s="64"/>
      <c r="Z842" s="64"/>
      <c r="AA842" s="64"/>
      <c r="AB842" s="64"/>
      <c r="AC842" s="64"/>
      <c r="AD842" s="64"/>
      <c r="AE842" s="64"/>
    </row>
    <row r="843" spans="1:31" ht="17.25" customHeight="1">
      <c r="A843" s="79"/>
      <c r="B843" s="64"/>
      <c r="C843" s="64"/>
      <c r="D843" s="64"/>
      <c r="E843" s="64"/>
      <c r="F843" s="64"/>
      <c r="G843" s="64"/>
      <c r="H843" s="87"/>
      <c r="I843" s="64"/>
      <c r="J843" s="64"/>
      <c r="K843" s="64"/>
      <c r="L843" s="64"/>
      <c r="M843" s="79"/>
      <c r="N843" s="64"/>
      <c r="O843" s="64"/>
      <c r="P843" s="64"/>
      <c r="Q843" s="64"/>
      <c r="R843" s="64"/>
      <c r="S843" s="64"/>
      <c r="T843" s="64"/>
      <c r="U843" s="78"/>
      <c r="V843" s="64"/>
      <c r="W843" s="79"/>
      <c r="X843" s="64"/>
      <c r="Y843" s="64"/>
      <c r="Z843" s="64"/>
      <c r="AA843" s="64"/>
      <c r="AB843" s="64"/>
      <c r="AC843" s="64"/>
      <c r="AD843" s="64"/>
      <c r="AE843" s="64"/>
    </row>
    <row r="844" spans="1:31" ht="17.25" customHeight="1">
      <c r="A844" s="79"/>
      <c r="B844" s="64"/>
      <c r="C844" s="64"/>
      <c r="D844" s="64"/>
      <c r="E844" s="64"/>
      <c r="F844" s="64"/>
      <c r="G844" s="64"/>
      <c r="H844" s="87"/>
      <c r="I844" s="64"/>
      <c r="J844" s="64"/>
      <c r="K844" s="64"/>
      <c r="L844" s="64"/>
      <c r="M844" s="79"/>
      <c r="N844" s="64"/>
      <c r="O844" s="64"/>
      <c r="P844" s="64"/>
      <c r="Q844" s="64"/>
      <c r="R844" s="64"/>
      <c r="S844" s="64"/>
      <c r="T844" s="64"/>
      <c r="U844" s="78"/>
      <c r="V844" s="64"/>
      <c r="W844" s="79"/>
      <c r="X844" s="64"/>
      <c r="Y844" s="64"/>
      <c r="Z844" s="64"/>
      <c r="AA844" s="64"/>
      <c r="AB844" s="64"/>
      <c r="AC844" s="64"/>
      <c r="AD844" s="64"/>
      <c r="AE844" s="64"/>
    </row>
    <row r="845" spans="1:31" ht="17.25" customHeight="1">
      <c r="A845" s="79"/>
      <c r="B845" s="64"/>
      <c r="C845" s="64"/>
      <c r="D845" s="64"/>
      <c r="E845" s="64"/>
      <c r="F845" s="64"/>
      <c r="G845" s="64"/>
      <c r="H845" s="87"/>
      <c r="I845" s="64"/>
      <c r="J845" s="64"/>
      <c r="K845" s="64"/>
      <c r="L845" s="64"/>
      <c r="M845" s="79"/>
      <c r="N845" s="64"/>
      <c r="O845" s="64"/>
      <c r="P845" s="64"/>
      <c r="Q845" s="64"/>
      <c r="R845" s="64"/>
      <c r="S845" s="64"/>
      <c r="T845" s="64"/>
      <c r="U845" s="78"/>
      <c r="V845" s="64"/>
      <c r="W845" s="79"/>
      <c r="X845" s="64"/>
      <c r="Y845" s="64"/>
      <c r="Z845" s="64"/>
      <c r="AA845" s="64"/>
      <c r="AB845" s="64"/>
      <c r="AC845" s="64"/>
      <c r="AD845" s="64"/>
      <c r="AE845" s="64"/>
    </row>
    <row r="846" spans="1:31" ht="17.25" customHeight="1">
      <c r="A846" s="79"/>
      <c r="B846" s="64"/>
      <c r="C846" s="64"/>
      <c r="D846" s="64"/>
      <c r="E846" s="64"/>
      <c r="F846" s="64"/>
      <c r="G846" s="64"/>
      <c r="H846" s="87"/>
      <c r="I846" s="64"/>
      <c r="J846" s="64"/>
      <c r="K846" s="64"/>
      <c r="L846" s="64"/>
      <c r="M846" s="79"/>
      <c r="N846" s="64"/>
      <c r="O846" s="64"/>
      <c r="P846" s="64"/>
      <c r="Q846" s="64"/>
      <c r="R846" s="64"/>
      <c r="S846" s="64"/>
      <c r="T846" s="64"/>
      <c r="U846" s="78"/>
      <c r="V846" s="64"/>
      <c r="W846" s="79"/>
      <c r="X846" s="64"/>
      <c r="Y846" s="64"/>
      <c r="Z846" s="64"/>
      <c r="AA846" s="64"/>
      <c r="AB846" s="64"/>
      <c r="AC846" s="64"/>
      <c r="AD846" s="64"/>
      <c r="AE846" s="64"/>
    </row>
    <row r="847" spans="1:31" ht="17.25" customHeight="1">
      <c r="A847" s="79"/>
      <c r="B847" s="64"/>
      <c r="C847" s="64"/>
      <c r="D847" s="64"/>
      <c r="E847" s="64"/>
      <c r="F847" s="64"/>
      <c r="G847" s="64"/>
      <c r="H847" s="87"/>
      <c r="I847" s="64"/>
      <c r="J847" s="64"/>
      <c r="K847" s="64"/>
      <c r="L847" s="64"/>
      <c r="M847" s="79"/>
      <c r="N847" s="64"/>
      <c r="O847" s="64"/>
      <c r="P847" s="64"/>
      <c r="Q847" s="64"/>
      <c r="R847" s="64"/>
      <c r="S847" s="64"/>
      <c r="T847" s="64"/>
      <c r="U847" s="78"/>
      <c r="V847" s="64"/>
      <c r="W847" s="79"/>
      <c r="X847" s="64"/>
      <c r="Y847" s="64"/>
      <c r="Z847" s="64"/>
      <c r="AA847" s="64"/>
      <c r="AB847" s="64"/>
      <c r="AC847" s="64"/>
      <c r="AD847" s="64"/>
      <c r="AE847" s="64"/>
    </row>
    <row r="848" spans="1:31" ht="17.25" customHeight="1">
      <c r="A848" s="79"/>
      <c r="B848" s="64"/>
      <c r="C848" s="64"/>
      <c r="D848" s="64"/>
      <c r="E848" s="64"/>
      <c r="F848" s="64"/>
      <c r="G848" s="64"/>
      <c r="H848" s="87"/>
      <c r="I848" s="64"/>
      <c r="J848" s="64"/>
      <c r="K848" s="64"/>
      <c r="L848" s="64"/>
      <c r="M848" s="79"/>
      <c r="N848" s="64"/>
      <c r="O848" s="64"/>
      <c r="P848" s="64"/>
      <c r="Q848" s="64"/>
      <c r="R848" s="64"/>
      <c r="S848" s="64"/>
      <c r="T848" s="64"/>
      <c r="U848" s="78"/>
      <c r="V848" s="64"/>
      <c r="W848" s="79"/>
      <c r="X848" s="64"/>
      <c r="Y848" s="64"/>
      <c r="Z848" s="64"/>
      <c r="AA848" s="64"/>
      <c r="AB848" s="64"/>
      <c r="AC848" s="64"/>
      <c r="AD848" s="64"/>
      <c r="AE848" s="64"/>
    </row>
    <row r="849" spans="1:31" ht="17.25" customHeight="1">
      <c r="A849" s="79"/>
      <c r="B849" s="64"/>
      <c r="C849" s="64"/>
      <c r="D849" s="64"/>
      <c r="E849" s="64"/>
      <c r="F849" s="64"/>
      <c r="G849" s="64"/>
      <c r="H849" s="87"/>
      <c r="I849" s="64"/>
      <c r="J849" s="64"/>
      <c r="K849" s="64"/>
      <c r="L849" s="64"/>
      <c r="M849" s="79"/>
      <c r="N849" s="64"/>
      <c r="O849" s="64"/>
      <c r="P849" s="64"/>
      <c r="Q849" s="64"/>
      <c r="R849" s="64"/>
      <c r="S849" s="64"/>
      <c r="T849" s="64"/>
      <c r="U849" s="78"/>
      <c r="V849" s="64"/>
      <c r="W849" s="79"/>
      <c r="X849" s="64"/>
      <c r="Y849" s="64"/>
      <c r="Z849" s="64"/>
      <c r="AA849" s="64"/>
      <c r="AB849" s="64"/>
      <c r="AC849" s="64"/>
      <c r="AD849" s="64"/>
      <c r="AE849" s="64"/>
    </row>
    <row r="850" spans="1:31" ht="17.25" customHeight="1">
      <c r="A850" s="79"/>
      <c r="B850" s="64"/>
      <c r="C850" s="64"/>
      <c r="D850" s="64"/>
      <c r="E850" s="64"/>
      <c r="F850" s="64"/>
      <c r="G850" s="64"/>
      <c r="H850" s="87"/>
      <c r="I850" s="64"/>
      <c r="J850" s="64"/>
      <c r="K850" s="64"/>
      <c r="L850" s="64"/>
      <c r="M850" s="79"/>
      <c r="N850" s="64"/>
      <c r="O850" s="64"/>
      <c r="P850" s="64"/>
      <c r="Q850" s="64"/>
      <c r="R850" s="64"/>
      <c r="S850" s="64"/>
      <c r="T850" s="64"/>
      <c r="U850" s="78"/>
      <c r="V850" s="64"/>
      <c r="W850" s="79"/>
      <c r="X850" s="64"/>
      <c r="Y850" s="64"/>
      <c r="Z850" s="64"/>
      <c r="AA850" s="64"/>
      <c r="AB850" s="64"/>
      <c r="AC850" s="64"/>
      <c r="AD850" s="64"/>
      <c r="AE850" s="64"/>
    </row>
    <row r="851" spans="1:31" ht="17.25" customHeight="1">
      <c r="A851" s="79"/>
      <c r="B851" s="64"/>
      <c r="C851" s="64"/>
      <c r="D851" s="64"/>
      <c r="E851" s="64"/>
      <c r="F851" s="64"/>
      <c r="G851" s="64"/>
      <c r="H851" s="87"/>
      <c r="I851" s="64"/>
      <c r="J851" s="64"/>
      <c r="K851" s="64"/>
      <c r="L851" s="64"/>
      <c r="M851" s="79"/>
      <c r="N851" s="64"/>
      <c r="O851" s="64"/>
      <c r="P851" s="64"/>
      <c r="Q851" s="64"/>
      <c r="R851" s="64"/>
      <c r="S851" s="64"/>
      <c r="T851" s="64"/>
      <c r="U851" s="78"/>
      <c r="V851" s="64"/>
      <c r="W851" s="79"/>
      <c r="X851" s="64"/>
      <c r="Y851" s="64"/>
      <c r="Z851" s="64"/>
      <c r="AA851" s="64"/>
      <c r="AB851" s="64"/>
      <c r="AC851" s="64"/>
      <c r="AD851" s="64"/>
      <c r="AE851" s="64"/>
    </row>
    <row r="852" spans="1:31" ht="17.25" customHeight="1">
      <c r="A852" s="79"/>
      <c r="B852" s="64"/>
      <c r="C852" s="64"/>
      <c r="D852" s="64"/>
      <c r="E852" s="64"/>
      <c r="F852" s="64"/>
      <c r="G852" s="64"/>
      <c r="H852" s="87"/>
      <c r="I852" s="64"/>
      <c r="J852" s="64"/>
      <c r="K852" s="64"/>
      <c r="L852" s="64"/>
      <c r="M852" s="79"/>
      <c r="N852" s="64"/>
      <c r="O852" s="64"/>
      <c r="P852" s="64"/>
      <c r="Q852" s="64"/>
      <c r="R852" s="64"/>
      <c r="S852" s="64"/>
      <c r="T852" s="64"/>
      <c r="U852" s="78"/>
      <c r="V852" s="64"/>
      <c r="W852" s="79"/>
      <c r="X852" s="64"/>
      <c r="Y852" s="64"/>
      <c r="Z852" s="64"/>
      <c r="AA852" s="64"/>
      <c r="AB852" s="64"/>
      <c r="AC852" s="64"/>
      <c r="AD852" s="64"/>
      <c r="AE852" s="64"/>
    </row>
    <row r="853" spans="1:31" ht="17.25" customHeight="1">
      <c r="A853" s="79"/>
      <c r="B853" s="64"/>
      <c r="C853" s="64"/>
      <c r="D853" s="64"/>
      <c r="E853" s="64"/>
      <c r="F853" s="64"/>
      <c r="G853" s="64"/>
      <c r="H853" s="87"/>
      <c r="I853" s="64"/>
      <c r="J853" s="64"/>
      <c r="K853" s="64"/>
      <c r="L853" s="64"/>
      <c r="M853" s="79"/>
      <c r="N853" s="64"/>
      <c r="O853" s="64"/>
      <c r="P853" s="64"/>
      <c r="Q853" s="64"/>
      <c r="R853" s="64"/>
      <c r="S853" s="64"/>
      <c r="T853" s="64"/>
      <c r="U853" s="78"/>
      <c r="V853" s="64"/>
      <c r="W853" s="79"/>
      <c r="X853" s="64"/>
      <c r="Y853" s="64"/>
      <c r="Z853" s="64"/>
      <c r="AA853" s="64"/>
      <c r="AB853" s="64"/>
      <c r="AC853" s="64"/>
      <c r="AD853" s="64"/>
      <c r="AE853" s="64"/>
    </row>
    <row r="854" spans="1:31" ht="17.25" customHeight="1">
      <c r="A854" s="79"/>
      <c r="B854" s="64"/>
      <c r="C854" s="64"/>
      <c r="D854" s="64"/>
      <c r="E854" s="64"/>
      <c r="F854" s="64"/>
      <c r="G854" s="64"/>
      <c r="H854" s="87"/>
      <c r="I854" s="64"/>
      <c r="J854" s="64"/>
      <c r="K854" s="64"/>
      <c r="L854" s="64"/>
      <c r="M854" s="79"/>
      <c r="N854" s="64"/>
      <c r="O854" s="64"/>
      <c r="P854" s="64"/>
      <c r="Q854" s="64"/>
      <c r="R854" s="64"/>
      <c r="S854" s="64"/>
      <c r="T854" s="64"/>
      <c r="U854" s="78"/>
      <c r="V854" s="64"/>
      <c r="W854" s="79"/>
      <c r="X854" s="64"/>
      <c r="Y854" s="64"/>
      <c r="Z854" s="64"/>
      <c r="AA854" s="64"/>
      <c r="AB854" s="64"/>
      <c r="AC854" s="64"/>
      <c r="AD854" s="64"/>
      <c r="AE854" s="64"/>
    </row>
    <row r="855" spans="1:31" ht="17.25" customHeight="1">
      <c r="A855" s="79"/>
      <c r="B855" s="64"/>
      <c r="C855" s="64"/>
      <c r="D855" s="64"/>
      <c r="E855" s="64"/>
      <c r="F855" s="64"/>
      <c r="G855" s="64"/>
      <c r="H855" s="87"/>
      <c r="I855" s="64"/>
      <c r="J855" s="64"/>
      <c r="K855" s="64"/>
      <c r="L855" s="64"/>
      <c r="M855" s="79"/>
      <c r="N855" s="64"/>
      <c r="O855" s="64"/>
      <c r="P855" s="64"/>
      <c r="Q855" s="64"/>
      <c r="R855" s="64"/>
      <c r="S855" s="64"/>
      <c r="T855" s="64"/>
      <c r="U855" s="78"/>
      <c r="V855" s="64"/>
      <c r="W855" s="79"/>
      <c r="X855" s="64"/>
      <c r="Y855" s="64"/>
      <c r="Z855" s="64"/>
      <c r="AA855" s="64"/>
      <c r="AB855" s="64"/>
      <c r="AC855" s="64"/>
      <c r="AD855" s="64"/>
      <c r="AE855" s="64"/>
    </row>
    <row r="856" spans="1:31" ht="17.25" customHeight="1">
      <c r="A856" s="79"/>
      <c r="B856" s="64"/>
      <c r="C856" s="64"/>
      <c r="D856" s="64"/>
      <c r="E856" s="64"/>
      <c r="F856" s="64"/>
      <c r="G856" s="64"/>
      <c r="H856" s="87"/>
      <c r="I856" s="64"/>
      <c r="J856" s="64"/>
      <c r="K856" s="64"/>
      <c r="L856" s="64"/>
      <c r="M856" s="79"/>
      <c r="N856" s="64"/>
      <c r="O856" s="64"/>
      <c r="P856" s="64"/>
      <c r="Q856" s="64"/>
      <c r="R856" s="64"/>
      <c r="S856" s="64"/>
      <c r="T856" s="64"/>
      <c r="U856" s="78"/>
      <c r="V856" s="64"/>
      <c r="W856" s="79"/>
      <c r="X856" s="64"/>
      <c r="Y856" s="64"/>
      <c r="Z856" s="64"/>
      <c r="AA856" s="64"/>
      <c r="AB856" s="64"/>
      <c r="AC856" s="64"/>
      <c r="AD856" s="64"/>
      <c r="AE856" s="64"/>
    </row>
    <row r="857" spans="1:31" ht="17.25" customHeight="1">
      <c r="A857" s="79"/>
      <c r="B857" s="64"/>
      <c r="C857" s="64"/>
      <c r="D857" s="64"/>
      <c r="E857" s="64"/>
      <c r="F857" s="64"/>
      <c r="G857" s="64"/>
      <c r="H857" s="87"/>
      <c r="I857" s="64"/>
      <c r="J857" s="64"/>
      <c r="K857" s="64"/>
      <c r="L857" s="64"/>
      <c r="M857" s="79"/>
      <c r="N857" s="64"/>
      <c r="O857" s="64"/>
      <c r="P857" s="64"/>
      <c r="Q857" s="64"/>
      <c r="R857" s="64"/>
      <c r="S857" s="64"/>
      <c r="T857" s="64"/>
      <c r="U857" s="78"/>
      <c r="V857" s="64"/>
      <c r="W857" s="79"/>
      <c r="X857" s="64"/>
      <c r="Y857" s="64"/>
      <c r="Z857" s="64"/>
      <c r="AA857" s="64"/>
      <c r="AB857" s="64"/>
      <c r="AC857" s="64"/>
      <c r="AD857" s="64"/>
      <c r="AE857" s="64"/>
    </row>
    <row r="858" spans="1:31" ht="17.25" customHeight="1">
      <c r="A858" s="79"/>
      <c r="B858" s="64"/>
      <c r="C858" s="64"/>
      <c r="D858" s="64"/>
      <c r="E858" s="64"/>
      <c r="F858" s="64"/>
      <c r="G858" s="64"/>
      <c r="H858" s="87"/>
      <c r="I858" s="64"/>
      <c r="J858" s="64"/>
      <c r="K858" s="64"/>
      <c r="L858" s="64"/>
      <c r="M858" s="79"/>
      <c r="N858" s="64"/>
      <c r="O858" s="64"/>
      <c r="P858" s="64"/>
      <c r="Q858" s="64"/>
      <c r="R858" s="64"/>
      <c r="S858" s="64"/>
      <c r="T858" s="64"/>
      <c r="U858" s="78"/>
      <c r="V858" s="64"/>
      <c r="W858" s="79"/>
      <c r="X858" s="64"/>
      <c r="Y858" s="64"/>
      <c r="Z858" s="64"/>
      <c r="AA858" s="64"/>
      <c r="AB858" s="64"/>
      <c r="AC858" s="64"/>
      <c r="AD858" s="64"/>
      <c r="AE858" s="64"/>
    </row>
    <row r="859" spans="1:31" ht="17.25" customHeight="1">
      <c r="A859" s="79"/>
      <c r="B859" s="64"/>
      <c r="C859" s="64"/>
      <c r="D859" s="64"/>
      <c r="E859" s="64"/>
      <c r="F859" s="64"/>
      <c r="G859" s="64"/>
      <c r="H859" s="87"/>
      <c r="I859" s="64"/>
      <c r="J859" s="64"/>
      <c r="K859" s="64"/>
      <c r="L859" s="64"/>
      <c r="M859" s="79"/>
      <c r="N859" s="64"/>
      <c r="O859" s="64"/>
      <c r="P859" s="64"/>
      <c r="Q859" s="64"/>
      <c r="R859" s="64"/>
      <c r="S859" s="64"/>
      <c r="T859" s="64"/>
      <c r="U859" s="78"/>
      <c r="V859" s="64"/>
      <c r="W859" s="79"/>
      <c r="X859" s="64"/>
      <c r="Y859" s="64"/>
      <c r="Z859" s="64"/>
      <c r="AA859" s="64"/>
      <c r="AB859" s="64"/>
      <c r="AC859" s="64"/>
      <c r="AD859" s="64"/>
      <c r="AE859" s="64"/>
    </row>
    <row r="860" spans="1:31" ht="17.25" customHeight="1">
      <c r="A860" s="79"/>
      <c r="B860" s="64"/>
      <c r="C860" s="64"/>
      <c r="D860" s="64"/>
      <c r="E860" s="64"/>
      <c r="F860" s="64"/>
      <c r="G860" s="64"/>
      <c r="H860" s="87"/>
      <c r="I860" s="64"/>
      <c r="J860" s="64"/>
      <c r="K860" s="64"/>
      <c r="L860" s="64"/>
      <c r="M860" s="79"/>
      <c r="N860" s="64"/>
      <c r="O860" s="64"/>
      <c r="P860" s="64"/>
      <c r="Q860" s="64"/>
      <c r="R860" s="64"/>
      <c r="S860" s="64"/>
      <c r="T860" s="64"/>
      <c r="U860" s="78"/>
      <c r="V860" s="64"/>
      <c r="W860" s="79"/>
      <c r="X860" s="64"/>
      <c r="Y860" s="64"/>
      <c r="Z860" s="64"/>
      <c r="AA860" s="64"/>
      <c r="AB860" s="64"/>
      <c r="AC860" s="64"/>
      <c r="AD860" s="64"/>
      <c r="AE860" s="64"/>
    </row>
    <row r="861" spans="1:31" ht="17.25" customHeight="1">
      <c r="A861" s="79"/>
      <c r="B861" s="64"/>
      <c r="C861" s="64"/>
      <c r="D861" s="64"/>
      <c r="E861" s="64"/>
      <c r="F861" s="64"/>
      <c r="G861" s="64"/>
      <c r="H861" s="87"/>
      <c r="I861" s="64"/>
      <c r="J861" s="64"/>
      <c r="K861" s="64"/>
      <c r="L861" s="64"/>
      <c r="M861" s="79"/>
      <c r="N861" s="64"/>
      <c r="O861" s="64"/>
      <c r="P861" s="64"/>
      <c r="Q861" s="64"/>
      <c r="R861" s="64"/>
      <c r="S861" s="64"/>
      <c r="T861" s="64"/>
      <c r="U861" s="78"/>
      <c r="V861" s="64"/>
      <c r="W861" s="79"/>
      <c r="X861" s="64"/>
      <c r="Y861" s="64"/>
      <c r="Z861" s="64"/>
      <c r="AA861" s="64"/>
      <c r="AB861" s="64"/>
      <c r="AC861" s="64"/>
      <c r="AD861" s="64"/>
      <c r="AE861" s="64"/>
    </row>
    <row r="862" spans="1:31" ht="17.25" customHeight="1">
      <c r="A862" s="79"/>
      <c r="B862" s="64"/>
      <c r="C862" s="64"/>
      <c r="D862" s="64"/>
      <c r="E862" s="64"/>
      <c r="F862" s="64"/>
      <c r="G862" s="64"/>
      <c r="H862" s="87"/>
      <c r="I862" s="64"/>
      <c r="J862" s="64"/>
      <c r="K862" s="64"/>
      <c r="L862" s="64"/>
      <c r="M862" s="79"/>
      <c r="N862" s="64"/>
      <c r="O862" s="64"/>
      <c r="P862" s="64"/>
      <c r="Q862" s="64"/>
      <c r="R862" s="64"/>
      <c r="S862" s="64"/>
      <c r="T862" s="64"/>
      <c r="U862" s="78"/>
      <c r="V862" s="64"/>
      <c r="W862" s="79"/>
      <c r="X862" s="64"/>
      <c r="Y862" s="64"/>
      <c r="Z862" s="64"/>
      <c r="AA862" s="64"/>
      <c r="AB862" s="64"/>
      <c r="AC862" s="64"/>
      <c r="AD862" s="64"/>
      <c r="AE862" s="64"/>
    </row>
    <row r="863" spans="1:31" ht="17.25" customHeight="1">
      <c r="A863" s="79"/>
      <c r="B863" s="64"/>
      <c r="C863" s="64"/>
      <c r="D863" s="64"/>
      <c r="E863" s="64"/>
      <c r="F863" s="64"/>
      <c r="G863" s="64"/>
      <c r="H863" s="87"/>
      <c r="I863" s="64"/>
      <c r="J863" s="64"/>
      <c r="K863" s="64"/>
      <c r="L863" s="64"/>
      <c r="M863" s="79"/>
      <c r="N863" s="64"/>
      <c r="O863" s="64"/>
      <c r="P863" s="64"/>
      <c r="Q863" s="64"/>
      <c r="R863" s="64"/>
      <c r="S863" s="64"/>
      <c r="T863" s="64"/>
      <c r="U863" s="78"/>
      <c r="V863" s="64"/>
      <c r="W863" s="79"/>
      <c r="X863" s="64"/>
      <c r="Y863" s="64"/>
      <c r="Z863" s="64"/>
      <c r="AA863" s="64"/>
      <c r="AB863" s="64"/>
      <c r="AC863" s="64"/>
      <c r="AD863" s="64"/>
      <c r="AE863" s="64"/>
    </row>
    <row r="864" spans="1:31" ht="17.25" customHeight="1">
      <c r="A864" s="79"/>
      <c r="B864" s="64"/>
      <c r="C864" s="64"/>
      <c r="D864" s="64"/>
      <c r="E864" s="64"/>
      <c r="F864" s="64"/>
      <c r="G864" s="64"/>
      <c r="H864" s="87"/>
      <c r="I864" s="64"/>
      <c r="J864" s="64"/>
      <c r="K864" s="64"/>
      <c r="L864" s="64"/>
      <c r="M864" s="79"/>
      <c r="N864" s="64"/>
      <c r="O864" s="64"/>
      <c r="P864" s="64"/>
      <c r="Q864" s="64"/>
      <c r="R864" s="64"/>
      <c r="S864" s="64"/>
      <c r="T864" s="64"/>
      <c r="U864" s="78"/>
      <c r="V864" s="64"/>
      <c r="W864" s="79"/>
      <c r="X864" s="64"/>
      <c r="Y864" s="64"/>
      <c r="Z864" s="64"/>
      <c r="AA864" s="64"/>
      <c r="AB864" s="64"/>
      <c r="AC864" s="64"/>
      <c r="AD864" s="64"/>
      <c r="AE864" s="64"/>
    </row>
    <row r="865" spans="1:31" ht="17.25" customHeight="1">
      <c r="A865" s="79"/>
      <c r="B865" s="64"/>
      <c r="C865" s="64"/>
      <c r="D865" s="64"/>
      <c r="E865" s="64"/>
      <c r="F865" s="64"/>
      <c r="G865" s="64"/>
      <c r="H865" s="87"/>
      <c r="I865" s="64"/>
      <c r="J865" s="64"/>
      <c r="K865" s="64"/>
      <c r="L865" s="64"/>
      <c r="M865" s="79"/>
      <c r="N865" s="64"/>
      <c r="O865" s="64"/>
      <c r="P865" s="64"/>
      <c r="Q865" s="64"/>
      <c r="R865" s="64"/>
      <c r="S865" s="64"/>
      <c r="T865" s="64"/>
      <c r="U865" s="78"/>
      <c r="V865" s="64"/>
      <c r="W865" s="79"/>
      <c r="X865" s="64"/>
      <c r="Y865" s="64"/>
      <c r="Z865" s="64"/>
      <c r="AA865" s="64"/>
      <c r="AB865" s="64"/>
      <c r="AC865" s="64"/>
      <c r="AD865" s="64"/>
      <c r="AE865" s="64"/>
    </row>
    <row r="866" spans="1:31" ht="17.25" customHeight="1">
      <c r="A866" s="79"/>
      <c r="B866" s="64"/>
      <c r="C866" s="64"/>
      <c r="D866" s="64"/>
      <c r="E866" s="64"/>
      <c r="F866" s="64"/>
      <c r="G866" s="64"/>
      <c r="H866" s="87"/>
      <c r="I866" s="64"/>
      <c r="J866" s="64"/>
      <c r="K866" s="64"/>
      <c r="L866" s="64"/>
      <c r="M866" s="79"/>
      <c r="N866" s="64"/>
      <c r="O866" s="64"/>
      <c r="P866" s="64"/>
      <c r="Q866" s="64"/>
      <c r="R866" s="64"/>
      <c r="S866" s="64"/>
      <c r="T866" s="64"/>
      <c r="U866" s="78"/>
      <c r="V866" s="64"/>
      <c r="W866" s="79"/>
      <c r="X866" s="64"/>
      <c r="Y866" s="64"/>
      <c r="Z866" s="64"/>
      <c r="AA866" s="64"/>
      <c r="AB866" s="64"/>
      <c r="AC866" s="64"/>
      <c r="AD866" s="64"/>
      <c r="AE866" s="64"/>
    </row>
    <row r="867" spans="1:31" ht="17.25" customHeight="1">
      <c r="A867" s="79"/>
      <c r="B867" s="64"/>
      <c r="C867" s="64"/>
      <c r="D867" s="64"/>
      <c r="E867" s="64"/>
      <c r="F867" s="64"/>
      <c r="G867" s="64"/>
      <c r="H867" s="87"/>
      <c r="I867" s="64"/>
      <c r="J867" s="64"/>
      <c r="K867" s="64"/>
      <c r="L867" s="64"/>
      <c r="M867" s="79"/>
      <c r="N867" s="64"/>
      <c r="O867" s="64"/>
      <c r="P867" s="64"/>
      <c r="Q867" s="64"/>
      <c r="R867" s="64"/>
      <c r="S867" s="64"/>
      <c r="T867" s="64"/>
      <c r="U867" s="78"/>
      <c r="V867" s="64"/>
      <c r="W867" s="79"/>
      <c r="X867" s="64"/>
      <c r="Y867" s="64"/>
      <c r="Z867" s="64"/>
      <c r="AA867" s="64"/>
      <c r="AB867" s="64"/>
      <c r="AC867" s="64"/>
      <c r="AD867" s="64"/>
      <c r="AE867" s="64"/>
    </row>
    <row r="868" spans="1:31" ht="17.25" customHeight="1">
      <c r="A868" s="79"/>
      <c r="B868" s="64"/>
      <c r="C868" s="64"/>
      <c r="D868" s="64"/>
      <c r="E868" s="64"/>
      <c r="F868" s="64"/>
      <c r="G868" s="64"/>
      <c r="H868" s="87"/>
      <c r="I868" s="64"/>
      <c r="J868" s="64"/>
      <c r="K868" s="64"/>
      <c r="L868" s="64"/>
      <c r="M868" s="79"/>
      <c r="N868" s="64"/>
      <c r="O868" s="64"/>
      <c r="P868" s="64"/>
      <c r="Q868" s="64"/>
      <c r="R868" s="64"/>
      <c r="S868" s="64"/>
      <c r="T868" s="64"/>
      <c r="U868" s="78"/>
      <c r="V868" s="64"/>
      <c r="W868" s="79"/>
      <c r="X868" s="64"/>
      <c r="Y868" s="64"/>
      <c r="Z868" s="64"/>
      <c r="AA868" s="64"/>
      <c r="AB868" s="64"/>
      <c r="AC868" s="64"/>
      <c r="AD868" s="64"/>
      <c r="AE868" s="64"/>
    </row>
    <row r="869" spans="1:31" ht="17.25" customHeight="1">
      <c r="A869" s="79"/>
      <c r="B869" s="64"/>
      <c r="C869" s="64"/>
      <c r="D869" s="64"/>
      <c r="E869" s="64"/>
      <c r="F869" s="64"/>
      <c r="G869" s="64"/>
      <c r="H869" s="87"/>
      <c r="I869" s="64"/>
      <c r="J869" s="64"/>
      <c r="K869" s="64"/>
      <c r="L869" s="64"/>
      <c r="M869" s="79"/>
      <c r="N869" s="64"/>
      <c r="O869" s="64"/>
      <c r="P869" s="64"/>
      <c r="Q869" s="64"/>
      <c r="R869" s="64"/>
      <c r="S869" s="64"/>
      <c r="T869" s="64"/>
      <c r="U869" s="78"/>
      <c r="V869" s="64"/>
      <c r="W869" s="79"/>
      <c r="X869" s="64"/>
      <c r="Y869" s="64"/>
      <c r="Z869" s="64"/>
      <c r="AA869" s="64"/>
      <c r="AB869" s="64"/>
      <c r="AC869" s="64"/>
      <c r="AD869" s="64"/>
      <c r="AE869" s="64"/>
    </row>
    <row r="870" spans="1:31" ht="17.25" customHeight="1">
      <c r="A870" s="79"/>
      <c r="B870" s="64"/>
      <c r="C870" s="64"/>
      <c r="D870" s="64"/>
      <c r="E870" s="64"/>
      <c r="F870" s="64"/>
      <c r="G870" s="64"/>
      <c r="H870" s="87"/>
      <c r="I870" s="64"/>
      <c r="J870" s="64"/>
      <c r="K870" s="64"/>
      <c r="L870" s="64"/>
      <c r="M870" s="79"/>
      <c r="N870" s="64"/>
      <c r="O870" s="64"/>
      <c r="P870" s="64"/>
      <c r="Q870" s="64"/>
      <c r="R870" s="64"/>
      <c r="S870" s="64"/>
      <c r="T870" s="64"/>
      <c r="U870" s="78"/>
      <c r="V870" s="64"/>
      <c r="W870" s="79"/>
      <c r="X870" s="64"/>
      <c r="Y870" s="64"/>
      <c r="Z870" s="64"/>
      <c r="AA870" s="64"/>
      <c r="AB870" s="64"/>
      <c r="AC870" s="64"/>
      <c r="AD870" s="64"/>
      <c r="AE870" s="64"/>
    </row>
    <row r="871" spans="1:31" ht="17.25" customHeight="1">
      <c r="A871" s="79"/>
      <c r="B871" s="64"/>
      <c r="C871" s="64"/>
      <c r="D871" s="64"/>
      <c r="E871" s="64"/>
      <c r="F871" s="64"/>
      <c r="G871" s="64"/>
      <c r="H871" s="87"/>
      <c r="I871" s="64"/>
      <c r="J871" s="64"/>
      <c r="K871" s="64"/>
      <c r="L871" s="64"/>
      <c r="M871" s="79"/>
      <c r="N871" s="64"/>
      <c r="O871" s="64"/>
      <c r="P871" s="64"/>
      <c r="Q871" s="64"/>
      <c r="R871" s="64"/>
      <c r="S871" s="64"/>
      <c r="T871" s="64"/>
      <c r="U871" s="78"/>
      <c r="V871" s="64"/>
      <c r="W871" s="79"/>
      <c r="X871" s="64"/>
      <c r="Y871" s="64"/>
      <c r="Z871" s="64"/>
      <c r="AA871" s="64"/>
      <c r="AB871" s="64"/>
      <c r="AC871" s="64"/>
      <c r="AD871" s="64"/>
      <c r="AE871" s="64"/>
    </row>
    <row r="872" spans="1:31" ht="17.25" customHeight="1">
      <c r="A872" s="79"/>
      <c r="B872" s="64"/>
      <c r="C872" s="64"/>
      <c r="D872" s="64"/>
      <c r="E872" s="64"/>
      <c r="F872" s="64"/>
      <c r="G872" s="64"/>
      <c r="H872" s="87"/>
      <c r="I872" s="64"/>
      <c r="J872" s="64"/>
      <c r="K872" s="64"/>
      <c r="L872" s="64"/>
      <c r="M872" s="79"/>
      <c r="N872" s="64"/>
      <c r="O872" s="64"/>
      <c r="P872" s="64"/>
      <c r="Q872" s="64"/>
      <c r="R872" s="64"/>
      <c r="S872" s="64"/>
      <c r="T872" s="64"/>
      <c r="U872" s="78"/>
      <c r="V872" s="64"/>
      <c r="W872" s="79"/>
      <c r="X872" s="64"/>
      <c r="Y872" s="64"/>
      <c r="Z872" s="64"/>
      <c r="AA872" s="64"/>
      <c r="AB872" s="64"/>
      <c r="AC872" s="64"/>
      <c r="AD872" s="64"/>
      <c r="AE872" s="64"/>
    </row>
    <row r="873" spans="1:31" ht="17.25" customHeight="1">
      <c r="A873" s="79"/>
      <c r="B873" s="64"/>
      <c r="C873" s="64"/>
      <c r="D873" s="64"/>
      <c r="E873" s="64"/>
      <c r="F873" s="64"/>
      <c r="G873" s="64"/>
      <c r="H873" s="87"/>
      <c r="I873" s="64"/>
      <c r="J873" s="64"/>
      <c r="K873" s="64"/>
      <c r="L873" s="64"/>
      <c r="M873" s="79"/>
      <c r="N873" s="64"/>
      <c r="O873" s="64"/>
      <c r="P873" s="64"/>
      <c r="Q873" s="64"/>
      <c r="R873" s="64"/>
      <c r="S873" s="64"/>
      <c r="T873" s="64"/>
      <c r="U873" s="78"/>
      <c r="V873" s="64"/>
      <c r="W873" s="79"/>
      <c r="X873" s="64"/>
      <c r="Y873" s="64"/>
      <c r="Z873" s="64"/>
      <c r="AA873" s="64"/>
      <c r="AB873" s="64"/>
      <c r="AC873" s="64"/>
      <c r="AD873" s="64"/>
      <c r="AE873" s="64"/>
    </row>
    <row r="874" spans="1:31" ht="17.25" customHeight="1">
      <c r="A874" s="79"/>
      <c r="B874" s="64"/>
      <c r="C874" s="64"/>
      <c r="D874" s="64"/>
      <c r="E874" s="64"/>
      <c r="F874" s="64"/>
      <c r="G874" s="64"/>
      <c r="H874" s="87"/>
      <c r="I874" s="64"/>
      <c r="J874" s="64"/>
      <c r="K874" s="64"/>
      <c r="L874" s="64"/>
      <c r="M874" s="79"/>
      <c r="N874" s="64"/>
      <c r="O874" s="64"/>
      <c r="P874" s="64"/>
      <c r="Q874" s="64"/>
      <c r="R874" s="64"/>
      <c r="S874" s="64"/>
      <c r="T874" s="64"/>
      <c r="U874" s="78"/>
      <c r="V874" s="64"/>
      <c r="W874" s="79"/>
      <c r="X874" s="64"/>
      <c r="Y874" s="64"/>
      <c r="Z874" s="64"/>
      <c r="AA874" s="64"/>
      <c r="AB874" s="64"/>
      <c r="AC874" s="64"/>
      <c r="AD874" s="64"/>
      <c r="AE874" s="64"/>
    </row>
    <row r="875" spans="1:31" ht="17.25" customHeight="1">
      <c r="A875" s="79"/>
      <c r="B875" s="64"/>
      <c r="C875" s="64"/>
      <c r="D875" s="64"/>
      <c r="E875" s="64"/>
      <c r="F875" s="64"/>
      <c r="G875" s="64"/>
      <c r="H875" s="87"/>
      <c r="I875" s="64"/>
      <c r="J875" s="64"/>
      <c r="K875" s="64"/>
      <c r="L875" s="64"/>
      <c r="M875" s="79"/>
      <c r="N875" s="64"/>
      <c r="O875" s="64"/>
      <c r="P875" s="64"/>
      <c r="Q875" s="64"/>
      <c r="R875" s="64"/>
      <c r="S875" s="64"/>
      <c r="T875" s="64"/>
      <c r="U875" s="78"/>
      <c r="V875" s="64"/>
      <c r="W875" s="79"/>
      <c r="X875" s="64"/>
      <c r="Y875" s="64"/>
      <c r="Z875" s="64"/>
      <c r="AA875" s="64"/>
      <c r="AB875" s="64"/>
      <c r="AC875" s="64"/>
      <c r="AD875" s="64"/>
      <c r="AE875" s="64"/>
    </row>
    <row r="876" spans="1:31" ht="17.25" customHeight="1">
      <c r="A876" s="79"/>
      <c r="B876" s="64"/>
      <c r="C876" s="64"/>
      <c r="D876" s="64"/>
      <c r="E876" s="64"/>
      <c r="F876" s="64"/>
      <c r="G876" s="64"/>
      <c r="H876" s="87"/>
      <c r="I876" s="64"/>
      <c r="J876" s="64"/>
      <c r="K876" s="64"/>
      <c r="L876" s="64"/>
      <c r="M876" s="79"/>
      <c r="N876" s="64"/>
      <c r="O876" s="64"/>
      <c r="P876" s="64"/>
      <c r="Q876" s="64"/>
      <c r="R876" s="64"/>
      <c r="S876" s="64"/>
      <c r="T876" s="64"/>
      <c r="U876" s="78"/>
      <c r="V876" s="64"/>
      <c r="W876" s="79"/>
      <c r="X876" s="64"/>
      <c r="Y876" s="64"/>
      <c r="Z876" s="64"/>
      <c r="AA876" s="64"/>
      <c r="AB876" s="64"/>
      <c r="AC876" s="64"/>
      <c r="AD876" s="64"/>
      <c r="AE876" s="64"/>
    </row>
    <row r="877" spans="1:31" ht="17.25" customHeight="1">
      <c r="A877" s="79"/>
      <c r="B877" s="64"/>
      <c r="C877" s="64"/>
      <c r="D877" s="64"/>
      <c r="E877" s="64"/>
      <c r="F877" s="64"/>
      <c r="G877" s="64"/>
      <c r="H877" s="87"/>
      <c r="I877" s="64"/>
      <c r="J877" s="64"/>
      <c r="K877" s="64"/>
      <c r="L877" s="64"/>
      <c r="M877" s="79"/>
      <c r="N877" s="64"/>
      <c r="O877" s="64"/>
      <c r="P877" s="64"/>
      <c r="Q877" s="64"/>
      <c r="R877" s="64"/>
      <c r="S877" s="64"/>
      <c r="T877" s="64"/>
      <c r="U877" s="78"/>
      <c r="V877" s="64"/>
      <c r="W877" s="79"/>
      <c r="X877" s="64"/>
      <c r="Y877" s="64"/>
      <c r="Z877" s="64"/>
      <c r="AA877" s="64"/>
      <c r="AB877" s="64"/>
      <c r="AC877" s="64"/>
      <c r="AD877" s="64"/>
      <c r="AE877" s="64"/>
    </row>
    <row r="878" spans="1:31" ht="17.25" customHeight="1">
      <c r="A878" s="79"/>
      <c r="B878" s="64"/>
      <c r="C878" s="64"/>
      <c r="D878" s="64"/>
      <c r="E878" s="64"/>
      <c r="F878" s="64"/>
      <c r="G878" s="64"/>
      <c r="H878" s="87"/>
      <c r="I878" s="64"/>
      <c r="J878" s="64"/>
      <c r="K878" s="64"/>
      <c r="L878" s="64"/>
      <c r="M878" s="79"/>
      <c r="N878" s="64"/>
      <c r="O878" s="64"/>
      <c r="P878" s="64"/>
      <c r="Q878" s="64"/>
      <c r="R878" s="64"/>
      <c r="S878" s="64"/>
      <c r="T878" s="64"/>
      <c r="U878" s="78"/>
      <c r="V878" s="64"/>
      <c r="W878" s="79"/>
      <c r="X878" s="64"/>
      <c r="Y878" s="64"/>
      <c r="Z878" s="64"/>
      <c r="AA878" s="64"/>
      <c r="AB878" s="64"/>
      <c r="AC878" s="64"/>
      <c r="AD878" s="64"/>
      <c r="AE878" s="64"/>
    </row>
    <row r="879" spans="1:31" ht="17.25" customHeight="1">
      <c r="A879" s="79"/>
      <c r="B879" s="64"/>
      <c r="C879" s="64"/>
      <c r="D879" s="64"/>
      <c r="E879" s="64"/>
      <c r="F879" s="64"/>
      <c r="G879" s="64"/>
      <c r="H879" s="87"/>
      <c r="I879" s="64"/>
      <c r="J879" s="64"/>
      <c r="K879" s="64"/>
      <c r="L879" s="64"/>
      <c r="M879" s="79"/>
      <c r="N879" s="64"/>
      <c r="O879" s="64"/>
      <c r="P879" s="64"/>
      <c r="Q879" s="64"/>
      <c r="R879" s="64"/>
      <c r="S879" s="64"/>
      <c r="T879" s="64"/>
      <c r="U879" s="78"/>
      <c r="V879" s="64"/>
      <c r="W879" s="79"/>
      <c r="X879" s="64"/>
      <c r="Y879" s="64"/>
      <c r="Z879" s="64"/>
      <c r="AA879" s="64"/>
      <c r="AB879" s="64"/>
      <c r="AC879" s="64"/>
      <c r="AD879" s="64"/>
      <c r="AE879" s="64"/>
    </row>
    <row r="880" spans="1:31" ht="17.25" customHeight="1">
      <c r="A880" s="79"/>
      <c r="B880" s="64"/>
      <c r="C880" s="64"/>
      <c r="D880" s="64"/>
      <c r="E880" s="64"/>
      <c r="F880" s="64"/>
      <c r="G880" s="64"/>
      <c r="H880" s="87"/>
      <c r="I880" s="64"/>
      <c r="J880" s="64"/>
      <c r="K880" s="64"/>
      <c r="L880" s="64"/>
      <c r="M880" s="79"/>
      <c r="N880" s="64"/>
      <c r="O880" s="64"/>
      <c r="P880" s="64"/>
      <c r="Q880" s="64"/>
      <c r="R880" s="64"/>
      <c r="S880" s="64"/>
      <c r="T880" s="64"/>
      <c r="U880" s="78"/>
      <c r="V880" s="64"/>
      <c r="W880" s="79"/>
      <c r="X880" s="64"/>
      <c r="Y880" s="64"/>
      <c r="Z880" s="64"/>
      <c r="AA880" s="64"/>
      <c r="AB880" s="64"/>
      <c r="AC880" s="64"/>
      <c r="AD880" s="64"/>
      <c r="AE880" s="64"/>
    </row>
    <row r="881" spans="1:31" ht="17.25" customHeight="1">
      <c r="A881" s="79"/>
      <c r="B881" s="64"/>
      <c r="C881" s="64"/>
      <c r="D881" s="64"/>
      <c r="E881" s="64"/>
      <c r="F881" s="64"/>
      <c r="G881" s="64"/>
      <c r="H881" s="87"/>
      <c r="I881" s="64"/>
      <c r="J881" s="64"/>
      <c r="K881" s="64"/>
      <c r="L881" s="64"/>
      <c r="M881" s="79"/>
      <c r="N881" s="64"/>
      <c r="O881" s="64"/>
      <c r="P881" s="64"/>
      <c r="Q881" s="64"/>
      <c r="R881" s="64"/>
      <c r="S881" s="64"/>
      <c r="T881" s="64"/>
      <c r="U881" s="78"/>
      <c r="V881" s="64"/>
      <c r="W881" s="79"/>
      <c r="X881" s="64"/>
      <c r="Y881" s="64"/>
      <c r="Z881" s="64"/>
      <c r="AA881" s="64"/>
      <c r="AB881" s="64"/>
      <c r="AC881" s="64"/>
      <c r="AD881" s="64"/>
      <c r="AE881" s="64"/>
    </row>
    <row r="882" spans="1:31" ht="17.25" customHeight="1">
      <c r="A882" s="79"/>
      <c r="B882" s="64"/>
      <c r="C882" s="64"/>
      <c r="D882" s="64"/>
      <c r="E882" s="64"/>
      <c r="F882" s="64"/>
      <c r="G882" s="64"/>
      <c r="H882" s="87"/>
      <c r="I882" s="64"/>
      <c r="J882" s="64"/>
      <c r="K882" s="64"/>
      <c r="L882" s="64"/>
      <c r="M882" s="79"/>
      <c r="N882" s="64"/>
      <c r="O882" s="64"/>
      <c r="P882" s="64"/>
      <c r="Q882" s="64"/>
      <c r="R882" s="64"/>
      <c r="S882" s="64"/>
      <c r="T882" s="64"/>
      <c r="U882" s="78"/>
      <c r="V882" s="64"/>
      <c r="W882" s="79"/>
      <c r="X882" s="64"/>
      <c r="Y882" s="64"/>
      <c r="Z882" s="64"/>
      <c r="AA882" s="64"/>
      <c r="AB882" s="64"/>
      <c r="AC882" s="64"/>
      <c r="AD882" s="64"/>
      <c r="AE882" s="64"/>
    </row>
    <row r="883" spans="1:31" ht="17.25" customHeight="1">
      <c r="A883" s="79"/>
      <c r="B883" s="64"/>
      <c r="C883" s="64"/>
      <c r="D883" s="64"/>
      <c r="E883" s="64"/>
      <c r="F883" s="64"/>
      <c r="G883" s="64"/>
      <c r="H883" s="87"/>
      <c r="I883" s="64"/>
      <c r="J883" s="64"/>
      <c r="K883" s="64"/>
      <c r="L883" s="64"/>
      <c r="M883" s="79"/>
      <c r="N883" s="64"/>
      <c r="O883" s="64"/>
      <c r="P883" s="64"/>
      <c r="Q883" s="64"/>
      <c r="R883" s="64"/>
      <c r="S883" s="64"/>
      <c r="T883" s="64"/>
      <c r="U883" s="78"/>
      <c r="V883" s="64"/>
      <c r="W883" s="79"/>
      <c r="X883" s="64"/>
      <c r="Y883" s="64"/>
      <c r="Z883" s="64"/>
      <c r="AA883" s="64"/>
      <c r="AB883" s="64"/>
      <c r="AC883" s="64"/>
      <c r="AD883" s="64"/>
      <c r="AE883" s="64"/>
    </row>
    <row r="884" spans="1:31" ht="17.25" customHeight="1">
      <c r="A884" s="79"/>
      <c r="B884" s="64"/>
      <c r="C884" s="64"/>
      <c r="D884" s="64"/>
      <c r="E884" s="64"/>
      <c r="F884" s="64"/>
      <c r="G884" s="64"/>
      <c r="H884" s="87"/>
      <c r="I884" s="64"/>
      <c r="J884" s="64"/>
      <c r="K884" s="64"/>
      <c r="L884" s="64"/>
      <c r="M884" s="79"/>
      <c r="N884" s="64"/>
      <c r="O884" s="64"/>
      <c r="P884" s="64"/>
      <c r="Q884" s="64"/>
      <c r="R884" s="64"/>
      <c r="S884" s="64"/>
      <c r="T884" s="64"/>
      <c r="U884" s="78"/>
      <c r="V884" s="64"/>
      <c r="W884" s="79"/>
      <c r="X884" s="64"/>
      <c r="Y884" s="64"/>
      <c r="Z884" s="64"/>
      <c r="AA884" s="64"/>
      <c r="AB884" s="64"/>
      <c r="AC884" s="64"/>
      <c r="AD884" s="64"/>
      <c r="AE884" s="64"/>
    </row>
    <row r="885" spans="1:31" ht="17.25" customHeight="1">
      <c r="A885" s="79"/>
      <c r="B885" s="64"/>
      <c r="C885" s="64"/>
      <c r="D885" s="64"/>
      <c r="E885" s="64"/>
      <c r="F885" s="64"/>
      <c r="G885" s="64"/>
      <c r="H885" s="87"/>
      <c r="I885" s="64"/>
      <c r="J885" s="64"/>
      <c r="K885" s="64"/>
      <c r="L885" s="64"/>
      <c r="M885" s="79"/>
      <c r="N885" s="64"/>
      <c r="O885" s="64"/>
      <c r="P885" s="64"/>
      <c r="Q885" s="64"/>
      <c r="R885" s="64"/>
      <c r="S885" s="64"/>
      <c r="T885" s="64"/>
      <c r="U885" s="78"/>
      <c r="V885" s="64"/>
      <c r="W885" s="79"/>
      <c r="X885" s="64"/>
      <c r="Y885" s="64"/>
      <c r="Z885" s="64"/>
      <c r="AA885" s="64"/>
      <c r="AB885" s="64"/>
      <c r="AC885" s="64"/>
      <c r="AD885" s="64"/>
      <c r="AE885" s="64"/>
    </row>
    <row r="886" spans="1:31" ht="17.25" customHeight="1">
      <c r="A886" s="79"/>
      <c r="B886" s="64"/>
      <c r="C886" s="64"/>
      <c r="D886" s="64"/>
      <c r="E886" s="64"/>
      <c r="F886" s="64"/>
      <c r="G886" s="64"/>
      <c r="H886" s="87"/>
      <c r="I886" s="64"/>
      <c r="J886" s="64"/>
      <c r="K886" s="64"/>
      <c r="L886" s="64"/>
      <c r="M886" s="79"/>
      <c r="N886" s="64"/>
      <c r="O886" s="64"/>
      <c r="P886" s="64"/>
      <c r="Q886" s="64"/>
      <c r="R886" s="64"/>
      <c r="S886" s="64"/>
      <c r="T886" s="64"/>
      <c r="U886" s="78"/>
      <c r="V886" s="64"/>
      <c r="W886" s="79"/>
      <c r="X886" s="64"/>
      <c r="Y886" s="64"/>
      <c r="Z886" s="64"/>
      <c r="AA886" s="64"/>
      <c r="AB886" s="64"/>
      <c r="AC886" s="64"/>
      <c r="AD886" s="64"/>
      <c r="AE886" s="64"/>
    </row>
    <row r="887" spans="1:31" ht="17.25" customHeight="1">
      <c r="A887" s="79"/>
      <c r="B887" s="64"/>
      <c r="C887" s="64"/>
      <c r="D887" s="64"/>
      <c r="E887" s="64"/>
      <c r="F887" s="64"/>
      <c r="G887" s="64"/>
      <c r="H887" s="87"/>
      <c r="I887" s="64"/>
      <c r="J887" s="64"/>
      <c r="K887" s="64"/>
      <c r="L887" s="64"/>
      <c r="M887" s="79"/>
      <c r="N887" s="64"/>
      <c r="O887" s="64"/>
      <c r="P887" s="64"/>
      <c r="Q887" s="64"/>
      <c r="R887" s="64"/>
      <c r="S887" s="64"/>
      <c r="T887" s="64"/>
      <c r="U887" s="78"/>
      <c r="V887" s="64"/>
      <c r="W887" s="79"/>
      <c r="X887" s="64"/>
      <c r="Y887" s="64"/>
      <c r="Z887" s="64"/>
      <c r="AA887" s="64"/>
      <c r="AB887" s="64"/>
      <c r="AC887" s="64"/>
      <c r="AD887" s="64"/>
      <c r="AE887" s="64"/>
    </row>
    <row r="888" spans="1:31" ht="17.25" customHeight="1">
      <c r="A888" s="79"/>
      <c r="B888" s="64"/>
      <c r="C888" s="64"/>
      <c r="D888" s="64"/>
      <c r="E888" s="64"/>
      <c r="F888" s="64"/>
      <c r="G888" s="64"/>
      <c r="H888" s="87"/>
      <c r="I888" s="64"/>
      <c r="J888" s="64"/>
      <c r="K888" s="64"/>
      <c r="L888" s="64"/>
      <c r="M888" s="79"/>
      <c r="N888" s="64"/>
      <c r="O888" s="64"/>
      <c r="P888" s="64"/>
      <c r="Q888" s="64"/>
      <c r="R888" s="64"/>
      <c r="S888" s="64"/>
      <c r="T888" s="64"/>
      <c r="U888" s="78"/>
      <c r="V888" s="64"/>
      <c r="W888" s="79"/>
      <c r="X888" s="64"/>
      <c r="Y888" s="64"/>
      <c r="Z888" s="64"/>
      <c r="AA888" s="64"/>
      <c r="AB888" s="64"/>
      <c r="AC888" s="64"/>
      <c r="AD888" s="64"/>
      <c r="AE888" s="64"/>
    </row>
    <row r="889" spans="1:31" ht="17.25" customHeight="1">
      <c r="A889" s="79"/>
      <c r="B889" s="64"/>
      <c r="C889" s="64"/>
      <c r="D889" s="64"/>
      <c r="E889" s="64"/>
      <c r="F889" s="64"/>
      <c r="G889" s="64"/>
      <c r="H889" s="87"/>
      <c r="I889" s="64"/>
      <c r="J889" s="64"/>
      <c r="K889" s="64"/>
      <c r="L889" s="64"/>
      <c r="M889" s="79"/>
      <c r="N889" s="64"/>
      <c r="O889" s="64"/>
      <c r="P889" s="64"/>
      <c r="Q889" s="64"/>
      <c r="R889" s="64"/>
      <c r="S889" s="64"/>
      <c r="T889" s="64"/>
      <c r="U889" s="78"/>
      <c r="V889" s="64"/>
      <c r="W889" s="79"/>
      <c r="X889" s="64"/>
      <c r="Y889" s="64"/>
      <c r="Z889" s="64"/>
      <c r="AA889" s="64"/>
      <c r="AB889" s="64"/>
      <c r="AC889" s="64"/>
      <c r="AD889" s="64"/>
      <c r="AE889" s="64"/>
    </row>
    <row r="890" spans="1:31" ht="17.25" customHeight="1">
      <c r="A890" s="79"/>
      <c r="B890" s="64"/>
      <c r="C890" s="64"/>
      <c r="D890" s="64"/>
      <c r="E890" s="64"/>
      <c r="F890" s="64"/>
      <c r="G890" s="64"/>
      <c r="H890" s="87"/>
      <c r="I890" s="64"/>
      <c r="J890" s="64"/>
      <c r="K890" s="64"/>
      <c r="L890" s="64"/>
      <c r="M890" s="79"/>
      <c r="N890" s="64"/>
      <c r="O890" s="64"/>
      <c r="P890" s="64"/>
      <c r="Q890" s="64"/>
      <c r="R890" s="64"/>
      <c r="S890" s="64"/>
      <c r="T890" s="64"/>
      <c r="U890" s="78"/>
      <c r="V890" s="64"/>
      <c r="W890" s="79"/>
      <c r="X890" s="64"/>
      <c r="Y890" s="64"/>
      <c r="Z890" s="64"/>
      <c r="AA890" s="64"/>
      <c r="AB890" s="64"/>
      <c r="AC890" s="64"/>
      <c r="AD890" s="64"/>
      <c r="AE890" s="64"/>
    </row>
    <row r="891" spans="1:31" ht="17.25" customHeight="1">
      <c r="A891" s="79"/>
      <c r="B891" s="64"/>
      <c r="C891" s="64"/>
      <c r="D891" s="64"/>
      <c r="E891" s="64"/>
      <c r="F891" s="64"/>
      <c r="G891" s="64"/>
      <c r="H891" s="87"/>
      <c r="I891" s="64"/>
      <c r="J891" s="64"/>
      <c r="K891" s="64"/>
      <c r="L891" s="64"/>
      <c r="M891" s="79"/>
      <c r="N891" s="64"/>
      <c r="O891" s="64"/>
      <c r="P891" s="64"/>
      <c r="Q891" s="64"/>
      <c r="R891" s="64"/>
      <c r="S891" s="64"/>
      <c r="T891" s="64"/>
      <c r="U891" s="78"/>
      <c r="V891" s="64"/>
      <c r="W891" s="79"/>
      <c r="X891" s="64"/>
      <c r="Y891" s="64"/>
      <c r="Z891" s="64"/>
      <c r="AA891" s="64"/>
      <c r="AB891" s="64"/>
      <c r="AC891" s="64"/>
      <c r="AD891" s="64"/>
      <c r="AE891" s="64"/>
    </row>
    <row r="892" spans="1:31" ht="17.25" customHeight="1">
      <c r="A892" s="79"/>
      <c r="B892" s="64"/>
      <c r="C892" s="64"/>
      <c r="D892" s="64"/>
      <c r="E892" s="64"/>
      <c r="F892" s="64"/>
      <c r="G892" s="64"/>
      <c r="H892" s="87"/>
      <c r="I892" s="64"/>
      <c r="J892" s="64"/>
      <c r="K892" s="64"/>
      <c r="L892" s="64"/>
      <c r="M892" s="79"/>
      <c r="N892" s="64"/>
      <c r="O892" s="64"/>
      <c r="P892" s="64"/>
      <c r="Q892" s="64"/>
      <c r="R892" s="64"/>
      <c r="S892" s="64"/>
      <c r="T892" s="64"/>
      <c r="U892" s="78"/>
      <c r="V892" s="64"/>
      <c r="W892" s="79"/>
      <c r="X892" s="64"/>
      <c r="Y892" s="64"/>
      <c r="Z892" s="64"/>
      <c r="AA892" s="64"/>
      <c r="AB892" s="64"/>
      <c r="AC892" s="64"/>
      <c r="AD892" s="64"/>
      <c r="AE892" s="64"/>
    </row>
    <row r="893" spans="1:31" ht="17.25" customHeight="1">
      <c r="A893" s="79"/>
      <c r="B893" s="64"/>
      <c r="C893" s="64"/>
      <c r="D893" s="64"/>
      <c r="E893" s="64"/>
      <c r="F893" s="64"/>
      <c r="G893" s="64"/>
      <c r="H893" s="87"/>
      <c r="I893" s="64"/>
      <c r="J893" s="64"/>
      <c r="K893" s="64"/>
      <c r="L893" s="64"/>
      <c r="M893" s="79"/>
      <c r="N893" s="64"/>
      <c r="O893" s="64"/>
      <c r="P893" s="64"/>
      <c r="Q893" s="64"/>
      <c r="R893" s="64"/>
      <c r="S893" s="64"/>
      <c r="T893" s="64"/>
      <c r="U893" s="78"/>
      <c r="V893" s="64"/>
      <c r="W893" s="79"/>
      <c r="X893" s="64"/>
      <c r="Y893" s="64"/>
      <c r="Z893" s="64"/>
      <c r="AA893" s="64"/>
      <c r="AB893" s="64"/>
      <c r="AC893" s="64"/>
      <c r="AD893" s="64"/>
      <c r="AE893" s="64"/>
    </row>
    <row r="894" spans="1:31" ht="17.25" customHeight="1">
      <c r="A894" s="79"/>
      <c r="B894" s="64"/>
      <c r="C894" s="64"/>
      <c r="D894" s="64"/>
      <c r="E894" s="64"/>
      <c r="F894" s="64"/>
      <c r="G894" s="64"/>
      <c r="H894" s="87"/>
      <c r="I894" s="64"/>
      <c r="J894" s="64"/>
      <c r="K894" s="64"/>
      <c r="L894" s="64"/>
      <c r="M894" s="79"/>
      <c r="N894" s="64"/>
      <c r="O894" s="64"/>
      <c r="P894" s="64"/>
      <c r="Q894" s="64"/>
      <c r="R894" s="64"/>
      <c r="S894" s="64"/>
      <c r="T894" s="64"/>
      <c r="U894" s="78"/>
      <c r="V894" s="64"/>
      <c r="W894" s="79"/>
      <c r="X894" s="64"/>
      <c r="Y894" s="64"/>
      <c r="Z894" s="64"/>
      <c r="AA894" s="64"/>
      <c r="AB894" s="64"/>
      <c r="AC894" s="64"/>
      <c r="AD894" s="64"/>
      <c r="AE894" s="64"/>
    </row>
    <row r="895" spans="1:31" ht="17.25" customHeight="1">
      <c r="A895" s="79"/>
      <c r="B895" s="64"/>
      <c r="C895" s="64"/>
      <c r="D895" s="64"/>
      <c r="E895" s="64"/>
      <c r="F895" s="64"/>
      <c r="G895" s="64"/>
      <c r="H895" s="87"/>
      <c r="I895" s="64"/>
      <c r="J895" s="64"/>
      <c r="K895" s="64"/>
      <c r="L895" s="64"/>
      <c r="M895" s="79"/>
      <c r="N895" s="64"/>
      <c r="O895" s="64"/>
      <c r="P895" s="64"/>
      <c r="Q895" s="64"/>
      <c r="R895" s="64"/>
      <c r="S895" s="64"/>
      <c r="T895" s="64"/>
      <c r="U895" s="78"/>
      <c r="V895" s="64"/>
      <c r="W895" s="79"/>
      <c r="X895" s="64"/>
      <c r="Y895" s="64"/>
      <c r="Z895" s="64"/>
      <c r="AA895" s="64"/>
      <c r="AB895" s="64"/>
      <c r="AC895" s="64"/>
      <c r="AD895" s="64"/>
      <c r="AE895" s="64"/>
    </row>
    <row r="896" spans="1:31" ht="17.25" customHeight="1">
      <c r="A896" s="79"/>
      <c r="B896" s="64"/>
      <c r="C896" s="64"/>
      <c r="D896" s="64"/>
      <c r="E896" s="64"/>
      <c r="F896" s="64"/>
      <c r="G896" s="64"/>
      <c r="H896" s="87"/>
      <c r="I896" s="64"/>
      <c r="J896" s="64"/>
      <c r="K896" s="64"/>
      <c r="L896" s="64"/>
      <c r="M896" s="79"/>
      <c r="N896" s="64"/>
      <c r="O896" s="64"/>
      <c r="P896" s="64"/>
      <c r="Q896" s="64"/>
      <c r="R896" s="64"/>
      <c r="S896" s="64"/>
      <c r="T896" s="64"/>
      <c r="U896" s="78"/>
      <c r="V896" s="64"/>
      <c r="W896" s="79"/>
      <c r="X896" s="64"/>
      <c r="Y896" s="64"/>
      <c r="Z896" s="64"/>
      <c r="AA896" s="64"/>
      <c r="AB896" s="64"/>
      <c r="AC896" s="64"/>
      <c r="AD896" s="64"/>
      <c r="AE896" s="64"/>
    </row>
    <row r="897" spans="1:31" ht="17.25" customHeight="1">
      <c r="A897" s="79"/>
      <c r="B897" s="64"/>
      <c r="C897" s="64"/>
      <c r="D897" s="64"/>
      <c r="E897" s="64"/>
      <c r="F897" s="64"/>
      <c r="G897" s="64"/>
      <c r="H897" s="87"/>
      <c r="I897" s="64"/>
      <c r="J897" s="64"/>
      <c r="K897" s="64"/>
      <c r="L897" s="64"/>
      <c r="M897" s="79"/>
      <c r="N897" s="64"/>
      <c r="O897" s="64"/>
      <c r="P897" s="64"/>
      <c r="Q897" s="64"/>
      <c r="R897" s="64"/>
      <c r="S897" s="64"/>
      <c r="T897" s="64"/>
      <c r="U897" s="78"/>
      <c r="V897" s="64"/>
      <c r="W897" s="79"/>
      <c r="X897" s="64"/>
      <c r="Y897" s="64"/>
      <c r="Z897" s="64"/>
      <c r="AA897" s="64"/>
      <c r="AB897" s="64"/>
      <c r="AC897" s="64"/>
      <c r="AD897" s="64"/>
      <c r="AE897" s="64"/>
    </row>
    <row r="898" spans="1:31" ht="17.25" customHeight="1">
      <c r="A898" s="79"/>
      <c r="B898" s="64"/>
      <c r="C898" s="64"/>
      <c r="D898" s="64"/>
      <c r="E898" s="64"/>
      <c r="F898" s="64"/>
      <c r="G898" s="64"/>
      <c r="H898" s="87"/>
      <c r="I898" s="64"/>
      <c r="J898" s="64"/>
      <c r="K898" s="64"/>
      <c r="L898" s="64"/>
      <c r="M898" s="79"/>
      <c r="N898" s="64"/>
      <c r="O898" s="64"/>
      <c r="P898" s="64"/>
      <c r="Q898" s="64"/>
      <c r="R898" s="64"/>
      <c r="S898" s="64"/>
      <c r="T898" s="64"/>
      <c r="U898" s="78"/>
      <c r="V898" s="64"/>
      <c r="W898" s="79"/>
      <c r="X898" s="64"/>
      <c r="Y898" s="64"/>
      <c r="Z898" s="64"/>
      <c r="AA898" s="64"/>
      <c r="AB898" s="64"/>
      <c r="AC898" s="64"/>
      <c r="AD898" s="64"/>
      <c r="AE898" s="64"/>
    </row>
    <row r="899" spans="1:31" ht="17.25" customHeight="1">
      <c r="A899" s="79"/>
      <c r="B899" s="64"/>
      <c r="C899" s="64"/>
      <c r="D899" s="64"/>
      <c r="E899" s="64"/>
      <c r="F899" s="64"/>
      <c r="G899" s="64"/>
      <c r="H899" s="87"/>
      <c r="I899" s="64"/>
      <c r="J899" s="64"/>
      <c r="K899" s="64"/>
      <c r="L899" s="64"/>
      <c r="M899" s="79"/>
      <c r="N899" s="64"/>
      <c r="O899" s="64"/>
      <c r="P899" s="64"/>
      <c r="Q899" s="64"/>
      <c r="R899" s="64"/>
      <c r="S899" s="64"/>
      <c r="T899" s="64"/>
      <c r="U899" s="78"/>
      <c r="V899" s="64"/>
      <c r="W899" s="79"/>
      <c r="X899" s="64"/>
      <c r="Y899" s="64"/>
      <c r="Z899" s="64"/>
      <c r="AA899" s="64"/>
      <c r="AB899" s="64"/>
      <c r="AC899" s="64"/>
      <c r="AD899" s="64"/>
      <c r="AE899" s="64"/>
    </row>
    <row r="900" spans="1:31" ht="17.25" customHeight="1">
      <c r="A900" s="79"/>
      <c r="B900" s="64"/>
      <c r="C900" s="64"/>
      <c r="D900" s="64"/>
      <c r="E900" s="64"/>
      <c r="F900" s="64"/>
      <c r="G900" s="64"/>
      <c r="H900" s="87"/>
      <c r="I900" s="64"/>
      <c r="J900" s="64"/>
      <c r="K900" s="64"/>
      <c r="L900" s="64"/>
      <c r="M900" s="79"/>
      <c r="N900" s="64"/>
      <c r="O900" s="64"/>
      <c r="P900" s="64"/>
      <c r="Q900" s="64"/>
      <c r="R900" s="64"/>
      <c r="S900" s="64"/>
      <c r="T900" s="64"/>
      <c r="U900" s="78"/>
      <c r="V900" s="64"/>
      <c r="W900" s="79"/>
      <c r="X900" s="64"/>
      <c r="Y900" s="64"/>
      <c r="Z900" s="64"/>
      <c r="AA900" s="64"/>
      <c r="AB900" s="64"/>
      <c r="AC900" s="64"/>
      <c r="AD900" s="64"/>
      <c r="AE900" s="64"/>
    </row>
    <row r="901" spans="1:31" ht="17.25" customHeight="1">
      <c r="A901" s="79"/>
      <c r="B901" s="64"/>
      <c r="C901" s="64"/>
      <c r="D901" s="64"/>
      <c r="E901" s="64"/>
      <c r="F901" s="64"/>
      <c r="G901" s="64"/>
      <c r="H901" s="87"/>
      <c r="I901" s="64"/>
      <c r="J901" s="64"/>
      <c r="K901" s="64"/>
      <c r="L901" s="64"/>
      <c r="M901" s="79"/>
      <c r="N901" s="64"/>
      <c r="O901" s="64"/>
      <c r="P901" s="64"/>
      <c r="Q901" s="64"/>
      <c r="R901" s="64"/>
      <c r="S901" s="64"/>
      <c r="T901" s="64"/>
      <c r="U901" s="78"/>
      <c r="V901" s="64"/>
      <c r="W901" s="79"/>
      <c r="X901" s="64"/>
      <c r="Y901" s="64"/>
      <c r="Z901" s="64"/>
      <c r="AA901" s="64"/>
      <c r="AB901" s="64"/>
      <c r="AC901" s="64"/>
      <c r="AD901" s="64"/>
      <c r="AE901" s="64"/>
    </row>
    <row r="902" spans="1:31" ht="17.25" customHeight="1">
      <c r="A902" s="79"/>
      <c r="B902" s="64"/>
      <c r="C902" s="64"/>
      <c r="D902" s="64"/>
      <c r="E902" s="64"/>
      <c r="F902" s="64"/>
      <c r="G902" s="64"/>
      <c r="H902" s="87"/>
      <c r="I902" s="64"/>
      <c r="J902" s="64"/>
      <c r="K902" s="64"/>
      <c r="L902" s="64"/>
      <c r="M902" s="79"/>
      <c r="N902" s="64"/>
      <c r="O902" s="64"/>
      <c r="P902" s="64"/>
      <c r="Q902" s="64"/>
      <c r="R902" s="64"/>
      <c r="S902" s="64"/>
      <c r="T902" s="64"/>
      <c r="U902" s="78"/>
      <c r="V902" s="64"/>
      <c r="W902" s="79"/>
      <c r="X902" s="64"/>
      <c r="Y902" s="64"/>
      <c r="Z902" s="64"/>
      <c r="AA902" s="64"/>
      <c r="AB902" s="64"/>
      <c r="AC902" s="64"/>
      <c r="AD902" s="64"/>
      <c r="AE902" s="64"/>
    </row>
    <row r="903" spans="1:31" ht="17.25" customHeight="1">
      <c r="A903" s="79"/>
      <c r="B903" s="64"/>
      <c r="C903" s="64"/>
      <c r="D903" s="64"/>
      <c r="E903" s="64"/>
      <c r="F903" s="64"/>
      <c r="G903" s="64"/>
      <c r="H903" s="87"/>
      <c r="I903" s="64"/>
      <c r="J903" s="64"/>
      <c r="K903" s="64"/>
      <c r="L903" s="64"/>
      <c r="M903" s="79"/>
      <c r="N903" s="64"/>
      <c r="O903" s="64"/>
      <c r="P903" s="64"/>
      <c r="Q903" s="64"/>
      <c r="R903" s="64"/>
      <c r="S903" s="64"/>
      <c r="T903" s="64"/>
      <c r="U903" s="78"/>
      <c r="V903" s="64"/>
      <c r="W903" s="79"/>
      <c r="X903" s="64"/>
      <c r="Y903" s="64"/>
      <c r="Z903" s="64"/>
      <c r="AA903" s="64"/>
      <c r="AB903" s="64"/>
      <c r="AC903" s="64"/>
      <c r="AD903" s="64"/>
      <c r="AE903" s="64"/>
    </row>
    <row r="904" spans="1:31" ht="17.25" customHeight="1">
      <c r="A904" s="79"/>
      <c r="B904" s="64"/>
      <c r="C904" s="64"/>
      <c r="D904" s="64"/>
      <c r="E904" s="64"/>
      <c r="F904" s="64"/>
      <c r="G904" s="64"/>
      <c r="H904" s="87"/>
      <c r="I904" s="64"/>
      <c r="J904" s="64"/>
      <c r="K904" s="64"/>
      <c r="L904" s="64"/>
      <c r="M904" s="79"/>
      <c r="N904" s="64"/>
      <c r="O904" s="64"/>
      <c r="P904" s="64"/>
      <c r="Q904" s="64"/>
      <c r="R904" s="64"/>
      <c r="S904" s="64"/>
      <c r="T904" s="64"/>
      <c r="U904" s="78"/>
      <c r="V904" s="64"/>
      <c r="W904" s="79"/>
      <c r="X904" s="64"/>
      <c r="Y904" s="64"/>
      <c r="Z904" s="64"/>
      <c r="AA904" s="64"/>
      <c r="AB904" s="64"/>
      <c r="AC904" s="64"/>
      <c r="AD904" s="64"/>
      <c r="AE904" s="64"/>
    </row>
    <row r="905" spans="1:31" ht="17.25" customHeight="1">
      <c r="A905" s="79"/>
      <c r="B905" s="64"/>
      <c r="C905" s="64"/>
      <c r="D905" s="64"/>
      <c r="E905" s="64"/>
      <c r="F905" s="64"/>
      <c r="G905" s="64"/>
      <c r="H905" s="87"/>
      <c r="I905" s="64"/>
      <c r="J905" s="64"/>
      <c r="K905" s="64"/>
      <c r="L905" s="64"/>
      <c r="M905" s="79"/>
      <c r="N905" s="64"/>
      <c r="O905" s="64"/>
      <c r="P905" s="64"/>
      <c r="Q905" s="64"/>
      <c r="R905" s="64"/>
      <c r="S905" s="64"/>
      <c r="T905" s="64"/>
      <c r="U905" s="78"/>
      <c r="V905" s="64"/>
      <c r="W905" s="79"/>
      <c r="X905" s="64"/>
      <c r="Y905" s="64"/>
      <c r="Z905" s="64"/>
      <c r="AA905" s="64"/>
      <c r="AB905" s="64"/>
      <c r="AC905" s="64"/>
      <c r="AD905" s="64"/>
      <c r="AE905" s="64"/>
    </row>
    <row r="906" spans="1:31" ht="17.25" customHeight="1">
      <c r="A906" s="79"/>
      <c r="B906" s="64"/>
      <c r="C906" s="64"/>
      <c r="D906" s="64"/>
      <c r="E906" s="64"/>
      <c r="F906" s="64"/>
      <c r="G906" s="64"/>
      <c r="H906" s="87"/>
      <c r="I906" s="64"/>
      <c r="J906" s="64"/>
      <c r="K906" s="64"/>
      <c r="L906" s="64"/>
      <c r="M906" s="79"/>
      <c r="N906" s="64"/>
      <c r="O906" s="64"/>
      <c r="P906" s="64"/>
      <c r="Q906" s="64"/>
      <c r="R906" s="64"/>
      <c r="S906" s="64"/>
      <c r="T906" s="64"/>
      <c r="U906" s="78"/>
      <c r="V906" s="64"/>
      <c r="W906" s="79"/>
      <c r="X906" s="64"/>
      <c r="Y906" s="64"/>
      <c r="Z906" s="64"/>
      <c r="AA906" s="64"/>
      <c r="AB906" s="64"/>
      <c r="AC906" s="64"/>
      <c r="AD906" s="64"/>
      <c r="AE906" s="64"/>
    </row>
    <row r="907" spans="1:31" ht="17.25" customHeight="1">
      <c r="A907" s="79"/>
      <c r="B907" s="64"/>
      <c r="C907" s="64"/>
      <c r="D907" s="64"/>
      <c r="E907" s="64"/>
      <c r="F907" s="64"/>
      <c r="G907" s="64"/>
      <c r="H907" s="87"/>
      <c r="I907" s="64"/>
      <c r="J907" s="64"/>
      <c r="K907" s="64"/>
      <c r="L907" s="64"/>
      <c r="M907" s="79"/>
      <c r="N907" s="64"/>
      <c r="O907" s="64"/>
      <c r="P907" s="64"/>
      <c r="Q907" s="64"/>
      <c r="R907" s="64"/>
      <c r="S907" s="64"/>
      <c r="T907" s="64"/>
      <c r="U907" s="78"/>
      <c r="V907" s="64"/>
      <c r="W907" s="79"/>
      <c r="X907" s="64"/>
      <c r="Y907" s="64"/>
      <c r="Z907" s="64"/>
      <c r="AA907" s="64"/>
      <c r="AB907" s="64"/>
      <c r="AC907" s="64"/>
      <c r="AD907" s="64"/>
      <c r="AE907" s="64"/>
    </row>
    <row r="908" spans="1:31" ht="17.25" customHeight="1">
      <c r="A908" s="79"/>
      <c r="B908" s="64"/>
      <c r="C908" s="64"/>
      <c r="D908" s="64"/>
      <c r="E908" s="64"/>
      <c r="F908" s="64"/>
      <c r="G908" s="64"/>
      <c r="H908" s="87"/>
      <c r="I908" s="64"/>
      <c r="J908" s="64"/>
      <c r="K908" s="64"/>
      <c r="L908" s="64"/>
      <c r="M908" s="79"/>
      <c r="N908" s="64"/>
      <c r="O908" s="64"/>
      <c r="P908" s="64"/>
      <c r="Q908" s="64"/>
      <c r="R908" s="64"/>
      <c r="S908" s="64"/>
      <c r="T908" s="64"/>
      <c r="U908" s="78"/>
      <c r="V908" s="64"/>
      <c r="W908" s="79"/>
      <c r="X908" s="64"/>
      <c r="Y908" s="64"/>
      <c r="Z908" s="64"/>
      <c r="AA908" s="64"/>
      <c r="AB908" s="64"/>
      <c r="AC908" s="64"/>
      <c r="AD908" s="64"/>
      <c r="AE908" s="64"/>
    </row>
    <row r="909" spans="1:31" ht="17.25" customHeight="1">
      <c r="A909" s="79"/>
      <c r="B909" s="64"/>
      <c r="C909" s="64"/>
      <c r="D909" s="64"/>
      <c r="E909" s="64"/>
      <c r="F909" s="64"/>
      <c r="G909" s="64"/>
      <c r="H909" s="87"/>
      <c r="I909" s="64"/>
      <c r="J909" s="64"/>
      <c r="K909" s="64"/>
      <c r="L909" s="64"/>
      <c r="M909" s="79"/>
      <c r="N909" s="64"/>
      <c r="O909" s="64"/>
      <c r="P909" s="64"/>
      <c r="Q909" s="64"/>
      <c r="R909" s="64"/>
      <c r="S909" s="64"/>
      <c r="T909" s="64"/>
      <c r="U909" s="78"/>
      <c r="V909" s="64"/>
      <c r="W909" s="79"/>
      <c r="X909" s="64"/>
      <c r="Y909" s="64"/>
      <c r="Z909" s="64"/>
      <c r="AA909" s="64"/>
      <c r="AB909" s="64"/>
      <c r="AC909" s="64"/>
      <c r="AD909" s="64"/>
      <c r="AE909" s="64"/>
    </row>
    <row r="910" spans="1:31" ht="17.25" customHeight="1">
      <c r="A910" s="79"/>
      <c r="B910" s="64"/>
      <c r="C910" s="64"/>
      <c r="D910" s="64"/>
      <c r="E910" s="64"/>
      <c r="F910" s="64"/>
      <c r="G910" s="64"/>
      <c r="H910" s="87"/>
      <c r="I910" s="64"/>
      <c r="J910" s="64"/>
      <c r="K910" s="64"/>
      <c r="L910" s="64"/>
      <c r="M910" s="79"/>
      <c r="N910" s="64"/>
      <c r="O910" s="64"/>
      <c r="P910" s="64"/>
      <c r="Q910" s="64"/>
      <c r="R910" s="64"/>
      <c r="S910" s="64"/>
      <c r="T910" s="64"/>
      <c r="U910" s="78"/>
      <c r="V910" s="64"/>
      <c r="W910" s="79"/>
      <c r="X910" s="64"/>
      <c r="Y910" s="64"/>
      <c r="Z910" s="64"/>
      <c r="AA910" s="64"/>
      <c r="AB910" s="64"/>
      <c r="AC910" s="64"/>
      <c r="AD910" s="64"/>
      <c r="AE910" s="64"/>
    </row>
    <row r="911" spans="1:31" ht="17.25" customHeight="1">
      <c r="A911" s="79"/>
      <c r="B911" s="64"/>
      <c r="C911" s="64"/>
      <c r="D911" s="64"/>
      <c r="E911" s="64"/>
      <c r="F911" s="64"/>
      <c r="G911" s="64"/>
      <c r="H911" s="87"/>
      <c r="I911" s="64"/>
      <c r="J911" s="64"/>
      <c r="K911" s="64"/>
      <c r="L911" s="64"/>
      <c r="M911" s="79"/>
      <c r="N911" s="64"/>
      <c r="O911" s="64"/>
      <c r="P911" s="64"/>
      <c r="Q911" s="64"/>
      <c r="R911" s="64"/>
      <c r="S911" s="64"/>
      <c r="T911" s="64"/>
      <c r="U911" s="78"/>
      <c r="V911" s="64"/>
      <c r="W911" s="79"/>
      <c r="X911" s="64"/>
      <c r="Y911" s="64"/>
      <c r="Z911" s="64"/>
      <c r="AA911" s="64"/>
      <c r="AB911" s="64"/>
      <c r="AC911" s="64"/>
      <c r="AD911" s="64"/>
      <c r="AE911" s="64"/>
    </row>
    <row r="912" spans="1:31" ht="17.25" customHeight="1">
      <c r="A912" s="79"/>
      <c r="B912" s="64"/>
      <c r="C912" s="64"/>
      <c r="D912" s="64"/>
      <c r="E912" s="64"/>
      <c r="F912" s="64"/>
      <c r="G912" s="64"/>
      <c r="H912" s="87"/>
      <c r="I912" s="64"/>
      <c r="J912" s="64"/>
      <c r="K912" s="64"/>
      <c r="L912" s="64"/>
      <c r="M912" s="79"/>
      <c r="N912" s="64"/>
      <c r="O912" s="64"/>
      <c r="P912" s="64"/>
      <c r="Q912" s="64"/>
      <c r="R912" s="64"/>
      <c r="S912" s="64"/>
      <c r="T912" s="64"/>
      <c r="U912" s="78"/>
      <c r="V912" s="64"/>
      <c r="W912" s="79"/>
      <c r="X912" s="64"/>
      <c r="Y912" s="64"/>
      <c r="Z912" s="64"/>
      <c r="AA912" s="64"/>
      <c r="AB912" s="64"/>
      <c r="AC912" s="64"/>
      <c r="AD912" s="64"/>
      <c r="AE912" s="64"/>
    </row>
    <row r="913" spans="1:31" ht="17.25" customHeight="1">
      <c r="A913" s="79"/>
      <c r="B913" s="64"/>
      <c r="C913" s="64"/>
      <c r="D913" s="64"/>
      <c r="E913" s="64"/>
      <c r="F913" s="64"/>
      <c r="G913" s="64"/>
      <c r="H913" s="87"/>
      <c r="I913" s="64"/>
      <c r="J913" s="64"/>
      <c r="K913" s="64"/>
      <c r="L913" s="64"/>
      <c r="M913" s="79"/>
      <c r="N913" s="64"/>
      <c r="O913" s="64"/>
      <c r="P913" s="64"/>
      <c r="Q913" s="64"/>
      <c r="R913" s="64"/>
      <c r="S913" s="64"/>
      <c r="T913" s="64"/>
      <c r="U913" s="78"/>
      <c r="V913" s="64"/>
      <c r="W913" s="79"/>
      <c r="X913" s="64"/>
      <c r="Y913" s="64"/>
      <c r="Z913" s="64"/>
      <c r="AA913" s="64"/>
      <c r="AB913" s="64"/>
      <c r="AC913" s="64"/>
      <c r="AD913" s="64"/>
      <c r="AE913" s="64"/>
    </row>
    <row r="914" spans="1:31" ht="17.25" customHeight="1">
      <c r="A914" s="79"/>
      <c r="B914" s="64"/>
      <c r="C914" s="64"/>
      <c r="D914" s="64"/>
      <c r="E914" s="64"/>
      <c r="F914" s="64"/>
      <c r="G914" s="64"/>
      <c r="H914" s="87"/>
      <c r="I914" s="64"/>
      <c r="J914" s="64"/>
      <c r="K914" s="64"/>
      <c r="L914" s="64"/>
      <c r="M914" s="79"/>
      <c r="N914" s="64"/>
      <c r="O914" s="64"/>
      <c r="P914" s="64"/>
      <c r="Q914" s="64"/>
      <c r="R914" s="64"/>
      <c r="S914" s="64"/>
      <c r="T914" s="64"/>
      <c r="U914" s="78"/>
      <c r="V914" s="64"/>
      <c r="W914" s="79"/>
      <c r="X914" s="64"/>
      <c r="Y914" s="64"/>
      <c r="Z914" s="64"/>
      <c r="AA914" s="64"/>
      <c r="AB914" s="64"/>
      <c r="AC914" s="64"/>
      <c r="AD914" s="64"/>
      <c r="AE914" s="64"/>
    </row>
    <row r="915" spans="1:31" ht="17.25" customHeight="1">
      <c r="A915" s="79"/>
      <c r="B915" s="64"/>
      <c r="C915" s="64"/>
      <c r="D915" s="64"/>
      <c r="E915" s="64"/>
      <c r="F915" s="64"/>
      <c r="G915" s="64"/>
      <c r="H915" s="87"/>
      <c r="I915" s="64"/>
      <c r="J915" s="64"/>
      <c r="K915" s="64"/>
      <c r="L915" s="64"/>
      <c r="M915" s="79"/>
      <c r="N915" s="64"/>
      <c r="O915" s="64"/>
      <c r="P915" s="64"/>
      <c r="Q915" s="64"/>
      <c r="R915" s="64"/>
      <c r="S915" s="64"/>
      <c r="T915" s="64"/>
      <c r="U915" s="78"/>
      <c r="V915" s="64"/>
      <c r="W915" s="79"/>
      <c r="X915" s="64"/>
      <c r="Y915" s="64"/>
      <c r="Z915" s="64"/>
      <c r="AA915" s="64"/>
      <c r="AB915" s="64"/>
      <c r="AC915" s="64"/>
      <c r="AD915" s="64"/>
      <c r="AE915" s="64"/>
    </row>
    <row r="916" spans="1:31" ht="17.25" customHeight="1">
      <c r="A916" s="79"/>
      <c r="B916" s="64"/>
      <c r="C916" s="64"/>
      <c r="D916" s="64"/>
      <c r="E916" s="64"/>
      <c r="F916" s="64"/>
      <c r="G916" s="64"/>
      <c r="H916" s="87"/>
      <c r="I916" s="64"/>
      <c r="J916" s="64"/>
      <c r="K916" s="64"/>
      <c r="L916" s="64"/>
      <c r="M916" s="79"/>
      <c r="N916" s="64"/>
      <c r="O916" s="64"/>
      <c r="P916" s="64"/>
      <c r="Q916" s="64"/>
      <c r="R916" s="64"/>
      <c r="S916" s="64"/>
      <c r="T916" s="64"/>
      <c r="U916" s="78"/>
      <c r="V916" s="64"/>
      <c r="W916" s="79"/>
      <c r="X916" s="64"/>
      <c r="Y916" s="64"/>
      <c r="Z916" s="64"/>
      <c r="AA916" s="64"/>
      <c r="AB916" s="64"/>
      <c r="AC916" s="64"/>
      <c r="AD916" s="64"/>
      <c r="AE916" s="64"/>
    </row>
    <row r="917" spans="1:31" ht="17.25" customHeight="1">
      <c r="A917" s="79"/>
      <c r="B917" s="64"/>
      <c r="C917" s="64"/>
      <c r="D917" s="64"/>
      <c r="E917" s="64"/>
      <c r="F917" s="64"/>
      <c r="G917" s="64"/>
      <c r="H917" s="87"/>
      <c r="I917" s="64"/>
      <c r="J917" s="64"/>
      <c r="K917" s="64"/>
      <c r="L917" s="64"/>
      <c r="M917" s="79"/>
      <c r="N917" s="64"/>
      <c r="O917" s="64"/>
      <c r="P917" s="64"/>
      <c r="Q917" s="64"/>
      <c r="R917" s="64"/>
      <c r="S917" s="64"/>
      <c r="T917" s="64"/>
      <c r="U917" s="78"/>
      <c r="V917" s="64"/>
      <c r="W917" s="79"/>
      <c r="X917" s="64"/>
      <c r="Y917" s="64"/>
      <c r="Z917" s="64"/>
      <c r="AA917" s="64"/>
      <c r="AB917" s="64"/>
      <c r="AC917" s="64"/>
      <c r="AD917" s="64"/>
      <c r="AE917" s="64"/>
    </row>
    <row r="918" spans="1:31" ht="17.25" customHeight="1">
      <c r="A918" s="79"/>
      <c r="B918" s="64"/>
      <c r="C918" s="64"/>
      <c r="D918" s="64"/>
      <c r="E918" s="64"/>
      <c r="F918" s="64"/>
      <c r="G918" s="64"/>
      <c r="H918" s="87"/>
      <c r="I918" s="64"/>
      <c r="J918" s="64"/>
      <c r="K918" s="64"/>
      <c r="L918" s="64"/>
      <c r="M918" s="79"/>
      <c r="N918" s="64"/>
      <c r="O918" s="64"/>
      <c r="P918" s="64"/>
      <c r="Q918" s="64"/>
      <c r="R918" s="64"/>
      <c r="S918" s="64"/>
      <c r="T918" s="64"/>
      <c r="U918" s="78"/>
      <c r="V918" s="64"/>
      <c r="W918" s="79"/>
      <c r="X918" s="64"/>
      <c r="Y918" s="64"/>
      <c r="Z918" s="64"/>
      <c r="AA918" s="64"/>
      <c r="AB918" s="64"/>
      <c r="AC918" s="64"/>
      <c r="AD918" s="64"/>
      <c r="AE918" s="64"/>
    </row>
    <row r="919" spans="1:31" ht="17.25" customHeight="1">
      <c r="A919" s="79"/>
      <c r="B919" s="64"/>
      <c r="C919" s="64"/>
      <c r="D919" s="64"/>
      <c r="E919" s="64"/>
      <c r="F919" s="64"/>
      <c r="G919" s="64"/>
      <c r="H919" s="87"/>
      <c r="I919" s="64"/>
      <c r="J919" s="64"/>
      <c r="K919" s="64"/>
      <c r="L919" s="64"/>
      <c r="M919" s="79"/>
      <c r="N919" s="64"/>
      <c r="O919" s="64"/>
      <c r="P919" s="64"/>
      <c r="Q919" s="64"/>
      <c r="R919" s="64"/>
      <c r="S919" s="64"/>
      <c r="T919" s="64"/>
      <c r="U919" s="78"/>
      <c r="V919" s="64"/>
      <c r="W919" s="79"/>
      <c r="X919" s="64"/>
      <c r="Y919" s="64"/>
      <c r="Z919" s="64"/>
      <c r="AA919" s="64"/>
      <c r="AB919" s="64"/>
      <c r="AC919" s="64"/>
      <c r="AD919" s="64"/>
      <c r="AE919" s="64"/>
    </row>
    <row r="920" spans="1:31" ht="17.25" customHeight="1">
      <c r="A920" s="79"/>
      <c r="B920" s="64"/>
      <c r="C920" s="64"/>
      <c r="D920" s="64"/>
      <c r="E920" s="64"/>
      <c r="F920" s="64"/>
      <c r="G920" s="64"/>
      <c r="H920" s="87"/>
      <c r="I920" s="64"/>
      <c r="J920" s="64"/>
      <c r="K920" s="64"/>
      <c r="L920" s="64"/>
      <c r="M920" s="79"/>
      <c r="N920" s="64"/>
      <c r="O920" s="64"/>
      <c r="P920" s="64"/>
      <c r="Q920" s="64"/>
      <c r="R920" s="64"/>
      <c r="S920" s="64"/>
      <c r="T920" s="64"/>
      <c r="U920" s="78"/>
      <c r="V920" s="64"/>
      <c r="W920" s="79"/>
      <c r="X920" s="64"/>
      <c r="Y920" s="64"/>
      <c r="Z920" s="64"/>
      <c r="AA920" s="64"/>
      <c r="AB920" s="64"/>
      <c r="AC920" s="64"/>
      <c r="AD920" s="64"/>
      <c r="AE920" s="64"/>
    </row>
    <row r="921" spans="1:31" ht="17.25" customHeight="1">
      <c r="A921" s="79"/>
      <c r="B921" s="64"/>
      <c r="C921" s="64"/>
      <c r="D921" s="64"/>
      <c r="E921" s="64"/>
      <c r="F921" s="64"/>
      <c r="G921" s="64"/>
      <c r="H921" s="87"/>
      <c r="I921" s="64"/>
      <c r="J921" s="64"/>
      <c r="K921" s="64"/>
      <c r="L921" s="64"/>
      <c r="M921" s="79"/>
      <c r="N921" s="64"/>
      <c r="O921" s="64"/>
      <c r="P921" s="64"/>
      <c r="Q921" s="64"/>
      <c r="R921" s="64"/>
      <c r="S921" s="64"/>
      <c r="T921" s="64"/>
      <c r="U921" s="78"/>
      <c r="V921" s="64"/>
      <c r="W921" s="79"/>
      <c r="X921" s="64"/>
      <c r="Y921" s="64"/>
      <c r="Z921" s="64"/>
      <c r="AA921" s="64"/>
      <c r="AB921" s="64"/>
      <c r="AC921" s="64"/>
      <c r="AD921" s="64"/>
      <c r="AE921" s="64"/>
    </row>
    <row r="922" spans="1:31" ht="17.25" customHeight="1">
      <c r="A922" s="79"/>
      <c r="B922" s="64"/>
      <c r="C922" s="64"/>
      <c r="D922" s="64"/>
      <c r="E922" s="64"/>
      <c r="F922" s="64"/>
      <c r="G922" s="64"/>
      <c r="H922" s="87"/>
      <c r="I922" s="64"/>
      <c r="J922" s="64"/>
      <c r="K922" s="64"/>
      <c r="L922" s="64"/>
      <c r="M922" s="79"/>
      <c r="N922" s="64"/>
      <c r="O922" s="64"/>
      <c r="P922" s="64"/>
      <c r="Q922" s="64"/>
      <c r="R922" s="64"/>
      <c r="S922" s="64"/>
      <c r="T922" s="64"/>
      <c r="U922" s="78"/>
      <c r="V922" s="64"/>
      <c r="W922" s="79"/>
      <c r="X922" s="64"/>
      <c r="Y922" s="64"/>
      <c r="Z922" s="64"/>
      <c r="AA922" s="64"/>
      <c r="AB922" s="64"/>
      <c r="AC922" s="64"/>
      <c r="AD922" s="64"/>
      <c r="AE922" s="64"/>
    </row>
    <row r="923" spans="1:31" ht="17.25" customHeight="1">
      <c r="A923" s="79"/>
      <c r="B923" s="64"/>
      <c r="C923" s="64"/>
      <c r="D923" s="64"/>
      <c r="E923" s="64"/>
      <c r="F923" s="64"/>
      <c r="G923" s="64"/>
      <c r="H923" s="87"/>
      <c r="I923" s="64"/>
      <c r="J923" s="64"/>
      <c r="K923" s="64"/>
      <c r="L923" s="64"/>
      <c r="M923" s="79"/>
      <c r="N923" s="64"/>
      <c r="O923" s="64"/>
      <c r="P923" s="64"/>
      <c r="Q923" s="64"/>
      <c r="R923" s="64"/>
      <c r="S923" s="64"/>
      <c r="T923" s="64"/>
      <c r="U923" s="78"/>
      <c r="V923" s="64"/>
      <c r="W923" s="79"/>
      <c r="X923" s="64"/>
      <c r="Y923" s="64"/>
      <c r="Z923" s="64"/>
      <c r="AA923" s="64"/>
      <c r="AB923" s="64"/>
      <c r="AC923" s="64"/>
      <c r="AD923" s="64"/>
      <c r="AE923" s="64"/>
    </row>
    <row r="924" spans="1:31" ht="17.25" customHeight="1">
      <c r="A924" s="79"/>
      <c r="B924" s="64"/>
      <c r="C924" s="64"/>
      <c r="D924" s="64"/>
      <c r="E924" s="64"/>
      <c r="F924" s="64"/>
      <c r="G924" s="64"/>
      <c r="H924" s="87"/>
      <c r="I924" s="64"/>
      <c r="J924" s="64"/>
      <c r="K924" s="64"/>
      <c r="L924" s="64"/>
      <c r="M924" s="79"/>
      <c r="N924" s="64"/>
      <c r="O924" s="64"/>
      <c r="P924" s="64"/>
      <c r="Q924" s="64"/>
      <c r="R924" s="64"/>
      <c r="S924" s="64"/>
      <c r="T924" s="64"/>
      <c r="U924" s="78"/>
      <c r="V924" s="64"/>
      <c r="W924" s="79"/>
      <c r="X924" s="64"/>
      <c r="Y924" s="64"/>
      <c r="Z924" s="64"/>
      <c r="AA924" s="64"/>
      <c r="AB924" s="64"/>
      <c r="AC924" s="64"/>
      <c r="AD924" s="64"/>
      <c r="AE924" s="64"/>
    </row>
    <row r="925" spans="1:31" ht="17.25" customHeight="1">
      <c r="A925" s="79"/>
      <c r="B925" s="64"/>
      <c r="C925" s="64"/>
      <c r="D925" s="64"/>
      <c r="E925" s="64"/>
      <c r="F925" s="64"/>
      <c r="G925" s="64"/>
      <c r="H925" s="87"/>
      <c r="I925" s="64"/>
      <c r="J925" s="64"/>
      <c r="K925" s="64"/>
      <c r="L925" s="64"/>
      <c r="M925" s="79"/>
      <c r="N925" s="64"/>
      <c r="O925" s="64"/>
      <c r="P925" s="64"/>
      <c r="Q925" s="64"/>
      <c r="R925" s="64"/>
      <c r="S925" s="64"/>
      <c r="T925" s="64"/>
      <c r="U925" s="78"/>
      <c r="V925" s="64"/>
      <c r="W925" s="79"/>
      <c r="X925" s="64"/>
      <c r="Y925" s="64"/>
      <c r="Z925" s="64"/>
      <c r="AA925" s="64"/>
      <c r="AB925" s="64"/>
      <c r="AC925" s="64"/>
      <c r="AD925" s="64"/>
      <c r="AE925" s="64"/>
    </row>
    <row r="926" spans="1:31" ht="17.25" customHeight="1">
      <c r="A926" s="79"/>
      <c r="B926" s="64"/>
      <c r="C926" s="64"/>
      <c r="D926" s="64"/>
      <c r="E926" s="64"/>
      <c r="F926" s="64"/>
      <c r="G926" s="64"/>
      <c r="H926" s="87"/>
      <c r="I926" s="64"/>
      <c r="J926" s="64"/>
      <c r="K926" s="64"/>
      <c r="L926" s="64"/>
      <c r="M926" s="79"/>
      <c r="N926" s="64"/>
      <c r="O926" s="64"/>
      <c r="P926" s="64"/>
      <c r="Q926" s="64"/>
      <c r="R926" s="64"/>
      <c r="S926" s="64"/>
      <c r="T926" s="64"/>
      <c r="U926" s="78"/>
      <c r="V926" s="64"/>
      <c r="W926" s="79"/>
      <c r="X926" s="64"/>
      <c r="Y926" s="64"/>
      <c r="Z926" s="64"/>
      <c r="AA926" s="64"/>
      <c r="AB926" s="64"/>
      <c r="AC926" s="64"/>
      <c r="AD926" s="64"/>
      <c r="AE926" s="64"/>
    </row>
    <row r="927" spans="1:31" ht="17.25" customHeight="1">
      <c r="A927" s="79"/>
      <c r="B927" s="64"/>
      <c r="C927" s="64"/>
      <c r="D927" s="64"/>
      <c r="E927" s="64"/>
      <c r="F927" s="64"/>
      <c r="G927" s="64"/>
      <c r="H927" s="87"/>
      <c r="I927" s="64"/>
      <c r="J927" s="64"/>
      <c r="K927" s="64"/>
      <c r="L927" s="64"/>
      <c r="M927" s="79"/>
      <c r="N927" s="64"/>
      <c r="O927" s="64"/>
      <c r="P927" s="64"/>
      <c r="Q927" s="64"/>
      <c r="R927" s="64"/>
      <c r="S927" s="64"/>
      <c r="T927" s="64"/>
      <c r="U927" s="78"/>
      <c r="V927" s="64"/>
      <c r="W927" s="79"/>
      <c r="X927" s="64"/>
      <c r="Y927" s="64"/>
      <c r="Z927" s="64"/>
      <c r="AA927" s="64"/>
      <c r="AB927" s="64"/>
      <c r="AC927" s="64"/>
      <c r="AD927" s="64"/>
      <c r="AE927" s="64"/>
    </row>
    <row r="928" spans="1:31" ht="17.25" customHeight="1">
      <c r="A928" s="79"/>
      <c r="B928" s="64"/>
      <c r="C928" s="64"/>
      <c r="D928" s="64"/>
      <c r="E928" s="64"/>
      <c r="F928" s="64"/>
      <c r="G928" s="64"/>
      <c r="H928" s="87"/>
      <c r="I928" s="64"/>
      <c r="J928" s="64"/>
      <c r="K928" s="64"/>
      <c r="L928" s="64"/>
      <c r="M928" s="79"/>
      <c r="N928" s="64"/>
      <c r="O928" s="64"/>
      <c r="P928" s="64"/>
      <c r="Q928" s="64"/>
      <c r="R928" s="64"/>
      <c r="S928" s="64"/>
      <c r="T928" s="64"/>
      <c r="U928" s="78"/>
      <c r="V928" s="64"/>
      <c r="W928" s="79"/>
      <c r="X928" s="64"/>
      <c r="Y928" s="64"/>
      <c r="Z928" s="64"/>
      <c r="AA928" s="64"/>
      <c r="AB928" s="64"/>
      <c r="AC928" s="64"/>
      <c r="AD928" s="64"/>
      <c r="AE928" s="64"/>
    </row>
    <row r="929" spans="1:31" ht="17.25" customHeight="1">
      <c r="A929" s="79"/>
      <c r="B929" s="64"/>
      <c r="C929" s="64"/>
      <c r="D929" s="64"/>
      <c r="E929" s="64"/>
      <c r="F929" s="64"/>
      <c r="G929" s="64"/>
      <c r="H929" s="87"/>
      <c r="I929" s="64"/>
      <c r="J929" s="64"/>
      <c r="K929" s="64"/>
      <c r="L929" s="64"/>
      <c r="M929" s="79"/>
      <c r="N929" s="64"/>
      <c r="O929" s="64"/>
      <c r="P929" s="64"/>
      <c r="Q929" s="64"/>
      <c r="R929" s="64"/>
      <c r="S929" s="64"/>
      <c r="T929" s="64"/>
      <c r="U929" s="78"/>
      <c r="V929" s="64"/>
      <c r="W929" s="79"/>
      <c r="X929" s="64"/>
      <c r="Y929" s="64"/>
      <c r="Z929" s="64"/>
      <c r="AA929" s="64"/>
      <c r="AB929" s="64"/>
      <c r="AC929" s="64"/>
      <c r="AD929" s="64"/>
      <c r="AE929" s="64"/>
    </row>
    <row r="930" spans="1:31" ht="17.25" customHeight="1">
      <c r="A930" s="79"/>
      <c r="B930" s="64"/>
      <c r="C930" s="64"/>
      <c r="D930" s="64"/>
      <c r="E930" s="64"/>
      <c r="F930" s="64"/>
      <c r="G930" s="64"/>
      <c r="H930" s="87"/>
      <c r="I930" s="64"/>
      <c r="J930" s="64"/>
      <c r="K930" s="64"/>
      <c r="L930" s="64"/>
      <c r="M930" s="79"/>
      <c r="N930" s="64"/>
      <c r="O930" s="64"/>
      <c r="P930" s="64"/>
      <c r="Q930" s="64"/>
      <c r="R930" s="64"/>
      <c r="S930" s="64"/>
      <c r="T930" s="64"/>
      <c r="U930" s="78"/>
      <c r="V930" s="64"/>
      <c r="W930" s="79"/>
      <c r="X930" s="64"/>
      <c r="Y930" s="64"/>
      <c r="Z930" s="64"/>
      <c r="AA930" s="64"/>
      <c r="AB930" s="64"/>
      <c r="AC930" s="64"/>
      <c r="AD930" s="64"/>
      <c r="AE930" s="64"/>
    </row>
    <row r="931" spans="1:31" ht="17.25" customHeight="1">
      <c r="A931" s="79"/>
      <c r="B931" s="64"/>
      <c r="C931" s="64"/>
      <c r="D931" s="64"/>
      <c r="E931" s="64"/>
      <c r="F931" s="64"/>
      <c r="G931" s="64"/>
      <c r="H931" s="87"/>
      <c r="I931" s="64"/>
      <c r="J931" s="64"/>
      <c r="K931" s="64"/>
      <c r="L931" s="64"/>
      <c r="M931" s="79"/>
      <c r="N931" s="64"/>
      <c r="O931" s="64"/>
      <c r="P931" s="64"/>
      <c r="Q931" s="64"/>
      <c r="R931" s="64"/>
      <c r="S931" s="64"/>
      <c r="T931" s="64"/>
      <c r="U931" s="78"/>
      <c r="V931" s="64"/>
      <c r="W931" s="79"/>
      <c r="X931" s="64"/>
      <c r="Y931" s="64"/>
      <c r="Z931" s="64"/>
      <c r="AA931" s="64"/>
      <c r="AB931" s="64"/>
      <c r="AC931" s="64"/>
      <c r="AD931" s="64"/>
      <c r="AE931" s="64"/>
    </row>
    <row r="932" spans="1:31" ht="17.25" customHeight="1">
      <c r="A932" s="79"/>
      <c r="B932" s="64"/>
      <c r="C932" s="64"/>
      <c r="D932" s="64"/>
      <c r="E932" s="64"/>
      <c r="F932" s="64"/>
      <c r="G932" s="64"/>
      <c r="H932" s="87"/>
      <c r="I932" s="64"/>
      <c r="J932" s="64"/>
      <c r="K932" s="64"/>
      <c r="L932" s="64"/>
      <c r="M932" s="79"/>
      <c r="N932" s="64"/>
      <c r="O932" s="64"/>
      <c r="P932" s="64"/>
      <c r="Q932" s="64"/>
      <c r="R932" s="64"/>
      <c r="S932" s="64"/>
      <c r="T932" s="64"/>
      <c r="U932" s="78"/>
      <c r="V932" s="64"/>
      <c r="W932" s="79"/>
      <c r="X932" s="64"/>
      <c r="Y932" s="64"/>
      <c r="Z932" s="64"/>
      <c r="AA932" s="64"/>
      <c r="AB932" s="64"/>
      <c r="AC932" s="64"/>
      <c r="AD932" s="64"/>
      <c r="AE932" s="64"/>
    </row>
    <row r="933" spans="1:31" ht="17.25" customHeight="1">
      <c r="A933" s="79"/>
      <c r="B933" s="64"/>
      <c r="C933" s="64"/>
      <c r="D933" s="64"/>
      <c r="E933" s="64"/>
      <c r="F933" s="64"/>
      <c r="G933" s="64"/>
      <c r="H933" s="87"/>
      <c r="I933" s="64"/>
      <c r="J933" s="64"/>
      <c r="K933" s="64"/>
      <c r="L933" s="64"/>
      <c r="M933" s="79"/>
      <c r="N933" s="64"/>
      <c r="O933" s="64"/>
      <c r="P933" s="64"/>
      <c r="Q933" s="64"/>
      <c r="R933" s="64"/>
      <c r="S933" s="64"/>
      <c r="T933" s="64"/>
      <c r="U933" s="78"/>
      <c r="V933" s="64"/>
      <c r="W933" s="79"/>
      <c r="X933" s="64"/>
      <c r="Y933" s="64"/>
      <c r="Z933" s="64"/>
      <c r="AA933" s="64"/>
      <c r="AB933" s="64"/>
      <c r="AC933" s="64"/>
      <c r="AD933" s="64"/>
      <c r="AE933" s="64"/>
    </row>
    <row r="934" spans="1:31" ht="17.25" customHeight="1">
      <c r="A934" s="79"/>
      <c r="B934" s="64"/>
      <c r="C934" s="64"/>
      <c r="D934" s="64"/>
      <c r="E934" s="64"/>
      <c r="F934" s="64"/>
      <c r="G934" s="64"/>
      <c r="H934" s="87"/>
      <c r="I934" s="64"/>
      <c r="J934" s="64"/>
      <c r="K934" s="64"/>
      <c r="L934" s="64"/>
      <c r="M934" s="79"/>
      <c r="N934" s="64"/>
      <c r="O934" s="64"/>
      <c r="P934" s="64"/>
      <c r="Q934" s="64"/>
      <c r="R934" s="64"/>
      <c r="S934" s="64"/>
      <c r="T934" s="64"/>
      <c r="U934" s="78"/>
      <c r="V934" s="64"/>
      <c r="W934" s="79"/>
      <c r="X934" s="64"/>
      <c r="Y934" s="64"/>
      <c r="Z934" s="64"/>
      <c r="AA934" s="64"/>
      <c r="AB934" s="64"/>
      <c r="AC934" s="64"/>
      <c r="AD934" s="64"/>
      <c r="AE934" s="64"/>
    </row>
    <row r="935" spans="1:31" ht="17.25" customHeight="1">
      <c r="A935" s="79"/>
      <c r="B935" s="64"/>
      <c r="C935" s="64"/>
      <c r="D935" s="64"/>
      <c r="E935" s="64"/>
      <c r="F935" s="64"/>
      <c r="G935" s="64"/>
      <c r="H935" s="87"/>
      <c r="I935" s="64"/>
      <c r="J935" s="64"/>
      <c r="K935" s="64"/>
      <c r="L935" s="64"/>
      <c r="M935" s="79"/>
      <c r="N935" s="64"/>
      <c r="O935" s="64"/>
      <c r="P935" s="64"/>
      <c r="Q935" s="64"/>
      <c r="R935" s="64"/>
      <c r="S935" s="64"/>
      <c r="T935" s="64"/>
      <c r="U935" s="78"/>
      <c r="V935" s="64"/>
      <c r="W935" s="79"/>
      <c r="X935" s="64"/>
      <c r="Y935" s="64"/>
      <c r="Z935" s="64"/>
      <c r="AA935" s="64"/>
      <c r="AB935" s="64"/>
      <c r="AC935" s="64"/>
      <c r="AD935" s="64"/>
      <c r="AE935" s="64"/>
    </row>
    <row r="936" spans="1:31" ht="17.25" customHeight="1">
      <c r="A936" s="79"/>
      <c r="B936" s="64"/>
      <c r="C936" s="64"/>
      <c r="D936" s="64"/>
      <c r="E936" s="64"/>
      <c r="F936" s="64"/>
      <c r="G936" s="64"/>
      <c r="H936" s="87"/>
      <c r="I936" s="64"/>
      <c r="J936" s="64"/>
      <c r="K936" s="64"/>
      <c r="L936" s="64"/>
      <c r="M936" s="79"/>
      <c r="N936" s="64"/>
      <c r="O936" s="64"/>
      <c r="P936" s="64"/>
      <c r="Q936" s="64"/>
      <c r="R936" s="64"/>
      <c r="S936" s="64"/>
      <c r="T936" s="64"/>
      <c r="U936" s="78"/>
      <c r="V936" s="64"/>
      <c r="W936" s="79"/>
      <c r="X936" s="64"/>
      <c r="Y936" s="64"/>
      <c r="Z936" s="64"/>
      <c r="AA936" s="64"/>
      <c r="AB936" s="64"/>
      <c r="AC936" s="64"/>
      <c r="AD936" s="64"/>
      <c r="AE936" s="64"/>
    </row>
    <row r="937" spans="1:31" ht="17.25" customHeight="1">
      <c r="A937" s="79"/>
      <c r="B937" s="64"/>
      <c r="C937" s="64"/>
      <c r="D937" s="64"/>
      <c r="E937" s="64"/>
      <c r="F937" s="64"/>
      <c r="G937" s="64"/>
      <c r="H937" s="87"/>
      <c r="I937" s="64"/>
      <c r="J937" s="64"/>
      <c r="K937" s="64"/>
      <c r="L937" s="64"/>
      <c r="M937" s="79"/>
      <c r="N937" s="64"/>
      <c r="O937" s="64"/>
      <c r="P937" s="64"/>
      <c r="Q937" s="64"/>
      <c r="R937" s="64"/>
      <c r="S937" s="64"/>
      <c r="T937" s="64"/>
      <c r="U937" s="78"/>
      <c r="V937" s="64"/>
      <c r="W937" s="79"/>
      <c r="X937" s="64"/>
      <c r="Y937" s="64"/>
      <c r="Z937" s="64"/>
      <c r="AA937" s="64"/>
      <c r="AB937" s="64"/>
      <c r="AC937" s="64"/>
      <c r="AD937" s="64"/>
      <c r="AE937" s="64"/>
    </row>
    <row r="938" spans="1:31" ht="17.25" customHeight="1">
      <c r="A938" s="79"/>
      <c r="B938" s="64"/>
      <c r="C938" s="64"/>
      <c r="D938" s="64"/>
      <c r="E938" s="64"/>
      <c r="F938" s="64"/>
      <c r="G938" s="64"/>
      <c r="H938" s="87"/>
      <c r="I938" s="64"/>
      <c r="J938" s="64"/>
      <c r="K938" s="64"/>
      <c r="L938" s="64"/>
      <c r="M938" s="79"/>
      <c r="N938" s="64"/>
      <c r="O938" s="64"/>
      <c r="P938" s="64"/>
      <c r="Q938" s="64"/>
      <c r="R938" s="64"/>
      <c r="S938" s="64"/>
      <c r="T938" s="64"/>
      <c r="U938" s="78"/>
      <c r="V938" s="64"/>
      <c r="W938" s="79"/>
      <c r="X938" s="64"/>
      <c r="Y938" s="64"/>
      <c r="Z938" s="64"/>
      <c r="AA938" s="64"/>
      <c r="AB938" s="64"/>
      <c r="AC938" s="64"/>
      <c r="AD938" s="64"/>
      <c r="AE938" s="64"/>
    </row>
    <row r="939" spans="1:31" ht="17.25" customHeight="1">
      <c r="A939" s="79"/>
      <c r="B939" s="64"/>
      <c r="C939" s="64"/>
      <c r="D939" s="64"/>
      <c r="E939" s="64"/>
      <c r="F939" s="64"/>
      <c r="G939" s="64"/>
      <c r="H939" s="87"/>
      <c r="I939" s="64"/>
      <c r="J939" s="64"/>
      <c r="K939" s="64"/>
      <c r="L939" s="64"/>
      <c r="M939" s="79"/>
      <c r="N939" s="64"/>
      <c r="O939" s="64"/>
      <c r="P939" s="64"/>
      <c r="Q939" s="64"/>
      <c r="R939" s="64"/>
      <c r="S939" s="64"/>
      <c r="T939" s="64"/>
      <c r="U939" s="78"/>
      <c r="V939" s="64"/>
      <c r="W939" s="79"/>
      <c r="X939" s="64"/>
      <c r="Y939" s="64"/>
      <c r="Z939" s="64"/>
      <c r="AA939" s="64"/>
      <c r="AB939" s="64"/>
      <c r="AC939" s="64"/>
      <c r="AD939" s="64"/>
      <c r="AE939" s="64"/>
    </row>
    <row r="940" spans="1:31" ht="17.25" customHeight="1">
      <c r="A940" s="79"/>
      <c r="B940" s="64"/>
      <c r="C940" s="64"/>
      <c r="D940" s="64"/>
      <c r="E940" s="64"/>
      <c r="F940" s="64"/>
      <c r="G940" s="64"/>
      <c r="H940" s="87"/>
      <c r="I940" s="64"/>
      <c r="J940" s="64"/>
      <c r="K940" s="64"/>
      <c r="L940" s="64"/>
      <c r="M940" s="79"/>
      <c r="N940" s="64"/>
      <c r="O940" s="64"/>
      <c r="P940" s="64"/>
      <c r="Q940" s="64"/>
      <c r="R940" s="64"/>
      <c r="S940" s="64"/>
      <c r="T940" s="64"/>
      <c r="U940" s="78"/>
      <c r="V940" s="64"/>
      <c r="W940" s="79"/>
      <c r="X940" s="64"/>
      <c r="Y940" s="64"/>
      <c r="Z940" s="64"/>
      <c r="AA940" s="64"/>
      <c r="AB940" s="64"/>
      <c r="AC940" s="64"/>
      <c r="AD940" s="64"/>
      <c r="AE940" s="64"/>
    </row>
    <row r="941" spans="1:31" ht="17.25" customHeight="1">
      <c r="A941" s="79"/>
      <c r="B941" s="64"/>
      <c r="C941" s="64"/>
      <c r="D941" s="64"/>
      <c r="E941" s="64"/>
      <c r="F941" s="64"/>
      <c r="G941" s="64"/>
      <c r="H941" s="87"/>
      <c r="I941" s="64"/>
      <c r="J941" s="64"/>
      <c r="K941" s="64"/>
      <c r="L941" s="64"/>
      <c r="M941" s="79"/>
      <c r="N941" s="64"/>
      <c r="O941" s="64"/>
      <c r="P941" s="64"/>
      <c r="Q941" s="64"/>
      <c r="R941" s="64"/>
      <c r="S941" s="64"/>
      <c r="T941" s="64"/>
      <c r="U941" s="78"/>
      <c r="V941" s="64"/>
      <c r="W941" s="79"/>
      <c r="X941" s="64"/>
      <c r="Y941" s="64"/>
      <c r="Z941" s="64"/>
      <c r="AA941" s="64"/>
      <c r="AB941" s="64"/>
      <c r="AC941" s="64"/>
      <c r="AD941" s="64"/>
      <c r="AE941" s="64"/>
    </row>
    <row r="942" spans="1:31" ht="17.25" customHeight="1">
      <c r="A942" s="79"/>
      <c r="B942" s="64"/>
      <c r="C942" s="64"/>
      <c r="D942" s="64"/>
      <c r="E942" s="64"/>
      <c r="F942" s="64"/>
      <c r="G942" s="64"/>
      <c r="H942" s="87"/>
      <c r="I942" s="64"/>
      <c r="J942" s="64"/>
      <c r="K942" s="64"/>
      <c r="L942" s="64"/>
      <c r="M942" s="79"/>
      <c r="N942" s="64"/>
      <c r="O942" s="64"/>
      <c r="P942" s="64"/>
      <c r="Q942" s="64"/>
      <c r="R942" s="64"/>
      <c r="S942" s="64"/>
      <c r="T942" s="64"/>
      <c r="U942" s="78"/>
      <c r="V942" s="64"/>
      <c r="W942" s="79"/>
      <c r="X942" s="64"/>
      <c r="Y942" s="64"/>
      <c r="Z942" s="64"/>
      <c r="AA942" s="64"/>
      <c r="AB942" s="64"/>
      <c r="AC942" s="64"/>
      <c r="AD942" s="64"/>
      <c r="AE942" s="64"/>
    </row>
    <row r="943" spans="1:31" ht="17.25" customHeight="1">
      <c r="A943" s="79"/>
      <c r="B943" s="64"/>
      <c r="C943" s="64"/>
      <c r="D943" s="64"/>
      <c r="E943" s="64"/>
      <c r="F943" s="64"/>
      <c r="G943" s="64"/>
      <c r="H943" s="87"/>
      <c r="I943" s="64"/>
      <c r="J943" s="64"/>
      <c r="K943" s="64"/>
      <c r="L943" s="64"/>
      <c r="M943" s="79"/>
      <c r="N943" s="64"/>
      <c r="O943" s="64"/>
      <c r="P943" s="64"/>
      <c r="Q943" s="64"/>
      <c r="R943" s="64"/>
      <c r="S943" s="64"/>
      <c r="T943" s="64"/>
      <c r="U943" s="78"/>
      <c r="V943" s="64"/>
      <c r="W943" s="79"/>
      <c r="X943" s="64"/>
      <c r="Y943" s="64"/>
      <c r="Z943" s="64"/>
      <c r="AA943" s="64"/>
      <c r="AB943" s="64"/>
      <c r="AC943" s="64"/>
      <c r="AD943" s="64"/>
      <c r="AE943" s="64"/>
    </row>
    <row r="944" spans="1:31" ht="17.25" customHeight="1">
      <c r="A944" s="79"/>
      <c r="B944" s="64"/>
      <c r="C944" s="64"/>
      <c r="D944" s="64"/>
      <c r="E944" s="64"/>
      <c r="F944" s="64"/>
      <c r="G944" s="64"/>
      <c r="H944" s="87"/>
      <c r="I944" s="64"/>
      <c r="J944" s="64"/>
      <c r="K944" s="64"/>
      <c r="L944" s="64"/>
      <c r="M944" s="79"/>
      <c r="N944" s="64"/>
      <c r="O944" s="64"/>
      <c r="P944" s="64"/>
      <c r="Q944" s="64"/>
      <c r="R944" s="64"/>
      <c r="S944" s="64"/>
      <c r="T944" s="64"/>
      <c r="U944" s="78"/>
      <c r="V944" s="64"/>
      <c r="W944" s="79"/>
      <c r="X944" s="64"/>
      <c r="Y944" s="64"/>
      <c r="Z944" s="64"/>
      <c r="AA944" s="64"/>
      <c r="AB944" s="64"/>
      <c r="AC944" s="64"/>
      <c r="AD944" s="64"/>
      <c r="AE944" s="64"/>
    </row>
    <row r="945" spans="1:31" ht="17.25" customHeight="1">
      <c r="A945" s="79"/>
      <c r="B945" s="64"/>
      <c r="C945" s="64"/>
      <c r="D945" s="64"/>
      <c r="E945" s="64"/>
      <c r="F945" s="64"/>
      <c r="G945" s="64"/>
      <c r="H945" s="87"/>
      <c r="I945" s="64"/>
      <c r="J945" s="64"/>
      <c r="K945" s="64"/>
      <c r="L945" s="64"/>
      <c r="M945" s="79"/>
      <c r="N945" s="64"/>
      <c r="O945" s="64"/>
      <c r="P945" s="64"/>
      <c r="Q945" s="64"/>
      <c r="R945" s="64"/>
      <c r="S945" s="64"/>
      <c r="T945" s="64"/>
      <c r="U945" s="78"/>
      <c r="V945" s="64"/>
      <c r="W945" s="79"/>
      <c r="X945" s="64"/>
      <c r="Y945" s="64"/>
      <c r="Z945" s="64"/>
      <c r="AA945" s="64"/>
      <c r="AB945" s="64"/>
      <c r="AC945" s="64"/>
      <c r="AD945" s="64"/>
      <c r="AE945" s="64"/>
    </row>
    <row r="946" spans="1:31" ht="17.25" customHeight="1">
      <c r="A946" s="79"/>
      <c r="B946" s="64"/>
      <c r="C946" s="64"/>
      <c r="D946" s="64"/>
      <c r="E946" s="64"/>
      <c r="F946" s="64"/>
      <c r="G946" s="64"/>
      <c r="H946" s="87"/>
      <c r="I946" s="64"/>
      <c r="J946" s="64"/>
      <c r="K946" s="64"/>
      <c r="L946" s="64"/>
      <c r="M946" s="79"/>
      <c r="N946" s="64"/>
      <c r="O946" s="64"/>
      <c r="P946" s="64"/>
      <c r="Q946" s="64"/>
      <c r="R946" s="64"/>
      <c r="S946" s="64"/>
      <c r="T946" s="64"/>
      <c r="U946" s="78"/>
      <c r="V946" s="64"/>
      <c r="W946" s="79"/>
      <c r="X946" s="64"/>
      <c r="Y946" s="64"/>
      <c r="Z946" s="64"/>
      <c r="AA946" s="64"/>
      <c r="AB946" s="64"/>
      <c r="AC946" s="64"/>
      <c r="AD946" s="64"/>
      <c r="AE946" s="64"/>
    </row>
    <row r="947" spans="1:31" ht="17.25" customHeight="1">
      <c r="A947" s="79"/>
      <c r="B947" s="64"/>
      <c r="C947" s="64"/>
      <c r="D947" s="64"/>
      <c r="E947" s="64"/>
      <c r="F947" s="64"/>
      <c r="G947" s="64"/>
      <c r="H947" s="87"/>
      <c r="I947" s="64"/>
      <c r="J947" s="64"/>
      <c r="K947" s="64"/>
      <c r="L947" s="64"/>
      <c r="M947" s="79"/>
      <c r="N947" s="64"/>
      <c r="O947" s="64"/>
      <c r="P947" s="64"/>
      <c r="Q947" s="64"/>
      <c r="R947" s="64"/>
      <c r="S947" s="64"/>
      <c r="T947" s="64"/>
      <c r="U947" s="78"/>
      <c r="V947" s="64"/>
      <c r="W947" s="79"/>
      <c r="X947" s="64"/>
      <c r="Y947" s="64"/>
      <c r="Z947" s="64"/>
      <c r="AA947" s="64"/>
      <c r="AB947" s="64"/>
      <c r="AC947" s="64"/>
      <c r="AD947" s="64"/>
      <c r="AE947" s="64"/>
    </row>
    <row r="948" spans="1:31" ht="17.25" customHeight="1">
      <c r="A948" s="79"/>
      <c r="B948" s="64"/>
      <c r="C948" s="64"/>
      <c r="D948" s="64"/>
      <c r="E948" s="64"/>
      <c r="F948" s="64"/>
      <c r="G948" s="64"/>
      <c r="H948" s="87"/>
      <c r="I948" s="64"/>
      <c r="J948" s="64"/>
      <c r="K948" s="64"/>
      <c r="L948" s="64"/>
      <c r="M948" s="79"/>
      <c r="N948" s="64"/>
      <c r="O948" s="64"/>
      <c r="P948" s="64"/>
      <c r="Q948" s="64"/>
      <c r="R948" s="64"/>
      <c r="S948" s="64"/>
      <c r="T948" s="64"/>
      <c r="U948" s="78"/>
      <c r="V948" s="64"/>
      <c r="W948" s="79"/>
      <c r="X948" s="64"/>
      <c r="Y948" s="64"/>
      <c r="Z948" s="64"/>
      <c r="AA948" s="64"/>
      <c r="AB948" s="64"/>
      <c r="AC948" s="64"/>
      <c r="AD948" s="64"/>
      <c r="AE948" s="64"/>
    </row>
    <row r="949" spans="1:31" ht="17.25" customHeight="1">
      <c r="A949" s="79"/>
      <c r="B949" s="64"/>
      <c r="C949" s="64"/>
      <c r="D949" s="64"/>
      <c r="E949" s="64"/>
      <c r="F949" s="64"/>
      <c r="G949" s="64"/>
      <c r="H949" s="87"/>
      <c r="I949" s="64"/>
      <c r="J949" s="64"/>
      <c r="K949" s="64"/>
      <c r="L949" s="64"/>
      <c r="M949" s="79"/>
      <c r="N949" s="64"/>
      <c r="O949" s="64"/>
      <c r="P949" s="64"/>
      <c r="Q949" s="64"/>
      <c r="R949" s="64"/>
      <c r="S949" s="64"/>
      <c r="T949" s="64"/>
      <c r="U949" s="78"/>
      <c r="V949" s="64"/>
      <c r="W949" s="79"/>
      <c r="X949" s="64"/>
      <c r="Y949" s="64"/>
      <c r="Z949" s="64"/>
      <c r="AA949" s="64"/>
      <c r="AB949" s="64"/>
      <c r="AC949" s="64"/>
      <c r="AD949" s="64"/>
      <c r="AE949" s="64"/>
    </row>
    <row r="950" spans="1:31" ht="17.25" customHeight="1">
      <c r="A950" s="79"/>
      <c r="B950" s="64"/>
      <c r="C950" s="64"/>
      <c r="D950" s="64"/>
      <c r="E950" s="64"/>
      <c r="F950" s="64"/>
      <c r="G950" s="64"/>
      <c r="H950" s="87"/>
      <c r="I950" s="64"/>
      <c r="J950" s="64"/>
      <c r="K950" s="64"/>
      <c r="L950" s="64"/>
      <c r="M950" s="79"/>
      <c r="N950" s="64"/>
      <c r="O950" s="64"/>
      <c r="P950" s="64"/>
      <c r="Q950" s="64"/>
      <c r="R950" s="64"/>
      <c r="S950" s="64"/>
      <c r="T950" s="64"/>
      <c r="U950" s="78"/>
      <c r="V950" s="64"/>
      <c r="W950" s="79"/>
      <c r="X950" s="64"/>
      <c r="Y950" s="64"/>
      <c r="Z950" s="64"/>
      <c r="AA950" s="64"/>
      <c r="AB950" s="64"/>
      <c r="AC950" s="64"/>
      <c r="AD950" s="64"/>
      <c r="AE950" s="64"/>
    </row>
    <row r="951" spans="1:31" ht="17.25" customHeight="1">
      <c r="A951" s="79"/>
      <c r="B951" s="64"/>
      <c r="C951" s="64"/>
      <c r="D951" s="64"/>
      <c r="E951" s="64"/>
      <c r="F951" s="64"/>
      <c r="G951" s="64"/>
      <c r="H951" s="87"/>
      <c r="I951" s="64"/>
      <c r="J951" s="64"/>
      <c r="K951" s="64"/>
      <c r="L951" s="64"/>
      <c r="M951" s="79"/>
      <c r="N951" s="64"/>
      <c r="O951" s="64"/>
      <c r="P951" s="64"/>
      <c r="Q951" s="64"/>
      <c r="R951" s="64"/>
      <c r="S951" s="64"/>
      <c r="T951" s="64"/>
      <c r="U951" s="78"/>
      <c r="V951" s="64"/>
      <c r="W951" s="79"/>
      <c r="X951" s="64"/>
      <c r="Y951" s="64"/>
      <c r="Z951" s="64"/>
      <c r="AA951" s="64"/>
      <c r="AB951" s="64"/>
      <c r="AC951" s="64"/>
      <c r="AD951" s="64"/>
      <c r="AE951" s="64"/>
    </row>
    <row r="952" spans="1:31" ht="17.25" customHeight="1">
      <c r="A952" s="79"/>
      <c r="B952" s="64"/>
      <c r="C952" s="64"/>
      <c r="D952" s="64"/>
      <c r="E952" s="64"/>
      <c r="F952" s="64"/>
      <c r="G952" s="64"/>
      <c r="H952" s="87"/>
      <c r="I952" s="64"/>
      <c r="J952" s="64"/>
      <c r="K952" s="64"/>
      <c r="L952" s="64"/>
      <c r="M952" s="79"/>
      <c r="N952" s="64"/>
      <c r="O952" s="64"/>
      <c r="P952" s="64"/>
      <c r="Q952" s="64"/>
      <c r="R952" s="64"/>
      <c r="S952" s="64"/>
      <c r="T952" s="64"/>
      <c r="U952" s="78"/>
      <c r="V952" s="64"/>
      <c r="W952" s="79"/>
      <c r="X952" s="64"/>
      <c r="Y952" s="64"/>
      <c r="Z952" s="64"/>
      <c r="AA952" s="64"/>
      <c r="AB952" s="64"/>
      <c r="AC952" s="64"/>
      <c r="AD952" s="64"/>
      <c r="AE952" s="64"/>
    </row>
    <row r="953" spans="1:31" ht="17.25" customHeight="1">
      <c r="A953" s="79"/>
      <c r="B953" s="64"/>
      <c r="C953" s="64"/>
      <c r="D953" s="64"/>
      <c r="E953" s="64"/>
      <c r="F953" s="64"/>
      <c r="G953" s="64"/>
      <c r="H953" s="87"/>
      <c r="I953" s="64"/>
      <c r="J953" s="64"/>
      <c r="K953" s="64"/>
      <c r="L953" s="64"/>
      <c r="M953" s="79"/>
      <c r="N953" s="64"/>
      <c r="O953" s="64"/>
      <c r="P953" s="64"/>
      <c r="Q953" s="64"/>
      <c r="R953" s="64"/>
      <c r="S953" s="64"/>
      <c r="T953" s="64"/>
      <c r="U953" s="78"/>
      <c r="V953" s="64"/>
      <c r="W953" s="79"/>
      <c r="X953" s="64"/>
      <c r="Y953" s="64"/>
      <c r="Z953" s="64"/>
      <c r="AA953" s="64"/>
      <c r="AB953" s="64"/>
      <c r="AC953" s="64"/>
      <c r="AD953" s="64"/>
      <c r="AE953" s="64"/>
    </row>
    <row r="954" spans="1:31" ht="17.25" customHeight="1">
      <c r="A954" s="79"/>
      <c r="B954" s="64"/>
      <c r="C954" s="64"/>
      <c r="D954" s="64"/>
      <c r="E954" s="64"/>
      <c r="F954" s="64"/>
      <c r="G954" s="64"/>
      <c r="H954" s="87"/>
      <c r="I954" s="64"/>
      <c r="J954" s="64"/>
      <c r="K954" s="64"/>
      <c r="L954" s="64"/>
      <c r="M954" s="79"/>
      <c r="N954" s="64"/>
      <c r="O954" s="64"/>
      <c r="P954" s="64"/>
      <c r="Q954" s="64"/>
      <c r="R954" s="64"/>
      <c r="S954" s="64"/>
      <c r="T954" s="64"/>
      <c r="U954" s="78"/>
      <c r="V954" s="64"/>
      <c r="W954" s="79"/>
      <c r="X954" s="64"/>
      <c r="Y954" s="64"/>
      <c r="Z954" s="64"/>
      <c r="AA954" s="64"/>
      <c r="AB954" s="64"/>
      <c r="AC954" s="64"/>
      <c r="AD954" s="64"/>
      <c r="AE954" s="64"/>
    </row>
    <row r="955" spans="1:31" ht="17.25" customHeight="1">
      <c r="A955" s="79"/>
      <c r="B955" s="64"/>
      <c r="C955" s="64"/>
      <c r="D955" s="64"/>
      <c r="E955" s="64"/>
      <c r="F955" s="64"/>
      <c r="G955" s="64"/>
      <c r="H955" s="87"/>
      <c r="I955" s="64"/>
      <c r="J955" s="64"/>
      <c r="K955" s="64"/>
      <c r="L955" s="64"/>
      <c r="M955" s="79"/>
      <c r="N955" s="64"/>
      <c r="O955" s="64"/>
      <c r="P955" s="64"/>
      <c r="Q955" s="64"/>
      <c r="R955" s="64"/>
      <c r="S955" s="64"/>
      <c r="T955" s="64"/>
      <c r="U955" s="78"/>
      <c r="V955" s="64"/>
      <c r="W955" s="79"/>
      <c r="X955" s="64"/>
      <c r="Y955" s="64"/>
      <c r="Z955" s="64"/>
      <c r="AA955" s="64"/>
      <c r="AB955" s="64"/>
      <c r="AC955" s="64"/>
      <c r="AD955" s="64"/>
      <c r="AE955" s="64"/>
    </row>
    <row r="956" spans="1:31" ht="17.25" customHeight="1">
      <c r="A956" s="79"/>
      <c r="B956" s="64"/>
      <c r="C956" s="64"/>
      <c r="D956" s="64"/>
      <c r="E956" s="64"/>
      <c r="F956" s="64"/>
      <c r="G956" s="64"/>
      <c r="H956" s="87"/>
      <c r="I956" s="64"/>
      <c r="J956" s="64"/>
      <c r="K956" s="64"/>
      <c r="L956" s="64"/>
      <c r="M956" s="79"/>
      <c r="N956" s="64"/>
      <c r="O956" s="64"/>
      <c r="P956" s="64"/>
      <c r="Q956" s="64"/>
      <c r="R956" s="64"/>
      <c r="S956" s="64"/>
      <c r="T956" s="64"/>
      <c r="U956" s="78"/>
      <c r="V956" s="64"/>
      <c r="W956" s="79"/>
      <c r="X956" s="64"/>
      <c r="Y956" s="64"/>
      <c r="Z956" s="64"/>
      <c r="AA956" s="64"/>
      <c r="AB956" s="64"/>
      <c r="AC956" s="64"/>
      <c r="AD956" s="64"/>
      <c r="AE956" s="64"/>
    </row>
    <row r="957" spans="1:31" ht="17.25" customHeight="1">
      <c r="A957" s="79"/>
      <c r="B957" s="64"/>
      <c r="C957" s="64"/>
      <c r="D957" s="64"/>
      <c r="E957" s="64"/>
      <c r="F957" s="64"/>
      <c r="G957" s="64"/>
      <c r="H957" s="87"/>
      <c r="I957" s="64"/>
      <c r="J957" s="64"/>
      <c r="K957" s="64"/>
      <c r="L957" s="64"/>
      <c r="M957" s="79"/>
      <c r="N957" s="64"/>
      <c r="O957" s="64"/>
      <c r="P957" s="64"/>
      <c r="Q957" s="64"/>
      <c r="R957" s="64"/>
      <c r="S957" s="64"/>
      <c r="T957" s="64"/>
      <c r="U957" s="78"/>
      <c r="V957" s="64"/>
      <c r="W957" s="79"/>
      <c r="X957" s="64"/>
      <c r="Y957" s="64"/>
      <c r="Z957" s="64"/>
      <c r="AA957" s="64"/>
      <c r="AB957" s="64"/>
      <c r="AC957" s="64"/>
      <c r="AD957" s="64"/>
      <c r="AE957" s="64"/>
    </row>
    <row r="958" spans="1:31" ht="17.25" customHeight="1">
      <c r="A958" s="79"/>
      <c r="B958" s="64"/>
      <c r="C958" s="64"/>
      <c r="D958" s="64"/>
      <c r="E958" s="64"/>
      <c r="F958" s="64"/>
      <c r="G958" s="64"/>
      <c r="H958" s="87"/>
      <c r="I958" s="64"/>
      <c r="J958" s="64"/>
      <c r="K958" s="64"/>
      <c r="L958" s="64"/>
      <c r="M958" s="79"/>
      <c r="N958" s="64"/>
      <c r="O958" s="64"/>
      <c r="P958" s="64"/>
      <c r="Q958" s="64"/>
      <c r="R958" s="64"/>
      <c r="S958" s="64"/>
      <c r="T958" s="64"/>
      <c r="U958" s="78"/>
      <c r="V958" s="64"/>
      <c r="W958" s="79"/>
      <c r="X958" s="64"/>
      <c r="Y958" s="64"/>
      <c r="Z958" s="64"/>
      <c r="AA958" s="64"/>
      <c r="AB958" s="64"/>
      <c r="AC958" s="64"/>
      <c r="AD958" s="64"/>
      <c r="AE958" s="64"/>
    </row>
    <row r="959" spans="1:31" ht="17.25" customHeight="1">
      <c r="A959" s="79"/>
      <c r="B959" s="64"/>
      <c r="C959" s="64"/>
      <c r="D959" s="64"/>
      <c r="E959" s="64"/>
      <c r="F959" s="64"/>
      <c r="G959" s="64"/>
      <c r="H959" s="87"/>
      <c r="I959" s="64"/>
      <c r="J959" s="64"/>
      <c r="K959" s="64"/>
      <c r="L959" s="64"/>
      <c r="M959" s="79"/>
      <c r="N959" s="64"/>
      <c r="O959" s="64"/>
      <c r="P959" s="64"/>
      <c r="Q959" s="64"/>
      <c r="R959" s="64"/>
      <c r="S959" s="64"/>
      <c r="T959" s="64"/>
      <c r="U959" s="78"/>
      <c r="V959" s="64"/>
      <c r="W959" s="79"/>
      <c r="X959" s="64"/>
      <c r="Y959" s="64"/>
      <c r="Z959" s="64"/>
      <c r="AA959" s="64"/>
      <c r="AB959" s="64"/>
      <c r="AC959" s="64"/>
      <c r="AD959" s="64"/>
      <c r="AE959" s="64"/>
    </row>
    <row r="960" spans="1:31" ht="17.25" customHeight="1">
      <c r="A960" s="79"/>
      <c r="B960" s="64"/>
      <c r="C960" s="64"/>
      <c r="D960" s="64"/>
      <c r="E960" s="64"/>
      <c r="F960" s="64"/>
      <c r="G960" s="64"/>
      <c r="H960" s="87"/>
      <c r="I960" s="64"/>
      <c r="J960" s="64"/>
      <c r="K960" s="64"/>
      <c r="L960" s="64"/>
      <c r="M960" s="79"/>
      <c r="N960" s="64"/>
      <c r="O960" s="64"/>
      <c r="P960" s="64"/>
      <c r="Q960" s="64"/>
      <c r="R960" s="64"/>
      <c r="S960" s="64"/>
      <c r="T960" s="64"/>
      <c r="U960" s="78"/>
      <c r="V960" s="64"/>
      <c r="W960" s="79"/>
      <c r="X960" s="64"/>
      <c r="Y960" s="64"/>
      <c r="Z960" s="64"/>
      <c r="AA960" s="64"/>
      <c r="AB960" s="64"/>
      <c r="AC960" s="64"/>
      <c r="AD960" s="64"/>
      <c r="AE960" s="64"/>
    </row>
    <row r="961" spans="1:31" ht="17.25" customHeight="1">
      <c r="A961" s="79"/>
      <c r="B961" s="64"/>
      <c r="C961" s="64"/>
      <c r="D961" s="64"/>
      <c r="E961" s="64"/>
      <c r="F961" s="64"/>
      <c r="G961" s="64"/>
      <c r="H961" s="87"/>
      <c r="I961" s="64"/>
      <c r="J961" s="64"/>
      <c r="K961" s="64"/>
      <c r="L961" s="64"/>
      <c r="M961" s="79"/>
      <c r="N961" s="64"/>
      <c r="O961" s="64"/>
      <c r="P961" s="64"/>
      <c r="Q961" s="64"/>
      <c r="R961" s="64"/>
      <c r="S961" s="64"/>
      <c r="T961" s="64"/>
      <c r="U961" s="78"/>
      <c r="V961" s="64"/>
      <c r="W961" s="79"/>
      <c r="X961" s="64"/>
      <c r="Y961" s="64"/>
      <c r="Z961" s="64"/>
      <c r="AA961" s="64"/>
      <c r="AB961" s="64"/>
      <c r="AC961" s="64"/>
      <c r="AD961" s="64"/>
      <c r="AE961" s="64"/>
    </row>
    <row r="962" spans="1:31" ht="17.25" customHeight="1">
      <c r="A962" s="79"/>
      <c r="B962" s="64"/>
      <c r="C962" s="64"/>
      <c r="D962" s="64"/>
      <c r="E962" s="64"/>
      <c r="F962" s="64"/>
      <c r="G962" s="64"/>
      <c r="H962" s="87"/>
      <c r="I962" s="64"/>
      <c r="J962" s="64"/>
      <c r="K962" s="64"/>
      <c r="L962" s="64"/>
      <c r="M962" s="79"/>
      <c r="N962" s="64"/>
      <c r="O962" s="64"/>
      <c r="P962" s="64"/>
      <c r="Q962" s="64"/>
      <c r="R962" s="64"/>
      <c r="S962" s="64"/>
      <c r="T962" s="64"/>
      <c r="U962" s="78"/>
      <c r="V962" s="64"/>
      <c r="W962" s="79"/>
      <c r="X962" s="64"/>
      <c r="Y962" s="64"/>
      <c r="Z962" s="64"/>
      <c r="AA962" s="64"/>
      <c r="AB962" s="64"/>
      <c r="AC962" s="64"/>
      <c r="AD962" s="64"/>
      <c r="AE962" s="64"/>
    </row>
    <row r="963" spans="1:31" ht="17.25" customHeight="1">
      <c r="A963" s="79"/>
      <c r="B963" s="64"/>
      <c r="C963" s="64"/>
      <c r="D963" s="64"/>
      <c r="E963" s="64"/>
      <c r="F963" s="64"/>
      <c r="G963" s="64"/>
      <c r="H963" s="87"/>
      <c r="I963" s="64"/>
      <c r="J963" s="64"/>
      <c r="K963" s="64"/>
      <c r="L963" s="64"/>
      <c r="M963" s="79"/>
      <c r="N963" s="64"/>
      <c r="O963" s="64"/>
      <c r="P963" s="64"/>
      <c r="Q963" s="64"/>
      <c r="R963" s="64"/>
      <c r="S963" s="64"/>
      <c r="T963" s="64"/>
      <c r="U963" s="78"/>
      <c r="V963" s="64"/>
      <c r="W963" s="79"/>
      <c r="X963" s="64"/>
      <c r="Y963" s="64"/>
      <c r="Z963" s="64"/>
      <c r="AA963" s="64"/>
      <c r="AB963" s="64"/>
      <c r="AC963" s="64"/>
      <c r="AD963" s="64"/>
      <c r="AE963" s="64"/>
    </row>
    <row r="964" spans="1:31" ht="17.25" customHeight="1">
      <c r="A964" s="79"/>
      <c r="B964" s="64"/>
      <c r="C964" s="64"/>
      <c r="D964" s="64"/>
      <c r="E964" s="64"/>
      <c r="F964" s="64"/>
      <c r="G964" s="64"/>
      <c r="H964" s="87"/>
      <c r="I964" s="64"/>
      <c r="J964" s="64"/>
      <c r="K964" s="64"/>
      <c r="L964" s="64"/>
      <c r="M964" s="79"/>
      <c r="N964" s="64"/>
      <c r="O964" s="64"/>
      <c r="P964" s="64"/>
      <c r="Q964" s="64"/>
      <c r="R964" s="64"/>
      <c r="S964" s="64"/>
      <c r="T964" s="64"/>
      <c r="U964" s="78"/>
      <c r="V964" s="64"/>
      <c r="W964" s="79"/>
      <c r="X964" s="64"/>
      <c r="Y964" s="64"/>
      <c r="Z964" s="64"/>
      <c r="AA964" s="64"/>
      <c r="AB964" s="64"/>
      <c r="AC964" s="64"/>
      <c r="AD964" s="64"/>
      <c r="AE964" s="64"/>
    </row>
    <row r="965" spans="1:31" ht="17.25" customHeight="1">
      <c r="A965" s="79"/>
      <c r="B965" s="64"/>
      <c r="C965" s="64"/>
      <c r="D965" s="64"/>
      <c r="E965" s="64"/>
      <c r="F965" s="64"/>
      <c r="G965" s="64"/>
      <c r="H965" s="87"/>
      <c r="I965" s="64"/>
      <c r="J965" s="64"/>
      <c r="K965" s="64"/>
      <c r="L965" s="64"/>
      <c r="M965" s="79"/>
      <c r="N965" s="64"/>
      <c r="O965" s="64"/>
      <c r="P965" s="64"/>
      <c r="Q965" s="64"/>
      <c r="R965" s="64"/>
      <c r="S965" s="64"/>
      <c r="T965" s="64"/>
      <c r="U965" s="78"/>
      <c r="V965" s="64"/>
      <c r="W965" s="79"/>
      <c r="X965" s="64"/>
      <c r="Y965" s="64"/>
      <c r="Z965" s="64"/>
      <c r="AA965" s="64"/>
      <c r="AB965" s="64"/>
      <c r="AC965" s="64"/>
      <c r="AD965" s="64"/>
      <c r="AE965" s="64"/>
    </row>
    <row r="966" spans="1:31" ht="17.25" customHeight="1">
      <c r="A966" s="79"/>
      <c r="B966" s="64"/>
      <c r="C966" s="64"/>
      <c r="D966" s="64"/>
      <c r="E966" s="64"/>
      <c r="F966" s="64"/>
      <c r="G966" s="64"/>
      <c r="H966" s="87"/>
      <c r="I966" s="64"/>
      <c r="J966" s="64"/>
      <c r="K966" s="64"/>
      <c r="L966" s="64"/>
      <c r="M966" s="79"/>
      <c r="N966" s="64"/>
      <c r="O966" s="64"/>
      <c r="P966" s="64"/>
      <c r="Q966" s="64"/>
      <c r="R966" s="64"/>
      <c r="S966" s="64"/>
      <c r="T966" s="64"/>
      <c r="U966" s="78"/>
      <c r="V966" s="64"/>
      <c r="W966" s="79"/>
      <c r="X966" s="64"/>
      <c r="Y966" s="64"/>
      <c r="Z966" s="64"/>
      <c r="AA966" s="64"/>
      <c r="AB966" s="64"/>
      <c r="AC966" s="64"/>
      <c r="AD966" s="64"/>
      <c r="AE966" s="64"/>
    </row>
    <row r="967" spans="1:31" ht="17.25" customHeight="1">
      <c r="A967" s="79"/>
      <c r="B967" s="64"/>
      <c r="C967" s="64"/>
      <c r="D967" s="64"/>
      <c r="E967" s="64"/>
      <c r="F967" s="64"/>
      <c r="G967" s="64"/>
      <c r="H967" s="87"/>
      <c r="I967" s="64"/>
      <c r="J967" s="64"/>
      <c r="K967" s="64"/>
      <c r="L967" s="64"/>
      <c r="M967" s="79"/>
      <c r="N967" s="64"/>
      <c r="O967" s="64"/>
      <c r="P967" s="64"/>
      <c r="Q967" s="64"/>
      <c r="R967" s="64"/>
      <c r="S967" s="64"/>
      <c r="T967" s="64"/>
      <c r="U967" s="78"/>
      <c r="V967" s="64"/>
      <c r="W967" s="79"/>
      <c r="X967" s="64"/>
      <c r="Y967" s="64"/>
      <c r="Z967" s="64"/>
      <c r="AA967" s="64"/>
      <c r="AB967" s="64"/>
      <c r="AC967" s="64"/>
      <c r="AD967" s="64"/>
      <c r="AE967" s="64"/>
    </row>
    <row r="968" spans="1:31" ht="17.25" customHeight="1">
      <c r="A968" s="79"/>
      <c r="B968" s="64"/>
      <c r="C968" s="64"/>
      <c r="D968" s="64"/>
      <c r="E968" s="64"/>
      <c r="F968" s="64"/>
      <c r="G968" s="64"/>
      <c r="H968" s="87"/>
      <c r="I968" s="64"/>
      <c r="J968" s="64"/>
      <c r="K968" s="64"/>
      <c r="L968" s="64"/>
      <c r="M968" s="79"/>
      <c r="N968" s="64"/>
      <c r="O968" s="64"/>
      <c r="P968" s="64"/>
      <c r="Q968" s="64"/>
      <c r="R968" s="64"/>
      <c r="S968" s="64"/>
      <c r="T968" s="64"/>
      <c r="U968" s="78"/>
      <c r="V968" s="64"/>
      <c r="W968" s="79"/>
      <c r="X968" s="64"/>
      <c r="Y968" s="64"/>
      <c r="Z968" s="64"/>
      <c r="AA968" s="64"/>
      <c r="AB968" s="64"/>
      <c r="AC968" s="64"/>
      <c r="AD968" s="64"/>
      <c r="AE968" s="64"/>
    </row>
    <row r="969" spans="1:31" ht="17.25" customHeight="1">
      <c r="A969" s="79"/>
      <c r="B969" s="64"/>
      <c r="C969" s="64"/>
      <c r="D969" s="64"/>
      <c r="E969" s="64"/>
      <c r="F969" s="64"/>
      <c r="G969" s="64"/>
      <c r="H969" s="87"/>
      <c r="I969" s="64"/>
      <c r="J969" s="64"/>
      <c r="K969" s="64"/>
      <c r="L969" s="64"/>
      <c r="M969" s="79"/>
      <c r="N969" s="64"/>
      <c r="O969" s="64"/>
      <c r="P969" s="64"/>
      <c r="Q969" s="64"/>
      <c r="R969" s="64"/>
      <c r="S969" s="64"/>
      <c r="T969" s="64"/>
      <c r="U969" s="78"/>
      <c r="V969" s="64"/>
      <c r="W969" s="79"/>
      <c r="X969" s="64"/>
      <c r="Y969" s="64"/>
      <c r="Z969" s="64"/>
      <c r="AA969" s="64"/>
      <c r="AB969" s="64"/>
      <c r="AC969" s="64"/>
      <c r="AD969" s="64"/>
      <c r="AE969" s="64"/>
    </row>
    <row r="970" spans="1:31" ht="17.25" customHeight="1">
      <c r="A970" s="79"/>
      <c r="B970" s="64"/>
      <c r="C970" s="64"/>
      <c r="D970" s="64"/>
      <c r="E970" s="64"/>
      <c r="F970" s="64"/>
      <c r="G970" s="64"/>
      <c r="H970" s="87"/>
      <c r="I970" s="64"/>
      <c r="J970" s="64"/>
      <c r="K970" s="64"/>
      <c r="L970" s="64"/>
      <c r="M970" s="79"/>
      <c r="N970" s="64"/>
      <c r="O970" s="64"/>
      <c r="P970" s="64"/>
      <c r="Q970" s="64"/>
      <c r="R970" s="64"/>
      <c r="S970" s="64"/>
      <c r="T970" s="64"/>
      <c r="U970" s="78"/>
      <c r="V970" s="64"/>
      <c r="W970" s="79"/>
      <c r="X970" s="64"/>
      <c r="Y970" s="64"/>
      <c r="Z970" s="64"/>
      <c r="AA970" s="64"/>
      <c r="AB970" s="64"/>
      <c r="AC970" s="64"/>
      <c r="AD970" s="64"/>
      <c r="AE970" s="64"/>
    </row>
    <row r="971" spans="1:31" ht="17.25" customHeight="1">
      <c r="A971" s="79"/>
      <c r="B971" s="64"/>
      <c r="C971" s="64"/>
      <c r="D971" s="64"/>
      <c r="E971" s="64"/>
      <c r="F971" s="64"/>
      <c r="G971" s="64"/>
      <c r="H971" s="87"/>
      <c r="I971" s="64"/>
      <c r="J971" s="64"/>
      <c r="K971" s="64"/>
      <c r="L971" s="64"/>
      <c r="M971" s="79"/>
      <c r="N971" s="64"/>
      <c r="O971" s="64"/>
      <c r="P971" s="64"/>
      <c r="Q971" s="64"/>
      <c r="R971" s="64"/>
      <c r="S971" s="64"/>
      <c r="T971" s="64"/>
      <c r="U971" s="78"/>
      <c r="V971" s="64"/>
      <c r="W971" s="79"/>
      <c r="X971" s="64"/>
      <c r="Y971" s="64"/>
      <c r="Z971" s="64"/>
      <c r="AA971" s="64"/>
      <c r="AB971" s="64"/>
      <c r="AC971" s="64"/>
      <c r="AD971" s="64"/>
      <c r="AE971" s="64"/>
    </row>
    <row r="972" spans="1:31" ht="17.25" customHeight="1">
      <c r="A972" s="79"/>
      <c r="B972" s="64"/>
      <c r="C972" s="64"/>
      <c r="D972" s="64"/>
      <c r="E972" s="64"/>
      <c r="F972" s="64"/>
      <c r="G972" s="64"/>
      <c r="H972" s="87"/>
      <c r="I972" s="64"/>
      <c r="J972" s="64"/>
      <c r="K972" s="64"/>
      <c r="L972" s="64"/>
      <c r="M972" s="79"/>
      <c r="N972" s="64"/>
      <c r="O972" s="64"/>
      <c r="P972" s="64"/>
      <c r="Q972" s="64"/>
      <c r="R972" s="64"/>
      <c r="S972" s="64"/>
      <c r="T972" s="64"/>
      <c r="U972" s="78"/>
      <c r="V972" s="64"/>
      <c r="W972" s="79"/>
      <c r="X972" s="64"/>
      <c r="Y972" s="64"/>
      <c r="Z972" s="64"/>
      <c r="AA972" s="64"/>
      <c r="AB972" s="64"/>
      <c r="AC972" s="64"/>
      <c r="AD972" s="64"/>
      <c r="AE972" s="64"/>
    </row>
    <row r="973" spans="1:31" ht="17.25" customHeight="1">
      <c r="A973" s="79"/>
      <c r="B973" s="64"/>
      <c r="C973" s="64"/>
      <c r="D973" s="64"/>
      <c r="E973" s="64"/>
      <c r="F973" s="64"/>
      <c r="G973" s="64"/>
      <c r="H973" s="87"/>
      <c r="I973" s="64"/>
      <c r="J973" s="64"/>
      <c r="K973" s="64"/>
      <c r="L973" s="64"/>
      <c r="M973" s="79"/>
      <c r="N973" s="64"/>
      <c r="O973" s="64"/>
      <c r="P973" s="64"/>
      <c r="Q973" s="64"/>
      <c r="R973" s="64"/>
      <c r="S973" s="64"/>
      <c r="T973" s="64"/>
      <c r="U973" s="78"/>
      <c r="V973" s="64"/>
      <c r="W973" s="79"/>
      <c r="X973" s="64"/>
      <c r="Y973" s="64"/>
      <c r="Z973" s="64"/>
      <c r="AA973" s="64"/>
      <c r="AB973" s="64"/>
      <c r="AC973" s="64"/>
      <c r="AD973" s="64"/>
      <c r="AE973" s="64"/>
    </row>
    <row r="974" spans="1:31" ht="17.25" customHeight="1">
      <c r="A974" s="79"/>
      <c r="B974" s="64"/>
      <c r="C974" s="64"/>
      <c r="D974" s="64"/>
      <c r="E974" s="64"/>
      <c r="F974" s="64"/>
      <c r="G974" s="64"/>
      <c r="H974" s="87"/>
      <c r="I974" s="64"/>
      <c r="J974" s="64"/>
      <c r="K974" s="64"/>
      <c r="L974" s="64"/>
      <c r="M974" s="79"/>
      <c r="N974" s="64"/>
      <c r="O974" s="64"/>
      <c r="P974" s="64"/>
      <c r="Q974" s="64"/>
      <c r="R974" s="64"/>
      <c r="S974" s="64"/>
      <c r="T974" s="64"/>
      <c r="U974" s="78"/>
      <c r="V974" s="64"/>
      <c r="W974" s="79"/>
      <c r="X974" s="64"/>
      <c r="Y974" s="64"/>
      <c r="Z974" s="64"/>
      <c r="AA974" s="64"/>
      <c r="AB974" s="64"/>
      <c r="AC974" s="64"/>
      <c r="AD974" s="64"/>
      <c r="AE974" s="64"/>
    </row>
    <row r="975" spans="1:31" ht="17.25" customHeight="1">
      <c r="A975" s="79"/>
      <c r="B975" s="64"/>
      <c r="C975" s="64"/>
      <c r="D975" s="64"/>
      <c r="E975" s="64"/>
      <c r="F975" s="64"/>
      <c r="G975" s="64"/>
      <c r="H975" s="87"/>
      <c r="I975" s="64"/>
      <c r="J975" s="64"/>
      <c r="K975" s="64"/>
      <c r="L975" s="64"/>
      <c r="M975" s="79"/>
      <c r="N975" s="64"/>
      <c r="O975" s="64"/>
      <c r="P975" s="64"/>
      <c r="Q975" s="64"/>
      <c r="R975" s="64"/>
      <c r="S975" s="64"/>
      <c r="T975" s="64"/>
      <c r="U975" s="78"/>
      <c r="V975" s="64"/>
      <c r="W975" s="79"/>
      <c r="X975" s="64"/>
      <c r="Y975" s="64"/>
      <c r="Z975" s="64"/>
      <c r="AA975" s="64"/>
      <c r="AB975" s="64"/>
      <c r="AC975" s="64"/>
      <c r="AD975" s="64"/>
      <c r="AE975" s="64"/>
    </row>
    <row r="976" spans="1:31" ht="17.25" customHeight="1">
      <c r="A976" s="79"/>
      <c r="B976" s="64"/>
      <c r="C976" s="64"/>
      <c r="D976" s="64"/>
      <c r="E976" s="64"/>
      <c r="F976" s="64"/>
      <c r="G976" s="64"/>
      <c r="H976" s="87"/>
      <c r="I976" s="64"/>
      <c r="J976" s="64"/>
      <c r="K976" s="64"/>
      <c r="L976" s="64"/>
      <c r="M976" s="79"/>
      <c r="N976" s="64"/>
      <c r="O976" s="64"/>
      <c r="P976" s="64"/>
      <c r="Q976" s="64"/>
      <c r="R976" s="64"/>
      <c r="S976" s="64"/>
      <c r="T976" s="64"/>
      <c r="U976" s="78"/>
      <c r="V976" s="64"/>
      <c r="W976" s="79"/>
      <c r="X976" s="64"/>
      <c r="Y976" s="64"/>
      <c r="Z976" s="64"/>
      <c r="AA976" s="64"/>
      <c r="AB976" s="64"/>
      <c r="AC976" s="64"/>
      <c r="AD976" s="64"/>
      <c r="AE976" s="64"/>
    </row>
    <row r="977" spans="1:31" ht="17.25" customHeight="1">
      <c r="A977" s="79"/>
      <c r="B977" s="64"/>
      <c r="C977" s="64"/>
      <c r="D977" s="64"/>
      <c r="E977" s="64"/>
      <c r="F977" s="64"/>
      <c r="G977" s="64"/>
      <c r="H977" s="87"/>
      <c r="I977" s="64"/>
      <c r="J977" s="64"/>
      <c r="K977" s="64"/>
      <c r="L977" s="64"/>
      <c r="M977" s="79"/>
      <c r="N977" s="64"/>
      <c r="O977" s="64"/>
      <c r="P977" s="64"/>
      <c r="Q977" s="64"/>
      <c r="R977" s="64"/>
      <c r="S977" s="64"/>
      <c r="T977" s="64"/>
      <c r="U977" s="78"/>
      <c r="V977" s="64"/>
      <c r="W977" s="79"/>
      <c r="X977" s="64"/>
      <c r="Y977" s="64"/>
      <c r="Z977" s="64"/>
      <c r="AA977" s="64"/>
      <c r="AB977" s="64"/>
      <c r="AC977" s="64"/>
      <c r="AD977" s="64"/>
      <c r="AE977" s="64"/>
    </row>
    <row r="978" spans="1:31" ht="17.25" customHeight="1">
      <c r="A978" s="79"/>
      <c r="B978" s="64"/>
      <c r="C978" s="64"/>
      <c r="D978" s="64"/>
      <c r="E978" s="64"/>
      <c r="F978" s="64"/>
      <c r="G978" s="64"/>
      <c r="H978" s="87"/>
      <c r="I978" s="64"/>
      <c r="J978" s="64"/>
      <c r="K978" s="64"/>
      <c r="L978" s="64"/>
      <c r="M978" s="79"/>
      <c r="N978" s="64"/>
      <c r="O978" s="64"/>
      <c r="P978" s="64"/>
      <c r="Q978" s="64"/>
      <c r="R978" s="64"/>
      <c r="S978" s="64"/>
      <c r="T978" s="64"/>
      <c r="U978" s="78"/>
      <c r="V978" s="64"/>
      <c r="W978" s="79"/>
      <c r="X978" s="64"/>
      <c r="Y978" s="64"/>
      <c r="Z978" s="64"/>
      <c r="AA978" s="64"/>
      <c r="AB978" s="64"/>
      <c r="AC978" s="64"/>
      <c r="AD978" s="64"/>
      <c r="AE978" s="64"/>
    </row>
    <row r="979" spans="1:31" ht="17.25" customHeight="1">
      <c r="A979" s="79"/>
      <c r="B979" s="64"/>
      <c r="C979" s="64"/>
      <c r="D979" s="64"/>
      <c r="E979" s="64"/>
      <c r="F979" s="64"/>
      <c r="G979" s="64"/>
      <c r="H979" s="87"/>
      <c r="I979" s="64"/>
      <c r="J979" s="64"/>
      <c r="K979" s="64"/>
      <c r="L979" s="64"/>
      <c r="M979" s="79"/>
      <c r="N979" s="64"/>
      <c r="O979" s="64"/>
      <c r="P979" s="64"/>
      <c r="Q979" s="64"/>
      <c r="R979" s="64"/>
      <c r="S979" s="64"/>
      <c r="T979" s="64"/>
      <c r="U979" s="78"/>
      <c r="V979" s="64"/>
      <c r="W979" s="79"/>
      <c r="X979" s="64"/>
      <c r="Y979" s="64"/>
      <c r="Z979" s="64"/>
      <c r="AA979" s="64"/>
      <c r="AB979" s="64"/>
      <c r="AC979" s="64"/>
      <c r="AD979" s="64"/>
      <c r="AE979" s="64"/>
    </row>
    <row r="980" spans="1:31" ht="17.25" customHeight="1">
      <c r="A980" s="79"/>
      <c r="B980" s="64"/>
      <c r="C980" s="64"/>
      <c r="D980" s="64"/>
      <c r="E980" s="64"/>
      <c r="F980" s="64"/>
      <c r="G980" s="64"/>
      <c r="H980" s="87"/>
      <c r="I980" s="64"/>
      <c r="J980" s="64"/>
      <c r="K980" s="64"/>
      <c r="L980" s="64"/>
      <c r="M980" s="79"/>
      <c r="N980" s="64"/>
      <c r="O980" s="64"/>
      <c r="P980" s="64"/>
      <c r="Q980" s="64"/>
      <c r="R980" s="64"/>
      <c r="S980" s="64"/>
      <c r="T980" s="64"/>
      <c r="U980" s="78"/>
      <c r="V980" s="64"/>
      <c r="W980" s="79"/>
      <c r="X980" s="64"/>
      <c r="Y980" s="64"/>
      <c r="Z980" s="64"/>
      <c r="AA980" s="64"/>
      <c r="AB980" s="64"/>
      <c r="AC980" s="64"/>
      <c r="AD980" s="64"/>
      <c r="AE980" s="64"/>
    </row>
    <row r="981" spans="1:31" ht="17.25" customHeight="1">
      <c r="A981" s="79"/>
      <c r="B981" s="64"/>
      <c r="C981" s="64"/>
      <c r="D981" s="64"/>
      <c r="E981" s="64"/>
      <c r="F981" s="64"/>
      <c r="G981" s="64"/>
      <c r="H981" s="87"/>
      <c r="I981" s="64"/>
      <c r="J981" s="64"/>
      <c r="K981" s="64"/>
      <c r="L981" s="64"/>
      <c r="M981" s="79"/>
      <c r="N981" s="64"/>
      <c r="O981" s="64"/>
      <c r="P981" s="64"/>
      <c r="Q981" s="64"/>
      <c r="R981" s="64"/>
      <c r="S981" s="64"/>
      <c r="T981" s="64"/>
      <c r="U981" s="78"/>
      <c r="V981" s="64"/>
      <c r="W981" s="79"/>
      <c r="X981" s="64"/>
      <c r="Y981" s="64"/>
      <c r="Z981" s="64"/>
      <c r="AA981" s="64"/>
      <c r="AB981" s="64"/>
      <c r="AC981" s="64"/>
      <c r="AD981" s="64"/>
      <c r="AE981" s="64"/>
    </row>
    <row r="982" spans="1:31" ht="17.25" customHeight="1">
      <c r="A982" s="79"/>
      <c r="B982" s="64"/>
      <c r="C982" s="64"/>
      <c r="D982" s="64"/>
      <c r="E982" s="64"/>
      <c r="F982" s="64"/>
      <c r="G982" s="64"/>
      <c r="H982" s="87"/>
      <c r="I982" s="64"/>
      <c r="J982" s="64"/>
      <c r="K982" s="64"/>
      <c r="L982" s="64"/>
      <c r="M982" s="79"/>
      <c r="N982" s="64"/>
      <c r="O982" s="64"/>
      <c r="P982" s="64"/>
      <c r="Q982" s="64"/>
      <c r="R982" s="64"/>
      <c r="S982" s="64"/>
      <c r="T982" s="64"/>
      <c r="U982" s="78"/>
      <c r="V982" s="64"/>
      <c r="W982" s="79"/>
      <c r="X982" s="64"/>
      <c r="Y982" s="64"/>
      <c r="Z982" s="64"/>
      <c r="AA982" s="64"/>
      <c r="AB982" s="64"/>
      <c r="AC982" s="64"/>
      <c r="AD982" s="64"/>
      <c r="AE982" s="64"/>
    </row>
    <row r="983" spans="1:31" ht="17.25" customHeight="1">
      <c r="A983" s="79"/>
      <c r="B983" s="64"/>
      <c r="C983" s="64"/>
      <c r="D983" s="64"/>
      <c r="E983" s="64"/>
      <c r="F983" s="64"/>
      <c r="G983" s="64"/>
      <c r="H983" s="87"/>
      <c r="I983" s="64"/>
      <c r="J983" s="64"/>
      <c r="K983" s="64"/>
      <c r="L983" s="64"/>
      <c r="M983" s="79"/>
      <c r="N983" s="64"/>
      <c r="O983" s="64"/>
      <c r="P983" s="64"/>
      <c r="Q983" s="64"/>
      <c r="R983" s="64"/>
      <c r="S983" s="64"/>
      <c r="T983" s="64"/>
      <c r="U983" s="78"/>
      <c r="V983" s="64"/>
      <c r="W983" s="79"/>
      <c r="X983" s="64"/>
      <c r="Y983" s="64"/>
      <c r="Z983" s="64"/>
      <c r="AA983" s="64"/>
      <c r="AB983" s="64"/>
      <c r="AC983" s="64"/>
      <c r="AD983" s="64"/>
      <c r="AE983" s="64"/>
    </row>
    <row r="984" spans="1:31" ht="17.25" customHeight="1">
      <c r="A984" s="79"/>
      <c r="B984" s="64"/>
      <c r="C984" s="64"/>
      <c r="D984" s="64"/>
      <c r="E984" s="64"/>
      <c r="F984" s="64"/>
      <c r="G984" s="64"/>
      <c r="H984" s="87"/>
      <c r="I984" s="64"/>
      <c r="J984" s="64"/>
      <c r="K984" s="64"/>
      <c r="L984" s="64"/>
      <c r="M984" s="79"/>
      <c r="N984" s="64"/>
      <c r="O984" s="64"/>
      <c r="P984" s="64"/>
      <c r="Q984" s="64"/>
      <c r="R984" s="64"/>
      <c r="S984" s="64"/>
      <c r="T984" s="64"/>
      <c r="U984" s="78"/>
      <c r="V984" s="64"/>
      <c r="W984" s="79"/>
      <c r="X984" s="64"/>
      <c r="Y984" s="64"/>
      <c r="Z984" s="64"/>
      <c r="AA984" s="64"/>
      <c r="AB984" s="64"/>
      <c r="AC984" s="64"/>
      <c r="AD984" s="64"/>
      <c r="AE984" s="64"/>
    </row>
    <row r="985" spans="1:31" ht="17.25" customHeight="1">
      <c r="A985" s="79"/>
      <c r="B985" s="64"/>
      <c r="C985" s="64"/>
      <c r="D985" s="64"/>
      <c r="E985" s="64"/>
      <c r="F985" s="64"/>
      <c r="G985" s="64"/>
      <c r="H985" s="87"/>
      <c r="I985" s="64"/>
      <c r="J985" s="64"/>
      <c r="K985" s="64"/>
      <c r="L985" s="64"/>
      <c r="M985" s="79"/>
      <c r="N985" s="64"/>
      <c r="O985" s="64"/>
      <c r="P985" s="64"/>
      <c r="Q985" s="64"/>
      <c r="R985" s="64"/>
      <c r="S985" s="64"/>
      <c r="T985" s="64"/>
      <c r="U985" s="78"/>
      <c r="V985" s="64"/>
      <c r="W985" s="79"/>
      <c r="X985" s="64"/>
      <c r="Y985" s="64"/>
      <c r="Z985" s="64"/>
      <c r="AA985" s="64"/>
      <c r="AB985" s="64"/>
      <c r="AC985" s="64"/>
      <c r="AD985" s="64"/>
      <c r="AE985" s="64"/>
    </row>
    <row r="986" spans="1:31" ht="17.25" customHeight="1">
      <c r="A986" s="79"/>
      <c r="B986" s="64"/>
      <c r="C986" s="64"/>
      <c r="D986" s="64"/>
      <c r="E986" s="64"/>
      <c r="F986" s="64"/>
      <c r="G986" s="64"/>
      <c r="H986" s="87"/>
      <c r="I986" s="64"/>
      <c r="J986" s="64"/>
      <c r="K986" s="64"/>
      <c r="L986" s="64"/>
      <c r="M986" s="79"/>
      <c r="N986" s="64"/>
      <c r="O986" s="64"/>
      <c r="P986" s="64"/>
      <c r="Q986" s="64"/>
      <c r="R986" s="64"/>
      <c r="S986" s="64"/>
      <c r="T986" s="64"/>
      <c r="U986" s="78"/>
      <c r="V986" s="64"/>
      <c r="W986" s="79"/>
      <c r="X986" s="64"/>
      <c r="Y986" s="64"/>
      <c r="Z986" s="64"/>
      <c r="AA986" s="64"/>
      <c r="AB986" s="64"/>
      <c r="AC986" s="64"/>
      <c r="AD986" s="64"/>
      <c r="AE986" s="64"/>
    </row>
    <row r="987" spans="1:31" ht="17.25" customHeight="1">
      <c r="A987" s="79"/>
      <c r="B987" s="64"/>
      <c r="C987" s="64"/>
      <c r="D987" s="64"/>
      <c r="E987" s="64"/>
      <c r="F987" s="64"/>
      <c r="G987" s="64"/>
      <c r="H987" s="87"/>
      <c r="I987" s="64"/>
      <c r="J987" s="64"/>
      <c r="K987" s="64"/>
      <c r="L987" s="64"/>
      <c r="M987" s="79"/>
      <c r="N987" s="64"/>
      <c r="O987" s="64"/>
      <c r="P987" s="64"/>
      <c r="Q987" s="64"/>
      <c r="R987" s="64"/>
      <c r="S987" s="64"/>
      <c r="T987" s="64"/>
      <c r="U987" s="78"/>
      <c r="V987" s="64"/>
      <c r="W987" s="79"/>
      <c r="X987" s="64"/>
      <c r="Y987" s="64"/>
      <c r="Z987" s="64"/>
      <c r="AA987" s="64"/>
      <c r="AB987" s="64"/>
      <c r="AC987" s="64"/>
      <c r="AD987" s="64"/>
      <c r="AE987" s="64"/>
    </row>
    <row r="988" spans="1:31" ht="17.25" customHeight="1">
      <c r="A988" s="79"/>
      <c r="B988" s="64"/>
      <c r="C988" s="64"/>
      <c r="D988" s="64"/>
      <c r="E988" s="64"/>
      <c r="F988" s="64"/>
      <c r="G988" s="64"/>
      <c r="H988" s="87"/>
      <c r="I988" s="64"/>
      <c r="J988" s="64"/>
      <c r="K988" s="64"/>
      <c r="L988" s="64"/>
      <c r="M988" s="79"/>
      <c r="N988" s="64"/>
      <c r="O988" s="64"/>
      <c r="P988" s="64"/>
      <c r="Q988" s="64"/>
      <c r="R988" s="64"/>
      <c r="S988" s="64"/>
      <c r="T988" s="64"/>
      <c r="U988" s="78"/>
      <c r="V988" s="64"/>
      <c r="W988" s="79"/>
      <c r="X988" s="64"/>
      <c r="Y988" s="64"/>
      <c r="Z988" s="64"/>
      <c r="AA988" s="64"/>
      <c r="AB988" s="64"/>
      <c r="AC988" s="64"/>
      <c r="AD988" s="64"/>
      <c r="AE988" s="64"/>
    </row>
    <row r="989" spans="1:31" ht="17.25" customHeight="1">
      <c r="A989" s="79"/>
      <c r="B989" s="64"/>
      <c r="C989" s="64"/>
      <c r="D989" s="64"/>
      <c r="E989" s="64"/>
      <c r="F989" s="64"/>
      <c r="G989" s="64"/>
      <c r="H989" s="87"/>
      <c r="I989" s="64"/>
      <c r="J989" s="64"/>
      <c r="K989" s="64"/>
      <c r="L989" s="64"/>
      <c r="M989" s="79"/>
      <c r="N989" s="64"/>
      <c r="O989" s="64"/>
      <c r="P989" s="64"/>
      <c r="Q989" s="64"/>
      <c r="R989" s="64"/>
      <c r="S989" s="64"/>
      <c r="T989" s="64"/>
      <c r="U989" s="78"/>
      <c r="V989" s="64"/>
      <c r="W989" s="79"/>
      <c r="X989" s="64"/>
      <c r="Y989" s="64"/>
      <c r="Z989" s="64"/>
      <c r="AA989" s="64"/>
      <c r="AB989" s="64"/>
      <c r="AC989" s="64"/>
      <c r="AD989" s="64"/>
      <c r="AE989" s="64"/>
    </row>
    <row r="990" spans="1:31" ht="17.25" customHeight="1">
      <c r="A990" s="79"/>
      <c r="B990" s="64"/>
      <c r="C990" s="64"/>
      <c r="D990" s="64"/>
      <c r="E990" s="64"/>
      <c r="F990" s="64"/>
      <c r="G990" s="64"/>
      <c r="H990" s="87"/>
      <c r="I990" s="64"/>
      <c r="J990" s="64"/>
      <c r="K990" s="64"/>
      <c r="L990" s="64"/>
      <c r="M990" s="79"/>
      <c r="N990" s="64"/>
      <c r="O990" s="64"/>
      <c r="P990" s="64"/>
      <c r="Q990" s="64"/>
      <c r="R990" s="64"/>
      <c r="S990" s="64"/>
      <c r="T990" s="64"/>
      <c r="U990" s="78"/>
      <c r="V990" s="64"/>
      <c r="W990" s="79"/>
      <c r="X990" s="64"/>
      <c r="Y990" s="64"/>
      <c r="Z990" s="64"/>
      <c r="AA990" s="64"/>
      <c r="AB990" s="64"/>
      <c r="AC990" s="64"/>
      <c r="AD990" s="64"/>
      <c r="AE990" s="64"/>
    </row>
    <row r="991" spans="1:31" ht="17.25" customHeight="1">
      <c r="A991" s="79"/>
      <c r="B991" s="64"/>
      <c r="C991" s="64"/>
      <c r="D991" s="64"/>
      <c r="E991" s="64"/>
      <c r="F991" s="64"/>
      <c r="G991" s="64"/>
      <c r="H991" s="87"/>
      <c r="I991" s="64"/>
      <c r="J991" s="64"/>
      <c r="K991" s="64"/>
      <c r="L991" s="64"/>
      <c r="M991" s="79"/>
      <c r="N991" s="64"/>
      <c r="O991" s="64"/>
      <c r="P991" s="64"/>
      <c r="Q991" s="64"/>
      <c r="R991" s="64"/>
      <c r="S991" s="64"/>
      <c r="T991" s="64"/>
      <c r="U991" s="78"/>
      <c r="V991" s="64"/>
      <c r="W991" s="79"/>
      <c r="X991" s="64"/>
      <c r="Y991" s="64"/>
      <c r="Z991" s="64"/>
      <c r="AA991" s="64"/>
      <c r="AB991" s="64"/>
      <c r="AC991" s="64"/>
      <c r="AD991" s="64"/>
      <c r="AE991" s="64"/>
    </row>
    <row r="992" spans="1:31" ht="17.25" customHeight="1">
      <c r="A992" s="79"/>
      <c r="B992" s="64"/>
      <c r="C992" s="64"/>
      <c r="D992" s="64"/>
      <c r="E992" s="64"/>
      <c r="F992" s="64"/>
      <c r="G992" s="64"/>
      <c r="H992" s="87"/>
      <c r="I992" s="64"/>
      <c r="J992" s="64"/>
      <c r="K992" s="64"/>
      <c r="L992" s="64"/>
      <c r="M992" s="79"/>
      <c r="N992" s="64"/>
      <c r="O992" s="64"/>
      <c r="P992" s="64"/>
      <c r="Q992" s="64"/>
      <c r="R992" s="64"/>
      <c r="S992" s="64"/>
      <c r="T992" s="64"/>
      <c r="U992" s="78"/>
      <c r="V992" s="64"/>
      <c r="W992" s="79"/>
      <c r="X992" s="64"/>
      <c r="Y992" s="64"/>
      <c r="Z992" s="64"/>
      <c r="AA992" s="64"/>
      <c r="AB992" s="64"/>
      <c r="AC992" s="64"/>
      <c r="AD992" s="64"/>
      <c r="AE992" s="64"/>
    </row>
    <row r="993" spans="1:31" ht="17.25" customHeight="1">
      <c r="A993" s="79"/>
      <c r="B993" s="64"/>
      <c r="C993" s="64"/>
      <c r="D993" s="64"/>
      <c r="E993" s="64"/>
      <c r="F993" s="64"/>
      <c r="G993" s="64"/>
      <c r="H993" s="87"/>
      <c r="I993" s="64"/>
      <c r="J993" s="64"/>
      <c r="K993" s="64"/>
      <c r="L993" s="64"/>
      <c r="M993" s="79"/>
      <c r="N993" s="64"/>
      <c r="O993" s="64"/>
      <c r="P993" s="64"/>
      <c r="Q993" s="64"/>
      <c r="R993" s="64"/>
      <c r="S993" s="64"/>
      <c r="T993" s="64"/>
      <c r="U993" s="78"/>
      <c r="V993" s="64"/>
      <c r="W993" s="79"/>
      <c r="X993" s="64"/>
      <c r="Y993" s="64"/>
      <c r="Z993" s="64"/>
      <c r="AA993" s="64"/>
      <c r="AB993" s="64"/>
      <c r="AC993" s="64"/>
      <c r="AD993" s="64"/>
      <c r="AE993" s="64"/>
    </row>
    <row r="994" spans="1:31" ht="17.25" customHeight="1">
      <c r="A994" s="79"/>
      <c r="B994" s="64"/>
      <c r="C994" s="64"/>
      <c r="D994" s="64"/>
      <c r="E994" s="64"/>
      <c r="F994" s="64"/>
      <c r="G994" s="64"/>
      <c r="H994" s="87"/>
      <c r="I994" s="64"/>
      <c r="J994" s="64"/>
      <c r="K994" s="64"/>
      <c r="L994" s="64"/>
      <c r="M994" s="79"/>
      <c r="N994" s="64"/>
      <c r="O994" s="64"/>
      <c r="P994" s="64"/>
      <c r="Q994" s="64"/>
      <c r="R994" s="64"/>
      <c r="S994" s="64"/>
      <c r="T994" s="64"/>
      <c r="U994" s="78"/>
      <c r="V994" s="64"/>
      <c r="W994" s="79"/>
      <c r="X994" s="64"/>
      <c r="Y994" s="64"/>
      <c r="Z994" s="64"/>
      <c r="AA994" s="64"/>
      <c r="AB994" s="64"/>
      <c r="AC994" s="64"/>
      <c r="AD994" s="64"/>
      <c r="AE994" s="64"/>
    </row>
    <row r="995" spans="1:31" ht="17.25" customHeight="1">
      <c r="A995" s="79"/>
      <c r="B995" s="64"/>
      <c r="C995" s="64"/>
      <c r="D995" s="64"/>
      <c r="E995" s="64"/>
      <c r="F995" s="64"/>
      <c r="G995" s="64"/>
      <c r="H995" s="87"/>
      <c r="I995" s="64"/>
      <c r="J995" s="64"/>
      <c r="K995" s="64"/>
      <c r="L995" s="64"/>
      <c r="M995" s="79"/>
      <c r="N995" s="64"/>
      <c r="O995" s="64"/>
      <c r="P995" s="64"/>
      <c r="Q995" s="64"/>
      <c r="R995" s="64"/>
      <c r="S995" s="64"/>
      <c r="T995" s="64"/>
      <c r="U995" s="78"/>
      <c r="V995" s="64"/>
      <c r="W995" s="79"/>
      <c r="X995" s="64"/>
      <c r="Y995" s="64"/>
      <c r="Z995" s="64"/>
      <c r="AA995" s="64"/>
      <c r="AB995" s="64"/>
      <c r="AC995" s="64"/>
      <c r="AD995" s="64"/>
      <c r="AE995" s="64"/>
    </row>
    <row r="996" spans="1:31" ht="17.25" customHeight="1">
      <c r="A996" s="79"/>
      <c r="B996" s="64"/>
      <c r="C996" s="64"/>
      <c r="D996" s="64"/>
      <c r="E996" s="64"/>
      <c r="F996" s="64"/>
      <c r="G996" s="64"/>
      <c r="H996" s="87"/>
      <c r="I996" s="64"/>
      <c r="J996" s="64"/>
      <c r="K996" s="64"/>
      <c r="L996" s="64"/>
      <c r="M996" s="79"/>
      <c r="N996" s="64"/>
      <c r="O996" s="64"/>
      <c r="P996" s="64"/>
      <c r="Q996" s="64"/>
      <c r="R996" s="64"/>
      <c r="S996" s="64"/>
      <c r="T996" s="64"/>
      <c r="U996" s="78"/>
      <c r="V996" s="64"/>
      <c r="W996" s="79"/>
      <c r="X996" s="64"/>
      <c r="Y996" s="64"/>
      <c r="Z996" s="64"/>
      <c r="AA996" s="64"/>
      <c r="AB996" s="64"/>
      <c r="AC996" s="64"/>
      <c r="AD996" s="64"/>
      <c r="AE996" s="64"/>
    </row>
    <row r="997" spans="1:31" ht="17.25" customHeight="1">
      <c r="A997" s="79"/>
      <c r="B997" s="64"/>
      <c r="C997" s="64"/>
      <c r="D997" s="64"/>
      <c r="E997" s="64"/>
      <c r="F997" s="64"/>
      <c r="G997" s="64"/>
      <c r="H997" s="87"/>
      <c r="I997" s="64"/>
      <c r="J997" s="64"/>
      <c r="K997" s="64"/>
      <c r="L997" s="64"/>
      <c r="M997" s="79"/>
      <c r="N997" s="64"/>
      <c r="O997" s="64"/>
      <c r="P997" s="64"/>
      <c r="Q997" s="64"/>
      <c r="R997" s="64"/>
      <c r="S997" s="64"/>
      <c r="T997" s="64"/>
      <c r="U997" s="78"/>
      <c r="V997" s="64"/>
      <c r="W997" s="79"/>
      <c r="X997" s="64"/>
      <c r="Y997" s="64"/>
      <c r="Z997" s="64"/>
      <c r="AA997" s="64"/>
      <c r="AB997" s="64"/>
      <c r="AC997" s="64"/>
      <c r="AD997" s="64"/>
      <c r="AE997" s="64"/>
    </row>
    <row r="998" spans="1:31" ht="17.25" customHeight="1">
      <c r="A998" s="79"/>
      <c r="B998" s="64"/>
      <c r="C998" s="64"/>
      <c r="D998" s="64"/>
      <c r="E998" s="64"/>
      <c r="F998" s="64"/>
      <c r="G998" s="64"/>
      <c r="H998" s="87"/>
      <c r="I998" s="64"/>
      <c r="J998" s="64"/>
      <c r="K998" s="64"/>
      <c r="L998" s="64"/>
      <c r="M998" s="79"/>
      <c r="N998" s="64"/>
      <c r="O998" s="64"/>
      <c r="P998" s="64"/>
      <c r="Q998" s="64"/>
      <c r="R998" s="64"/>
      <c r="S998" s="64"/>
      <c r="T998" s="64"/>
      <c r="U998" s="78"/>
      <c r="V998" s="64"/>
      <c r="W998" s="79"/>
      <c r="X998" s="64"/>
      <c r="Y998" s="64"/>
      <c r="Z998" s="64"/>
      <c r="AA998" s="64"/>
      <c r="AB998" s="64"/>
      <c r="AC998" s="64"/>
      <c r="AD998" s="64"/>
      <c r="AE998" s="64"/>
    </row>
    <row r="999" spans="1:31" ht="17.25" customHeight="1">
      <c r="A999" s="79"/>
      <c r="B999" s="64"/>
      <c r="C999" s="64"/>
      <c r="D999" s="64"/>
      <c r="E999" s="64"/>
      <c r="F999" s="64"/>
      <c r="G999" s="64"/>
      <c r="H999" s="87"/>
      <c r="I999" s="64"/>
      <c r="J999" s="64"/>
      <c r="K999" s="64"/>
      <c r="L999" s="64"/>
      <c r="M999" s="79"/>
      <c r="N999" s="64"/>
      <c r="O999" s="64"/>
      <c r="P999" s="64"/>
      <c r="Q999" s="64"/>
      <c r="R999" s="64"/>
      <c r="S999" s="64"/>
      <c r="T999" s="64"/>
      <c r="U999" s="78"/>
      <c r="V999" s="64"/>
      <c r="W999" s="79"/>
      <c r="X999" s="64"/>
      <c r="Y999" s="64"/>
      <c r="Z999" s="64"/>
      <c r="AA999" s="64"/>
      <c r="AB999" s="64"/>
      <c r="AC999" s="64"/>
      <c r="AD999" s="64"/>
      <c r="AE999" s="64"/>
    </row>
    <row r="1000" spans="1:31" ht="17.25" customHeight="1">
      <c r="A1000" s="79"/>
      <c r="B1000" s="64"/>
      <c r="C1000" s="64"/>
      <c r="D1000" s="64"/>
      <c r="E1000" s="64"/>
      <c r="F1000" s="64"/>
      <c r="G1000" s="64"/>
      <c r="H1000" s="87"/>
      <c r="I1000" s="64"/>
      <c r="J1000" s="64"/>
      <c r="K1000" s="64"/>
      <c r="L1000" s="64"/>
      <c r="M1000" s="79"/>
      <c r="N1000" s="64"/>
      <c r="O1000" s="64"/>
      <c r="P1000" s="64"/>
      <c r="Q1000" s="64"/>
      <c r="R1000" s="64"/>
      <c r="S1000" s="64"/>
      <c r="T1000" s="64"/>
      <c r="U1000" s="78"/>
      <c r="V1000" s="64"/>
      <c r="W1000" s="79"/>
      <c r="X1000" s="64"/>
      <c r="Y1000" s="64"/>
      <c r="Z1000" s="64"/>
      <c r="AA1000" s="64"/>
      <c r="AB1000" s="64"/>
      <c r="AC1000" s="64"/>
      <c r="AD1000" s="64"/>
      <c r="AE1000" s="64"/>
    </row>
  </sheetData>
  <mergeCells count="81">
    <mergeCell ref="Q156:Q159"/>
    <mergeCell ref="W3:W4"/>
    <mergeCell ref="W5:W9"/>
    <mergeCell ref="W15:W19"/>
    <mergeCell ref="W21:W29"/>
    <mergeCell ref="W31:W35"/>
    <mergeCell ref="W37:W42"/>
    <mergeCell ref="W44:W46"/>
    <mergeCell ref="W48:W50"/>
    <mergeCell ref="W52:W57"/>
    <mergeCell ref="W59:W63"/>
    <mergeCell ref="W65:W70"/>
    <mergeCell ref="W72:W77"/>
    <mergeCell ref="W79:W85"/>
    <mergeCell ref="M87:M93"/>
    <mergeCell ref="W114:W121"/>
    <mergeCell ref="W123:W130"/>
    <mergeCell ref="W132:W135"/>
    <mergeCell ref="W137:W151"/>
    <mergeCell ref="W95:W105"/>
    <mergeCell ref="W107:W112"/>
    <mergeCell ref="W87:W93"/>
    <mergeCell ref="M52:M57"/>
    <mergeCell ref="M59:M63"/>
    <mergeCell ref="M65:M70"/>
    <mergeCell ref="M72:M77"/>
    <mergeCell ref="M79:M85"/>
    <mergeCell ref="M21:M29"/>
    <mergeCell ref="M31:M35"/>
    <mergeCell ref="M37:M42"/>
    <mergeCell ref="M44:M46"/>
    <mergeCell ref="M48:M50"/>
    <mergeCell ref="A5:A9"/>
    <mergeCell ref="W11:W13"/>
    <mergeCell ref="M5:M9"/>
    <mergeCell ref="M11:M13"/>
    <mergeCell ref="M15:M19"/>
    <mergeCell ref="A11:A13"/>
    <mergeCell ref="A15:A19"/>
    <mergeCell ref="A3:A4"/>
    <mergeCell ref="B3:B4"/>
    <mergeCell ref="M3:M4"/>
    <mergeCell ref="N3:N4"/>
    <mergeCell ref="X3:X4"/>
    <mergeCell ref="W2:AC2"/>
    <mergeCell ref="AD2:AE2"/>
    <mergeCell ref="A1:J1"/>
    <mergeCell ref="M1:V1"/>
    <mergeCell ref="W1:AE1"/>
    <mergeCell ref="A2:H2"/>
    <mergeCell ref="I2:J2"/>
    <mergeCell ref="M2:S2"/>
    <mergeCell ref="T2:U2"/>
    <mergeCell ref="B155:B157"/>
    <mergeCell ref="B159:B161"/>
    <mergeCell ref="B164:B166"/>
    <mergeCell ref="F173:F176"/>
    <mergeCell ref="M95:M105"/>
    <mergeCell ref="M107:M112"/>
    <mergeCell ref="M114:M121"/>
    <mergeCell ref="M123:M130"/>
    <mergeCell ref="M132:M135"/>
    <mergeCell ref="M137:M151"/>
    <mergeCell ref="A153:L153"/>
    <mergeCell ref="A132:A135"/>
    <mergeCell ref="A137:A151"/>
    <mergeCell ref="A114:A121"/>
    <mergeCell ref="A123:A130"/>
    <mergeCell ref="A107:A112"/>
    <mergeCell ref="A52:A57"/>
    <mergeCell ref="A59:A63"/>
    <mergeCell ref="A65:A70"/>
    <mergeCell ref="A72:A77"/>
    <mergeCell ref="A79:A85"/>
    <mergeCell ref="A21:A29"/>
    <mergeCell ref="A31:A35"/>
    <mergeCell ref="A37:A42"/>
    <mergeCell ref="A87:A93"/>
    <mergeCell ref="A95:A105"/>
    <mergeCell ref="A44:A46"/>
    <mergeCell ref="A48:A50"/>
  </mergeCells>
  <printOptions horizontalCentered="1"/>
  <pageMargins left="0.7" right="0.7" top="0.75" bottom="0.75" header="0" footer="0"/>
  <pageSetup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76"/>
  <sheetViews>
    <sheetView workbookViewId="0"/>
  </sheetViews>
  <sheetFormatPr defaultColWidth="12.625" defaultRowHeight="15" customHeight="1"/>
  <sheetData>
    <row r="1" spans="1:31" ht="18">
      <c r="A1" s="935" t="s">
        <v>0</v>
      </c>
      <c r="B1" s="936"/>
      <c r="C1" s="936"/>
      <c r="D1" s="936"/>
      <c r="E1" s="936"/>
      <c r="F1" s="936"/>
      <c r="G1" s="936"/>
      <c r="H1" s="936"/>
      <c r="I1" s="936"/>
      <c r="J1" s="937"/>
      <c r="K1" s="1"/>
      <c r="L1" s="2"/>
      <c r="M1" s="935" t="str">
        <f>A1</f>
        <v>Capex review on FG 2020-21 (Preliminary)</v>
      </c>
      <c r="N1" s="936"/>
      <c r="O1" s="936"/>
      <c r="P1" s="936"/>
      <c r="Q1" s="936"/>
      <c r="R1" s="936"/>
      <c r="S1" s="936"/>
      <c r="T1" s="936"/>
      <c r="U1" s="936"/>
      <c r="V1" s="937"/>
      <c r="W1" s="938" t="str">
        <f>M1</f>
        <v>Capex review on FG 2020-21 (Preliminary)</v>
      </c>
      <c r="X1" s="931"/>
      <c r="Y1" s="931"/>
      <c r="Z1" s="931"/>
      <c r="AA1" s="931"/>
      <c r="AB1" s="931"/>
      <c r="AC1" s="931"/>
      <c r="AD1" s="931"/>
      <c r="AE1" s="932"/>
    </row>
    <row r="2" spans="1:31" ht="15" customHeight="1">
      <c r="A2" s="939" t="s">
        <v>1</v>
      </c>
      <c r="B2" s="940"/>
      <c r="C2" s="940"/>
      <c r="D2" s="940"/>
      <c r="E2" s="940"/>
      <c r="F2" s="940"/>
      <c r="G2" s="940"/>
      <c r="H2" s="940"/>
      <c r="I2" s="933" t="s">
        <v>86</v>
      </c>
      <c r="J2" s="934"/>
      <c r="K2" s="3"/>
      <c r="L2" s="4"/>
      <c r="M2" s="941" t="s">
        <v>3</v>
      </c>
      <c r="N2" s="931"/>
      <c r="O2" s="931"/>
      <c r="P2" s="931"/>
      <c r="Q2" s="931"/>
      <c r="R2" s="931"/>
      <c r="S2" s="931"/>
      <c r="T2" s="942" t="str">
        <f>I2</f>
        <v>( ` in thousands )</v>
      </c>
      <c r="U2" s="934"/>
      <c r="V2" s="5"/>
      <c r="W2" s="930" t="s">
        <v>4</v>
      </c>
      <c r="X2" s="931"/>
      <c r="Y2" s="931"/>
      <c r="Z2" s="931"/>
      <c r="AA2" s="931"/>
      <c r="AB2" s="931"/>
      <c r="AC2" s="932"/>
      <c r="AD2" s="933" t="s">
        <v>87</v>
      </c>
      <c r="AE2" s="934"/>
    </row>
    <row r="3" spans="1:31" ht="15" customHeight="1">
      <c r="A3" s="943" t="s">
        <v>6</v>
      </c>
      <c r="B3" s="944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  <c r="H3" s="8" t="s">
        <v>13</v>
      </c>
      <c r="I3" s="8" t="s">
        <v>14</v>
      </c>
      <c r="J3" s="9" t="s">
        <v>15</v>
      </c>
      <c r="K3" s="10" t="s">
        <v>16</v>
      </c>
      <c r="L3" s="6" t="s">
        <v>17</v>
      </c>
      <c r="M3" s="946" t="s">
        <v>6</v>
      </c>
      <c r="N3" s="944" t="s">
        <v>7</v>
      </c>
      <c r="O3" s="6" t="s">
        <v>8</v>
      </c>
      <c r="P3" s="6" t="s">
        <v>18</v>
      </c>
      <c r="Q3" s="6" t="s">
        <v>11</v>
      </c>
      <c r="R3" s="7" t="s">
        <v>12</v>
      </c>
      <c r="S3" s="6" t="str">
        <f>H3</f>
        <v>Actual upto March-2021</v>
      </c>
      <c r="T3" s="6" t="s">
        <v>14</v>
      </c>
      <c r="U3" s="11" t="s">
        <v>15</v>
      </c>
      <c r="V3" s="6" t="s">
        <v>17</v>
      </c>
      <c r="W3" s="946" t="s">
        <v>6</v>
      </c>
      <c r="X3" s="944" t="s">
        <v>7</v>
      </c>
      <c r="Y3" s="6" t="s">
        <v>8</v>
      </c>
      <c r="Z3" s="6" t="s">
        <v>18</v>
      </c>
      <c r="AA3" s="6" t="s">
        <v>11</v>
      </c>
      <c r="AB3" s="7" t="s">
        <v>12</v>
      </c>
      <c r="AC3" s="6" t="str">
        <f>S3</f>
        <v>Actual upto March-2021</v>
      </c>
      <c r="AD3" s="6" t="s">
        <v>14</v>
      </c>
      <c r="AE3" s="11" t="s">
        <v>15</v>
      </c>
    </row>
    <row r="4" spans="1:31" ht="15.75">
      <c r="A4" s="918"/>
      <c r="B4" s="945"/>
      <c r="C4" s="12" t="s">
        <v>19</v>
      </c>
      <c r="D4" s="12" t="s">
        <v>19</v>
      </c>
      <c r="E4" s="12" t="s">
        <v>19</v>
      </c>
      <c r="F4" s="12" t="s">
        <v>19</v>
      </c>
      <c r="G4" s="13" t="s">
        <v>19</v>
      </c>
      <c r="H4" s="14" t="s">
        <v>19</v>
      </c>
      <c r="I4" s="14" t="s">
        <v>19</v>
      </c>
      <c r="J4" s="15"/>
      <c r="K4" s="16" t="s">
        <v>19</v>
      </c>
      <c r="L4" s="12" t="s">
        <v>19</v>
      </c>
      <c r="M4" s="922"/>
      <c r="N4" s="945"/>
      <c r="O4" s="12" t="s">
        <v>19</v>
      </c>
      <c r="P4" s="12" t="s">
        <v>19</v>
      </c>
      <c r="Q4" s="12" t="s">
        <v>19</v>
      </c>
      <c r="R4" s="13" t="s">
        <v>19</v>
      </c>
      <c r="S4" s="12" t="s">
        <v>19</v>
      </c>
      <c r="T4" s="12" t="s">
        <v>19</v>
      </c>
      <c r="U4" s="12"/>
      <c r="V4" s="12" t="s">
        <v>19</v>
      </c>
      <c r="W4" s="922"/>
      <c r="X4" s="945"/>
      <c r="Y4" s="12" t="s">
        <v>19</v>
      </c>
      <c r="Z4" s="12" t="s">
        <v>19</v>
      </c>
      <c r="AA4" s="12" t="s">
        <v>19</v>
      </c>
      <c r="AB4" s="13" t="s">
        <v>19</v>
      </c>
      <c r="AC4" s="12" t="s">
        <v>19</v>
      </c>
      <c r="AD4" s="12" t="s">
        <v>19</v>
      </c>
      <c r="AE4" s="12"/>
    </row>
    <row r="5" spans="1:31" ht="15.75">
      <c r="A5" s="916" t="s">
        <v>20</v>
      </c>
      <c r="B5" s="17" t="s">
        <v>21</v>
      </c>
      <c r="C5" s="18">
        <v>3</v>
      </c>
      <c r="D5" s="18">
        <v>3</v>
      </c>
      <c r="E5" s="18">
        <v>50057</v>
      </c>
      <c r="F5" s="18">
        <v>0</v>
      </c>
      <c r="G5" s="19">
        <v>0</v>
      </c>
      <c r="H5" s="20">
        <v>0</v>
      </c>
      <c r="I5" s="20">
        <f>H5-F5</f>
        <v>0</v>
      </c>
      <c r="J5" s="21">
        <v>0</v>
      </c>
      <c r="K5" s="22">
        <f t="shared" ref="K5:K7" si="0">F5-E5</f>
        <v>-50057</v>
      </c>
      <c r="L5" s="18">
        <f t="shared" ref="L5:L7" si="1">F5-D5</f>
        <v>-3</v>
      </c>
      <c r="M5" s="920" t="s">
        <v>20</v>
      </c>
      <c r="N5" s="17" t="s">
        <v>21</v>
      </c>
      <c r="O5" s="18">
        <v>3</v>
      </c>
      <c r="P5" s="18">
        <v>3</v>
      </c>
      <c r="Q5" s="18">
        <v>0</v>
      </c>
      <c r="R5" s="19">
        <v>0</v>
      </c>
      <c r="S5" s="18">
        <v>0</v>
      </c>
      <c r="T5" s="18">
        <f>S5-Q5</f>
        <v>0</v>
      </c>
      <c r="U5" s="23">
        <v>0</v>
      </c>
      <c r="V5" s="18">
        <f t="shared" ref="V5:V9" si="2">Q5-P5</f>
        <v>-3</v>
      </c>
      <c r="W5" s="920" t="s">
        <v>20</v>
      </c>
      <c r="X5" s="17" t="s">
        <v>21</v>
      </c>
      <c r="Y5" s="18">
        <f t="shared" ref="Y5:Z5" si="3">C5-O5</f>
        <v>0</v>
      </c>
      <c r="Z5" s="18">
        <f t="shared" si="3"/>
        <v>0</v>
      </c>
      <c r="AA5" s="18">
        <f t="shared" ref="AA5:AC5" si="4">F5-Q5</f>
        <v>0</v>
      </c>
      <c r="AB5" s="18">
        <f t="shared" si="4"/>
        <v>0</v>
      </c>
      <c r="AC5" s="18">
        <f t="shared" si="4"/>
        <v>0</v>
      </c>
      <c r="AD5" s="18">
        <f t="shared" ref="AD5:AD151" si="5">AC5-AB5</f>
        <v>0</v>
      </c>
      <c r="AE5" s="23" t="e">
        <f t="shared" ref="AE5:AE151" si="6">AC5/AB5*100</f>
        <v>#DIV/0!</v>
      </c>
    </row>
    <row r="6" spans="1:31" ht="15.75">
      <c r="A6" s="917"/>
      <c r="B6" s="17" t="s">
        <v>22</v>
      </c>
      <c r="C6" s="18">
        <v>20000</v>
      </c>
      <c r="D6" s="18">
        <v>20000</v>
      </c>
      <c r="E6" s="18">
        <v>15000</v>
      </c>
      <c r="F6" s="18">
        <v>15000</v>
      </c>
      <c r="G6" s="19">
        <v>21774</v>
      </c>
      <c r="H6" s="20">
        <v>11774</v>
      </c>
      <c r="I6" s="20">
        <f t="shared" ref="I6:I8" si="7">H6-G6</f>
        <v>-10000</v>
      </c>
      <c r="J6" s="21">
        <f>H6/G6*100</f>
        <v>54.073665839992657</v>
      </c>
      <c r="K6" s="22">
        <f t="shared" si="0"/>
        <v>0</v>
      </c>
      <c r="L6" s="18">
        <f t="shared" si="1"/>
        <v>-5000</v>
      </c>
      <c r="M6" s="921"/>
      <c r="N6" s="17" t="s">
        <v>22</v>
      </c>
      <c r="O6" s="18">
        <v>20000</v>
      </c>
      <c r="P6" s="18">
        <v>20000</v>
      </c>
      <c r="Q6" s="18">
        <v>15000</v>
      </c>
      <c r="R6" s="19">
        <v>21774</v>
      </c>
      <c r="S6" s="18">
        <v>11774</v>
      </c>
      <c r="T6" s="18">
        <f t="shared" ref="T6:T8" si="8">S6-R6</f>
        <v>-10000</v>
      </c>
      <c r="U6" s="23">
        <f>S6/R6*100</f>
        <v>54.073665839992657</v>
      </c>
      <c r="V6" s="18">
        <f t="shared" si="2"/>
        <v>-5000</v>
      </c>
      <c r="W6" s="921"/>
      <c r="X6" s="17" t="s">
        <v>22</v>
      </c>
      <c r="Y6" s="18">
        <f t="shared" ref="Y6:Z6" si="9">C6-O6</f>
        <v>0</v>
      </c>
      <c r="Z6" s="18">
        <f t="shared" si="9"/>
        <v>0</v>
      </c>
      <c r="AA6" s="18">
        <f t="shared" ref="AA6:AC6" si="10">F6-Q6</f>
        <v>0</v>
      </c>
      <c r="AB6" s="18">
        <f t="shared" si="10"/>
        <v>0</v>
      </c>
      <c r="AC6" s="18">
        <f t="shared" si="10"/>
        <v>0</v>
      </c>
      <c r="AD6" s="18">
        <f t="shared" si="5"/>
        <v>0</v>
      </c>
      <c r="AE6" s="23" t="e">
        <f t="shared" si="6"/>
        <v>#DIV/0!</v>
      </c>
    </row>
    <row r="7" spans="1:31" ht="15.75">
      <c r="A7" s="917"/>
      <c r="B7" s="17" t="s">
        <v>23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0">
        <v>0</v>
      </c>
      <c r="I7" s="20">
        <f t="shared" si="7"/>
        <v>0</v>
      </c>
      <c r="J7" s="21">
        <v>0</v>
      </c>
      <c r="K7" s="22">
        <f t="shared" si="0"/>
        <v>0</v>
      </c>
      <c r="L7" s="18">
        <f t="shared" si="1"/>
        <v>0</v>
      </c>
      <c r="M7" s="921"/>
      <c r="N7" s="17" t="s">
        <v>23</v>
      </c>
      <c r="O7" s="18">
        <v>0</v>
      </c>
      <c r="P7" s="18">
        <v>0</v>
      </c>
      <c r="Q7" s="18">
        <v>0</v>
      </c>
      <c r="R7" s="19">
        <v>0</v>
      </c>
      <c r="S7" s="18">
        <v>0</v>
      </c>
      <c r="T7" s="18">
        <f t="shared" si="8"/>
        <v>0</v>
      </c>
      <c r="U7" s="23">
        <v>0</v>
      </c>
      <c r="V7" s="18">
        <f t="shared" si="2"/>
        <v>0</v>
      </c>
      <c r="W7" s="921"/>
      <c r="X7" s="17" t="s">
        <v>23</v>
      </c>
      <c r="Y7" s="18">
        <f t="shared" ref="Y7:Z7" si="11">C7-O7</f>
        <v>0</v>
      </c>
      <c r="Z7" s="18">
        <f t="shared" si="11"/>
        <v>0</v>
      </c>
      <c r="AA7" s="18">
        <f t="shared" ref="AA7:AC7" si="12">F7-Q7</f>
        <v>0</v>
      </c>
      <c r="AB7" s="18">
        <f t="shared" si="12"/>
        <v>0</v>
      </c>
      <c r="AC7" s="18">
        <f t="shared" si="12"/>
        <v>0</v>
      </c>
      <c r="AD7" s="18">
        <f t="shared" si="5"/>
        <v>0</v>
      </c>
      <c r="AE7" s="23" t="e">
        <f t="shared" si="6"/>
        <v>#DIV/0!</v>
      </c>
    </row>
    <row r="8" spans="1:31" ht="15.75">
      <c r="A8" s="917"/>
      <c r="B8" s="17" t="s">
        <v>24</v>
      </c>
      <c r="C8" s="18">
        <v>0</v>
      </c>
      <c r="D8" s="18"/>
      <c r="E8" s="18"/>
      <c r="F8" s="18">
        <v>65100</v>
      </c>
      <c r="G8" s="19">
        <v>60000</v>
      </c>
      <c r="H8" s="20">
        <v>25688</v>
      </c>
      <c r="I8" s="20">
        <f t="shared" si="7"/>
        <v>-34312</v>
      </c>
      <c r="J8" s="21">
        <f t="shared" ref="J8:L8" si="13">H8/G8*100</f>
        <v>42.813333333333333</v>
      </c>
      <c r="K8" s="24">
        <f t="shared" si="13"/>
        <v>-133.57209592027405</v>
      </c>
      <c r="L8" s="24">
        <f t="shared" si="13"/>
        <v>-0.12477656019274112</v>
      </c>
      <c r="M8" s="921"/>
      <c r="N8" s="17" t="s">
        <v>24</v>
      </c>
      <c r="O8" s="18">
        <v>0</v>
      </c>
      <c r="P8" s="18"/>
      <c r="Q8" s="18">
        <v>65100</v>
      </c>
      <c r="R8" s="19">
        <v>60000</v>
      </c>
      <c r="S8" s="18">
        <v>25688</v>
      </c>
      <c r="T8" s="18">
        <f t="shared" si="8"/>
        <v>-34312</v>
      </c>
      <c r="U8" s="23">
        <f t="shared" ref="U8:U9" si="14">S8/R8*100</f>
        <v>42.813333333333333</v>
      </c>
      <c r="V8" s="18">
        <f t="shared" si="2"/>
        <v>65100</v>
      </c>
      <c r="W8" s="921"/>
      <c r="X8" s="17" t="s">
        <v>24</v>
      </c>
      <c r="Y8" s="18">
        <f t="shared" ref="Y8:Z8" si="15">C8-O8</f>
        <v>0</v>
      </c>
      <c r="Z8" s="18">
        <f t="shared" si="15"/>
        <v>0</v>
      </c>
      <c r="AA8" s="18">
        <f t="shared" ref="AA8:AC8" si="16">F8-Q8</f>
        <v>0</v>
      </c>
      <c r="AB8" s="18">
        <f t="shared" si="16"/>
        <v>0</v>
      </c>
      <c r="AC8" s="18">
        <f t="shared" si="16"/>
        <v>0</v>
      </c>
      <c r="AD8" s="18">
        <f t="shared" si="5"/>
        <v>0</v>
      </c>
      <c r="AE8" s="23" t="e">
        <f t="shared" si="6"/>
        <v>#DIV/0!</v>
      </c>
    </row>
    <row r="9" spans="1:31" ht="15.75">
      <c r="A9" s="918"/>
      <c r="B9" s="25" t="s">
        <v>25</v>
      </c>
      <c r="C9" s="26">
        <f t="shared" ref="C9:I9" si="17">SUM(C5:C8)</f>
        <v>20003</v>
      </c>
      <c r="D9" s="26">
        <f t="shared" si="17"/>
        <v>20003</v>
      </c>
      <c r="E9" s="26">
        <f t="shared" si="17"/>
        <v>65057</v>
      </c>
      <c r="F9" s="26">
        <f t="shared" si="17"/>
        <v>80100</v>
      </c>
      <c r="G9" s="27">
        <f t="shared" si="17"/>
        <v>81774</v>
      </c>
      <c r="H9" s="28">
        <f t="shared" si="17"/>
        <v>37462</v>
      </c>
      <c r="I9" s="28">
        <f t="shared" si="17"/>
        <v>-44312</v>
      </c>
      <c r="J9" s="23">
        <f>H9/G9*100</f>
        <v>45.811627167559372</v>
      </c>
      <c r="K9" s="29">
        <f>F9-E9</f>
        <v>15043</v>
      </c>
      <c r="L9" s="26">
        <f>F9-D9</f>
        <v>60097</v>
      </c>
      <c r="M9" s="922"/>
      <c r="N9" s="25" t="s">
        <v>25</v>
      </c>
      <c r="O9" s="26">
        <f t="shared" ref="O9:T9" si="18">SUM(O5:O8)</f>
        <v>20003</v>
      </c>
      <c r="P9" s="26">
        <f t="shared" si="18"/>
        <v>20003</v>
      </c>
      <c r="Q9" s="26">
        <f t="shared" si="18"/>
        <v>80100</v>
      </c>
      <c r="R9" s="27">
        <f t="shared" si="18"/>
        <v>81774</v>
      </c>
      <c r="S9" s="26">
        <f t="shared" si="18"/>
        <v>37462</v>
      </c>
      <c r="T9" s="26">
        <f t="shared" si="18"/>
        <v>-44312</v>
      </c>
      <c r="U9" s="23">
        <f t="shared" si="14"/>
        <v>45.811627167559372</v>
      </c>
      <c r="V9" s="26">
        <f t="shared" si="2"/>
        <v>60097</v>
      </c>
      <c r="W9" s="922"/>
      <c r="X9" s="25" t="s">
        <v>25</v>
      </c>
      <c r="Y9" s="26">
        <f t="shared" ref="Y9:AA9" si="19">SUM(Y5:Y8)</f>
        <v>0</v>
      </c>
      <c r="Z9" s="26">
        <f t="shared" si="19"/>
        <v>0</v>
      </c>
      <c r="AA9" s="26">
        <f t="shared" si="19"/>
        <v>0</v>
      </c>
      <c r="AB9" s="18">
        <f t="shared" ref="AB9:AC9" si="20">G9-R9</f>
        <v>0</v>
      </c>
      <c r="AC9" s="18">
        <f t="shared" si="20"/>
        <v>0</v>
      </c>
      <c r="AD9" s="18">
        <f t="shared" si="5"/>
        <v>0</v>
      </c>
      <c r="AE9" s="23" t="e">
        <f t="shared" si="6"/>
        <v>#DIV/0!</v>
      </c>
    </row>
    <row r="10" spans="1:31" ht="15.75">
      <c r="A10" s="30"/>
      <c r="B10" s="31"/>
      <c r="C10" s="32"/>
      <c r="D10" s="32"/>
      <c r="E10" s="32"/>
      <c r="F10" s="32"/>
      <c r="G10" s="33"/>
      <c r="H10" s="34"/>
      <c r="I10" s="34"/>
      <c r="J10" s="35"/>
      <c r="K10" s="36"/>
      <c r="L10" s="32"/>
      <c r="M10" s="37"/>
      <c r="N10" s="31"/>
      <c r="O10" s="32"/>
      <c r="P10" s="32"/>
      <c r="Q10" s="32"/>
      <c r="R10" s="33"/>
      <c r="S10" s="32"/>
      <c r="T10" s="32"/>
      <c r="U10" s="38"/>
      <c r="V10" s="32"/>
      <c r="W10" s="37"/>
      <c r="X10" s="31"/>
      <c r="Y10" s="32"/>
      <c r="Z10" s="32"/>
      <c r="AA10" s="32"/>
      <c r="AB10" s="18">
        <f t="shared" ref="AB10:AC10" si="21">G10-R10</f>
        <v>0</v>
      </c>
      <c r="AC10" s="18">
        <f t="shared" si="21"/>
        <v>0</v>
      </c>
      <c r="AD10" s="18">
        <f t="shared" si="5"/>
        <v>0</v>
      </c>
      <c r="AE10" s="23" t="e">
        <f t="shared" si="6"/>
        <v>#DIV/0!</v>
      </c>
    </row>
    <row r="11" spans="1:31" ht="15.75">
      <c r="A11" s="916" t="s">
        <v>26</v>
      </c>
      <c r="B11" s="17" t="s">
        <v>21</v>
      </c>
      <c r="C11" s="18">
        <v>1500001</v>
      </c>
      <c r="D11" s="18">
        <v>1500001</v>
      </c>
      <c r="E11" s="18">
        <v>2496106</v>
      </c>
      <c r="F11" s="18">
        <v>0</v>
      </c>
      <c r="G11" s="19">
        <v>0</v>
      </c>
      <c r="H11" s="20">
        <v>400000</v>
      </c>
      <c r="I11" s="20">
        <f t="shared" ref="I11:I12" si="22">H11-G11</f>
        <v>400000</v>
      </c>
      <c r="J11" s="21">
        <v>0</v>
      </c>
      <c r="K11" s="22">
        <f t="shared" ref="K11:K13" si="23">F11-E11</f>
        <v>-2496106</v>
      </c>
      <c r="L11" s="18">
        <f t="shared" ref="L11:L13" si="24">F11-D11</f>
        <v>-1500001</v>
      </c>
      <c r="M11" s="920" t="s">
        <v>26</v>
      </c>
      <c r="N11" s="17" t="s">
        <v>21</v>
      </c>
      <c r="O11" s="18">
        <v>1500001</v>
      </c>
      <c r="P11" s="18">
        <v>1500001</v>
      </c>
      <c r="Q11" s="18">
        <v>0</v>
      </c>
      <c r="R11" s="19">
        <v>0</v>
      </c>
      <c r="S11" s="18">
        <v>400000</v>
      </c>
      <c r="T11" s="18">
        <f t="shared" ref="T11:T12" si="25">S11-R11</f>
        <v>400000</v>
      </c>
      <c r="U11" s="23">
        <v>0</v>
      </c>
      <c r="V11" s="18">
        <f t="shared" ref="V11:V13" si="26">Q11-P11</f>
        <v>-1500001</v>
      </c>
      <c r="W11" s="920" t="s">
        <v>26</v>
      </c>
      <c r="X11" s="17" t="s">
        <v>21</v>
      </c>
      <c r="Y11" s="18">
        <f t="shared" ref="Y11:Z11" si="27">C11-O11</f>
        <v>0</v>
      </c>
      <c r="Z11" s="18">
        <f t="shared" si="27"/>
        <v>0</v>
      </c>
      <c r="AA11" s="18">
        <f t="shared" ref="AA11:AC11" si="28">F11-Q11</f>
        <v>0</v>
      </c>
      <c r="AB11" s="18">
        <f t="shared" si="28"/>
        <v>0</v>
      </c>
      <c r="AC11" s="18">
        <f t="shared" si="28"/>
        <v>0</v>
      </c>
      <c r="AD11" s="18">
        <f t="shared" si="5"/>
        <v>0</v>
      </c>
      <c r="AE11" s="23" t="e">
        <f t="shared" si="6"/>
        <v>#DIV/0!</v>
      </c>
    </row>
    <row r="12" spans="1:31" ht="15.75">
      <c r="A12" s="917"/>
      <c r="B12" s="17" t="s">
        <v>24</v>
      </c>
      <c r="C12" s="18">
        <v>0</v>
      </c>
      <c r="D12" s="18"/>
      <c r="E12" s="18"/>
      <c r="F12" s="18">
        <v>1250000</v>
      </c>
      <c r="G12" s="19">
        <v>187500</v>
      </c>
      <c r="H12" s="20">
        <v>180911</v>
      </c>
      <c r="I12" s="20">
        <f t="shared" si="22"/>
        <v>-6589</v>
      </c>
      <c r="J12" s="21">
        <f t="shared" ref="J12:J13" si="29">H12/G12*100</f>
        <v>96.485866666666666</v>
      </c>
      <c r="K12" s="22">
        <f t="shared" si="23"/>
        <v>1250000</v>
      </c>
      <c r="L12" s="18">
        <f t="shared" si="24"/>
        <v>1250000</v>
      </c>
      <c r="M12" s="921"/>
      <c r="N12" s="17" t="s">
        <v>24</v>
      </c>
      <c r="O12" s="18"/>
      <c r="P12" s="18"/>
      <c r="Q12" s="18">
        <v>1250000</v>
      </c>
      <c r="R12" s="19">
        <v>187500</v>
      </c>
      <c r="S12" s="18">
        <v>180911</v>
      </c>
      <c r="T12" s="18">
        <f t="shared" si="25"/>
        <v>-6589</v>
      </c>
      <c r="U12" s="23">
        <f t="shared" ref="U12:U13" si="30">S12/R12*100</f>
        <v>96.485866666666666</v>
      </c>
      <c r="V12" s="18">
        <f t="shared" si="26"/>
        <v>1250000</v>
      </c>
      <c r="W12" s="921"/>
      <c r="X12" s="17" t="s">
        <v>24</v>
      </c>
      <c r="Y12" s="18">
        <f t="shared" ref="Y12:Z12" si="31">C12-O12</f>
        <v>0</v>
      </c>
      <c r="Z12" s="18">
        <f t="shared" si="31"/>
        <v>0</v>
      </c>
      <c r="AA12" s="18">
        <f t="shared" ref="AA12:AC12" si="32">F12-Q12</f>
        <v>0</v>
      </c>
      <c r="AB12" s="18">
        <f t="shared" si="32"/>
        <v>0</v>
      </c>
      <c r="AC12" s="18">
        <f t="shared" si="32"/>
        <v>0</v>
      </c>
      <c r="AD12" s="18">
        <f t="shared" si="5"/>
        <v>0</v>
      </c>
      <c r="AE12" s="23" t="e">
        <f t="shared" si="6"/>
        <v>#DIV/0!</v>
      </c>
    </row>
    <row r="13" spans="1:31" ht="15.75">
      <c r="A13" s="918"/>
      <c r="B13" s="25" t="s">
        <v>25</v>
      </c>
      <c r="C13" s="26">
        <f t="shared" ref="C13:I13" si="33">SUM(C11:C12)</f>
        <v>1500001</v>
      </c>
      <c r="D13" s="26">
        <f t="shared" si="33"/>
        <v>1500001</v>
      </c>
      <c r="E13" s="26">
        <f t="shared" si="33"/>
        <v>2496106</v>
      </c>
      <c r="F13" s="26">
        <f t="shared" si="33"/>
        <v>1250000</v>
      </c>
      <c r="G13" s="27">
        <f t="shared" si="33"/>
        <v>187500</v>
      </c>
      <c r="H13" s="28">
        <f t="shared" si="33"/>
        <v>580911</v>
      </c>
      <c r="I13" s="28">
        <f t="shared" si="33"/>
        <v>393411</v>
      </c>
      <c r="J13" s="23">
        <f t="shared" si="29"/>
        <v>309.81920000000002</v>
      </c>
      <c r="K13" s="29">
        <f t="shared" si="23"/>
        <v>-1246106</v>
      </c>
      <c r="L13" s="26">
        <f t="shared" si="24"/>
        <v>-250001</v>
      </c>
      <c r="M13" s="922"/>
      <c r="N13" s="25" t="s">
        <v>25</v>
      </c>
      <c r="O13" s="26">
        <f t="shared" ref="O13:T13" si="34">SUM(O11:O12)</f>
        <v>1500001</v>
      </c>
      <c r="P13" s="26">
        <f t="shared" si="34"/>
        <v>1500001</v>
      </c>
      <c r="Q13" s="26">
        <f t="shared" si="34"/>
        <v>1250000</v>
      </c>
      <c r="R13" s="27">
        <f t="shared" si="34"/>
        <v>187500</v>
      </c>
      <c r="S13" s="26">
        <f t="shared" si="34"/>
        <v>580911</v>
      </c>
      <c r="T13" s="26">
        <f t="shared" si="34"/>
        <v>393411</v>
      </c>
      <c r="U13" s="23">
        <f t="shared" si="30"/>
        <v>309.81920000000002</v>
      </c>
      <c r="V13" s="26">
        <f t="shared" si="26"/>
        <v>-250001</v>
      </c>
      <c r="W13" s="922"/>
      <c r="X13" s="25" t="s">
        <v>25</v>
      </c>
      <c r="Y13" s="26">
        <f t="shared" ref="Y13:AA13" si="35">SUM(Y11:Y12)</f>
        <v>0</v>
      </c>
      <c r="Z13" s="26">
        <f t="shared" si="35"/>
        <v>0</v>
      </c>
      <c r="AA13" s="26">
        <f t="shared" si="35"/>
        <v>0</v>
      </c>
      <c r="AB13" s="18">
        <f t="shared" ref="AB13:AC13" si="36">G13-R13</f>
        <v>0</v>
      </c>
      <c r="AC13" s="18">
        <f t="shared" si="36"/>
        <v>0</v>
      </c>
      <c r="AD13" s="18">
        <f t="shared" si="5"/>
        <v>0</v>
      </c>
      <c r="AE13" s="23" t="e">
        <f t="shared" si="6"/>
        <v>#DIV/0!</v>
      </c>
    </row>
    <row r="14" spans="1:31" ht="15.75">
      <c r="A14" s="30"/>
      <c r="B14" s="31"/>
      <c r="C14" s="32"/>
      <c r="D14" s="32"/>
      <c r="E14" s="32"/>
      <c r="F14" s="32"/>
      <c r="G14" s="32"/>
      <c r="H14" s="34"/>
      <c r="I14" s="34"/>
      <c r="J14" s="35"/>
      <c r="K14" s="36"/>
      <c r="L14" s="32"/>
      <c r="M14" s="37"/>
      <c r="N14" s="31"/>
      <c r="O14" s="32"/>
      <c r="P14" s="32"/>
      <c r="Q14" s="32"/>
      <c r="R14" s="32"/>
      <c r="S14" s="32"/>
      <c r="T14" s="32"/>
      <c r="U14" s="38"/>
      <c r="V14" s="32"/>
      <c r="W14" s="37"/>
      <c r="X14" s="31"/>
      <c r="Y14" s="32"/>
      <c r="Z14" s="32"/>
      <c r="AA14" s="32"/>
      <c r="AB14" s="18">
        <f t="shared" ref="AB14:AC14" si="37">G14-R14</f>
        <v>0</v>
      </c>
      <c r="AC14" s="18">
        <f t="shared" si="37"/>
        <v>0</v>
      </c>
      <c r="AD14" s="18">
        <f t="shared" si="5"/>
        <v>0</v>
      </c>
      <c r="AE14" s="23" t="e">
        <f t="shared" si="6"/>
        <v>#DIV/0!</v>
      </c>
    </row>
    <row r="15" spans="1:31" ht="15.75">
      <c r="A15" s="916" t="s">
        <v>27</v>
      </c>
      <c r="B15" s="17" t="s">
        <v>21</v>
      </c>
      <c r="C15" s="18">
        <v>270000</v>
      </c>
      <c r="D15" s="18">
        <v>270000</v>
      </c>
      <c r="E15" s="18">
        <v>399772</v>
      </c>
      <c r="F15" s="18">
        <v>10000</v>
      </c>
      <c r="G15" s="19">
        <v>0</v>
      </c>
      <c r="H15" s="20">
        <v>6508</v>
      </c>
      <c r="I15" s="20">
        <f t="shared" ref="I15:I18" si="38">H15-G15</f>
        <v>6508</v>
      </c>
      <c r="J15" s="21">
        <v>0</v>
      </c>
      <c r="K15" s="22">
        <f t="shared" ref="K15:K19" si="39">F15-E15</f>
        <v>-389772</v>
      </c>
      <c r="L15" s="18">
        <f t="shared" ref="L15:L19" si="40">F15-D15</f>
        <v>-260000</v>
      </c>
      <c r="M15" s="920" t="s">
        <v>27</v>
      </c>
      <c r="N15" s="17" t="s">
        <v>21</v>
      </c>
      <c r="O15" s="18">
        <v>270000</v>
      </c>
      <c r="P15" s="18">
        <v>270000</v>
      </c>
      <c r="Q15" s="18">
        <v>10000</v>
      </c>
      <c r="R15" s="19">
        <v>0</v>
      </c>
      <c r="S15" s="18">
        <v>6508</v>
      </c>
      <c r="T15" s="18">
        <f t="shared" ref="T15:T18" si="41">S15-R15</f>
        <v>6508</v>
      </c>
      <c r="U15" s="23">
        <v>0</v>
      </c>
      <c r="V15" s="18">
        <f t="shared" ref="V15:V19" si="42">Q15-P15</f>
        <v>-260000</v>
      </c>
      <c r="W15" s="920" t="s">
        <v>27</v>
      </c>
      <c r="X15" s="17" t="s">
        <v>21</v>
      </c>
      <c r="Y15" s="18">
        <f t="shared" ref="Y15:Z15" si="43">C15-O15</f>
        <v>0</v>
      </c>
      <c r="Z15" s="18">
        <f t="shared" si="43"/>
        <v>0</v>
      </c>
      <c r="AA15" s="18">
        <f t="shared" ref="AA15:AC15" si="44">F15-Q15</f>
        <v>0</v>
      </c>
      <c r="AB15" s="18">
        <f t="shared" si="44"/>
        <v>0</v>
      </c>
      <c r="AC15" s="18">
        <f t="shared" si="44"/>
        <v>0</v>
      </c>
      <c r="AD15" s="18">
        <f t="shared" si="5"/>
        <v>0</v>
      </c>
      <c r="AE15" s="23" t="e">
        <f t="shared" si="6"/>
        <v>#DIV/0!</v>
      </c>
    </row>
    <row r="16" spans="1:31" ht="15.75">
      <c r="A16" s="917"/>
      <c r="B16" s="17" t="s">
        <v>28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  <c r="I16" s="20">
        <f t="shared" si="38"/>
        <v>0</v>
      </c>
      <c r="J16" s="21">
        <v>0</v>
      </c>
      <c r="K16" s="22">
        <f t="shared" si="39"/>
        <v>0</v>
      </c>
      <c r="L16" s="18">
        <f t="shared" si="40"/>
        <v>0</v>
      </c>
      <c r="M16" s="921"/>
      <c r="N16" s="17" t="s">
        <v>28</v>
      </c>
      <c r="O16" s="18">
        <v>0</v>
      </c>
      <c r="P16" s="18">
        <v>0</v>
      </c>
      <c r="Q16" s="18">
        <v>0</v>
      </c>
      <c r="R16" s="19">
        <v>0</v>
      </c>
      <c r="S16" s="18">
        <v>0</v>
      </c>
      <c r="T16" s="18">
        <f t="shared" si="41"/>
        <v>0</v>
      </c>
      <c r="U16" s="23">
        <v>0</v>
      </c>
      <c r="V16" s="18">
        <f t="shared" si="42"/>
        <v>0</v>
      </c>
      <c r="W16" s="921"/>
      <c r="X16" s="17" t="s">
        <v>28</v>
      </c>
      <c r="Y16" s="18">
        <f t="shared" ref="Y16:Z16" si="45">C16-O16</f>
        <v>0</v>
      </c>
      <c r="Z16" s="18">
        <f t="shared" si="45"/>
        <v>0</v>
      </c>
      <c r="AA16" s="18">
        <f t="shared" ref="AA16:AC16" si="46">F16-Q16</f>
        <v>0</v>
      </c>
      <c r="AB16" s="18">
        <f t="shared" si="46"/>
        <v>0</v>
      </c>
      <c r="AC16" s="18">
        <f t="shared" si="46"/>
        <v>0</v>
      </c>
      <c r="AD16" s="18">
        <f t="shared" si="5"/>
        <v>0</v>
      </c>
      <c r="AE16" s="23" t="e">
        <f t="shared" si="6"/>
        <v>#DIV/0!</v>
      </c>
    </row>
    <row r="17" spans="1:31" ht="15.75">
      <c r="A17" s="917"/>
      <c r="B17" s="17" t="s">
        <v>24</v>
      </c>
      <c r="C17" s="18"/>
      <c r="D17" s="18"/>
      <c r="E17" s="18"/>
      <c r="F17" s="18">
        <v>100000</v>
      </c>
      <c r="G17" s="19">
        <v>1630000</v>
      </c>
      <c r="H17" s="20">
        <v>1628658</v>
      </c>
      <c r="I17" s="20">
        <f t="shared" si="38"/>
        <v>-1342</v>
      </c>
      <c r="J17" s="21">
        <f t="shared" ref="J17:J19" si="47">H17/G17*100</f>
        <v>99.917668711656432</v>
      </c>
      <c r="K17" s="22">
        <f t="shared" si="39"/>
        <v>100000</v>
      </c>
      <c r="L17" s="18">
        <f t="shared" si="40"/>
        <v>100000</v>
      </c>
      <c r="M17" s="921"/>
      <c r="N17" s="17" t="s">
        <v>24</v>
      </c>
      <c r="O17" s="18">
        <v>0</v>
      </c>
      <c r="P17" s="18">
        <v>0</v>
      </c>
      <c r="Q17" s="18">
        <v>100000</v>
      </c>
      <c r="R17" s="19">
        <f>40000+1590000</f>
        <v>1630000</v>
      </c>
      <c r="S17" s="18">
        <f>38658+1590000</f>
        <v>1628658</v>
      </c>
      <c r="T17" s="18">
        <f t="shared" si="41"/>
        <v>-1342</v>
      </c>
      <c r="U17" s="23">
        <f t="shared" ref="U17:U19" si="48">S17/R17*100</f>
        <v>99.917668711656432</v>
      </c>
      <c r="V17" s="18">
        <f t="shared" si="42"/>
        <v>100000</v>
      </c>
      <c r="W17" s="921"/>
      <c r="X17" s="17" t="s">
        <v>24</v>
      </c>
      <c r="Y17" s="18">
        <f t="shared" ref="Y17:Z17" si="49">C17-O17</f>
        <v>0</v>
      </c>
      <c r="Z17" s="18">
        <f t="shared" si="49"/>
        <v>0</v>
      </c>
      <c r="AA17" s="18">
        <f t="shared" ref="AA17:AC17" si="50">F17-Q17</f>
        <v>0</v>
      </c>
      <c r="AB17" s="18">
        <f t="shared" si="50"/>
        <v>0</v>
      </c>
      <c r="AC17" s="18">
        <f t="shared" si="50"/>
        <v>0</v>
      </c>
      <c r="AD17" s="18">
        <f t="shared" si="5"/>
        <v>0</v>
      </c>
      <c r="AE17" s="23" t="e">
        <f t="shared" si="6"/>
        <v>#DIV/0!</v>
      </c>
    </row>
    <row r="18" spans="1:31" ht="15.75">
      <c r="A18" s="917"/>
      <c r="B18" s="17" t="s">
        <v>29</v>
      </c>
      <c r="C18" s="18">
        <v>15476090</v>
      </c>
      <c r="D18" s="18">
        <v>15476090</v>
      </c>
      <c r="E18" s="18">
        <v>16656627</v>
      </c>
      <c r="F18" s="18">
        <v>12600000</v>
      </c>
      <c r="G18" s="19">
        <v>15100000</v>
      </c>
      <c r="H18" s="20">
        <v>13320517</v>
      </c>
      <c r="I18" s="20">
        <f t="shared" si="38"/>
        <v>-1779483</v>
      </c>
      <c r="J18" s="21">
        <f t="shared" si="47"/>
        <v>88.215344370860933</v>
      </c>
      <c r="K18" s="22">
        <f t="shared" si="39"/>
        <v>-4056627</v>
      </c>
      <c r="L18" s="18">
        <f t="shared" si="40"/>
        <v>-2876090</v>
      </c>
      <c r="M18" s="921"/>
      <c r="N18" s="17" t="s">
        <v>29</v>
      </c>
      <c r="O18" s="18">
        <v>15476090</v>
      </c>
      <c r="P18" s="18">
        <v>15476090</v>
      </c>
      <c r="Q18" s="18">
        <f>12600000-10000</f>
        <v>12590000</v>
      </c>
      <c r="R18" s="19">
        <f>3956500+11133500</f>
        <v>15090000</v>
      </c>
      <c r="S18" s="18">
        <f>4064620+9247000</f>
        <v>13311620</v>
      </c>
      <c r="T18" s="18">
        <f t="shared" si="41"/>
        <v>-1778380</v>
      </c>
      <c r="U18" s="23">
        <f t="shared" si="48"/>
        <v>88.21484426772696</v>
      </c>
      <c r="V18" s="18">
        <f t="shared" si="42"/>
        <v>-2886090</v>
      </c>
      <c r="W18" s="921"/>
      <c r="X18" s="17" t="s">
        <v>29</v>
      </c>
      <c r="Y18" s="18">
        <f t="shared" ref="Y18:Z18" si="51">C18-O18</f>
        <v>0</v>
      </c>
      <c r="Z18" s="18">
        <f t="shared" si="51"/>
        <v>0</v>
      </c>
      <c r="AA18" s="18">
        <f t="shared" ref="AA18:AC18" si="52">F18-Q18</f>
        <v>10000</v>
      </c>
      <c r="AB18" s="18">
        <f t="shared" si="52"/>
        <v>10000</v>
      </c>
      <c r="AC18" s="18">
        <f t="shared" si="52"/>
        <v>8897</v>
      </c>
      <c r="AD18" s="18">
        <f t="shared" si="5"/>
        <v>-1103</v>
      </c>
      <c r="AE18" s="23">
        <f t="shared" si="6"/>
        <v>88.97</v>
      </c>
    </row>
    <row r="19" spans="1:31" ht="15.75">
      <c r="A19" s="918"/>
      <c r="B19" s="25" t="s">
        <v>25</v>
      </c>
      <c r="C19" s="26">
        <f t="shared" ref="C19:I19" si="53">SUM(C15:C18)</f>
        <v>15746090</v>
      </c>
      <c r="D19" s="26">
        <f t="shared" si="53"/>
        <v>15746090</v>
      </c>
      <c r="E19" s="26">
        <f t="shared" si="53"/>
        <v>17056399</v>
      </c>
      <c r="F19" s="26">
        <f t="shared" si="53"/>
        <v>12710000</v>
      </c>
      <c r="G19" s="27">
        <f t="shared" si="53"/>
        <v>16730000</v>
      </c>
      <c r="H19" s="28">
        <f t="shared" si="53"/>
        <v>14955683</v>
      </c>
      <c r="I19" s="28">
        <f t="shared" si="53"/>
        <v>-1774317</v>
      </c>
      <c r="J19" s="23">
        <f t="shared" si="47"/>
        <v>89.394399282725644</v>
      </c>
      <c r="K19" s="29">
        <f t="shared" si="39"/>
        <v>-4346399</v>
      </c>
      <c r="L19" s="26">
        <f t="shared" si="40"/>
        <v>-3036090</v>
      </c>
      <c r="M19" s="922"/>
      <c r="N19" s="25" t="s">
        <v>25</v>
      </c>
      <c r="O19" s="26">
        <f t="shared" ref="O19:T19" si="54">SUM(O15:O18)</f>
        <v>15746090</v>
      </c>
      <c r="P19" s="26">
        <f t="shared" si="54"/>
        <v>15746090</v>
      </c>
      <c r="Q19" s="26">
        <f t="shared" si="54"/>
        <v>12700000</v>
      </c>
      <c r="R19" s="27">
        <f t="shared" si="54"/>
        <v>16720000</v>
      </c>
      <c r="S19" s="26">
        <f t="shared" si="54"/>
        <v>14946786</v>
      </c>
      <c r="T19" s="26">
        <f t="shared" si="54"/>
        <v>-1773214</v>
      </c>
      <c r="U19" s="23">
        <f t="shared" si="48"/>
        <v>89.394653110047855</v>
      </c>
      <c r="V19" s="26">
        <f t="shared" si="42"/>
        <v>-3046090</v>
      </c>
      <c r="W19" s="922"/>
      <c r="X19" s="25" t="s">
        <v>25</v>
      </c>
      <c r="Y19" s="26">
        <f t="shared" ref="Y19:AA19" si="55">SUM(Y15:Y18)</f>
        <v>0</v>
      </c>
      <c r="Z19" s="26">
        <f t="shared" si="55"/>
        <v>0</v>
      </c>
      <c r="AA19" s="26">
        <f t="shared" si="55"/>
        <v>10000</v>
      </c>
      <c r="AB19" s="18">
        <f t="shared" ref="AB19:AC19" si="56">G19-R19</f>
        <v>10000</v>
      </c>
      <c r="AC19" s="18">
        <f t="shared" si="56"/>
        <v>8897</v>
      </c>
      <c r="AD19" s="18">
        <f t="shared" si="5"/>
        <v>-1103</v>
      </c>
      <c r="AE19" s="23">
        <f t="shared" si="6"/>
        <v>88.97</v>
      </c>
    </row>
    <row r="20" spans="1:31" ht="15.75">
      <c r="A20" s="30"/>
      <c r="B20" s="31"/>
      <c r="C20" s="32"/>
      <c r="D20" s="32"/>
      <c r="E20" s="32"/>
      <c r="F20" s="32"/>
      <c r="G20" s="32"/>
      <c r="H20" s="34"/>
      <c r="I20" s="34"/>
      <c r="J20" s="35"/>
      <c r="K20" s="36"/>
      <c r="L20" s="32"/>
      <c r="M20" s="37"/>
      <c r="N20" s="31"/>
      <c r="O20" s="32"/>
      <c r="P20" s="32"/>
      <c r="Q20" s="32"/>
      <c r="R20" s="32"/>
      <c r="S20" s="32"/>
      <c r="T20" s="32"/>
      <c r="U20" s="38"/>
      <c r="V20" s="32"/>
      <c r="W20" s="37"/>
      <c r="X20" s="31"/>
      <c r="Y20" s="32"/>
      <c r="Z20" s="32"/>
      <c r="AA20" s="32"/>
      <c r="AB20" s="18">
        <f t="shared" ref="AB20:AC20" si="57">G20-R20</f>
        <v>0</v>
      </c>
      <c r="AC20" s="18">
        <f t="shared" si="57"/>
        <v>0</v>
      </c>
      <c r="AD20" s="18">
        <f t="shared" si="5"/>
        <v>0</v>
      </c>
      <c r="AE20" s="23" t="e">
        <f t="shared" si="6"/>
        <v>#DIV/0!</v>
      </c>
    </row>
    <row r="21" spans="1:31" ht="15.75">
      <c r="A21" s="916" t="s">
        <v>30</v>
      </c>
      <c r="B21" s="17" t="s">
        <v>21</v>
      </c>
      <c r="C21" s="18">
        <v>346236</v>
      </c>
      <c r="D21" s="18">
        <v>346236</v>
      </c>
      <c r="E21" s="18">
        <v>780785</v>
      </c>
      <c r="F21" s="18">
        <v>0</v>
      </c>
      <c r="G21" s="19">
        <v>0</v>
      </c>
      <c r="H21" s="20">
        <v>18957</v>
      </c>
      <c r="I21" s="20">
        <f t="shared" ref="I21:I28" si="58">H21-G21</f>
        <v>18957</v>
      </c>
      <c r="J21" s="21">
        <v>0</v>
      </c>
      <c r="K21" s="22">
        <f t="shared" ref="K21:K29" si="59">F21-E21</f>
        <v>-780785</v>
      </c>
      <c r="L21" s="18">
        <f t="shared" ref="L21:L29" si="60">F21-D21</f>
        <v>-346236</v>
      </c>
      <c r="M21" s="920" t="s">
        <v>30</v>
      </c>
      <c r="N21" s="17" t="s">
        <v>21</v>
      </c>
      <c r="O21" s="18">
        <v>346236</v>
      </c>
      <c r="P21" s="18">
        <v>346236</v>
      </c>
      <c r="Q21" s="18">
        <v>0</v>
      </c>
      <c r="R21" s="19">
        <v>0</v>
      </c>
      <c r="S21" s="18">
        <v>18957</v>
      </c>
      <c r="T21" s="18">
        <f t="shared" ref="T21:T28" si="61">S21-R21</f>
        <v>18957</v>
      </c>
      <c r="U21" s="23">
        <v>0</v>
      </c>
      <c r="V21" s="18">
        <f t="shared" ref="V21:V29" si="62">Q21-P21</f>
        <v>-346236</v>
      </c>
      <c r="W21" s="920" t="s">
        <v>30</v>
      </c>
      <c r="X21" s="17" t="s">
        <v>21</v>
      </c>
      <c r="Y21" s="18">
        <f t="shared" ref="Y21:Z21" si="63">C21-O21</f>
        <v>0</v>
      </c>
      <c r="Z21" s="18">
        <f t="shared" si="63"/>
        <v>0</v>
      </c>
      <c r="AA21" s="18">
        <f t="shared" ref="AA21:AC21" si="64">F21-Q21</f>
        <v>0</v>
      </c>
      <c r="AB21" s="18">
        <f t="shared" si="64"/>
        <v>0</v>
      </c>
      <c r="AC21" s="18">
        <f t="shared" si="64"/>
        <v>0</v>
      </c>
      <c r="AD21" s="18">
        <f t="shared" si="5"/>
        <v>0</v>
      </c>
      <c r="AE21" s="23" t="e">
        <f t="shared" si="6"/>
        <v>#DIV/0!</v>
      </c>
    </row>
    <row r="22" spans="1:31" ht="15.75">
      <c r="A22" s="917"/>
      <c r="B22" s="17" t="s">
        <v>28</v>
      </c>
      <c r="C22" s="18">
        <v>29001</v>
      </c>
      <c r="D22" s="18">
        <v>14501</v>
      </c>
      <c r="E22" s="18">
        <v>4305</v>
      </c>
      <c r="F22" s="18">
        <v>4305</v>
      </c>
      <c r="G22" s="19">
        <v>3295</v>
      </c>
      <c r="H22" s="20">
        <v>0</v>
      </c>
      <c r="I22" s="20">
        <f t="shared" si="58"/>
        <v>-3295</v>
      </c>
      <c r="J22" s="21">
        <f t="shared" ref="J22:J23" si="65">H22/G22*100</f>
        <v>0</v>
      </c>
      <c r="K22" s="22">
        <f t="shared" si="59"/>
        <v>0</v>
      </c>
      <c r="L22" s="18">
        <f t="shared" si="60"/>
        <v>-10196</v>
      </c>
      <c r="M22" s="921"/>
      <c r="N22" s="17" t="s">
        <v>28</v>
      </c>
      <c r="O22" s="18">
        <v>29001</v>
      </c>
      <c r="P22" s="18">
        <v>14501</v>
      </c>
      <c r="Q22" s="18">
        <v>0</v>
      </c>
      <c r="R22" s="19">
        <v>0</v>
      </c>
      <c r="S22" s="18">
        <v>0</v>
      </c>
      <c r="T22" s="18">
        <f t="shared" si="61"/>
        <v>0</v>
      </c>
      <c r="U22" s="23" t="e">
        <f t="shared" ref="U22:U23" si="66">S22/R22*100</f>
        <v>#DIV/0!</v>
      </c>
      <c r="V22" s="18">
        <f t="shared" si="62"/>
        <v>-14501</v>
      </c>
      <c r="W22" s="921"/>
      <c r="X22" s="17" t="s">
        <v>28</v>
      </c>
      <c r="Y22" s="18">
        <f t="shared" ref="Y22:Z22" si="67">C22-O22</f>
        <v>0</v>
      </c>
      <c r="Z22" s="18">
        <f t="shared" si="67"/>
        <v>0</v>
      </c>
      <c r="AA22" s="18">
        <f t="shared" ref="AA22:AC22" si="68">F22-Q22</f>
        <v>4305</v>
      </c>
      <c r="AB22" s="18">
        <f t="shared" si="68"/>
        <v>3295</v>
      </c>
      <c r="AC22" s="18">
        <f t="shared" si="68"/>
        <v>0</v>
      </c>
      <c r="AD22" s="18">
        <f t="shared" si="5"/>
        <v>-3295</v>
      </c>
      <c r="AE22" s="23">
        <f t="shared" si="6"/>
        <v>0</v>
      </c>
    </row>
    <row r="23" spans="1:31" ht="15.75">
      <c r="A23" s="917"/>
      <c r="B23" s="17" t="s">
        <v>31</v>
      </c>
      <c r="C23" s="18">
        <v>165195</v>
      </c>
      <c r="D23" s="18">
        <v>82598</v>
      </c>
      <c r="E23" s="18">
        <v>244413</v>
      </c>
      <c r="F23" s="18">
        <v>80000</v>
      </c>
      <c r="G23" s="19">
        <v>74900</v>
      </c>
      <c r="H23" s="20">
        <v>54619</v>
      </c>
      <c r="I23" s="20">
        <f t="shared" si="58"/>
        <v>-20281</v>
      </c>
      <c r="J23" s="21">
        <f t="shared" si="65"/>
        <v>72.922563417890515</v>
      </c>
      <c r="K23" s="22">
        <f t="shared" si="59"/>
        <v>-164413</v>
      </c>
      <c r="L23" s="18">
        <f t="shared" si="60"/>
        <v>-2598</v>
      </c>
      <c r="M23" s="921"/>
      <c r="N23" s="17" t="s">
        <v>31</v>
      </c>
      <c r="O23" s="18">
        <v>165195</v>
      </c>
      <c r="P23" s="18">
        <v>82598</v>
      </c>
      <c r="Q23" s="18">
        <f>22500+9000</f>
        <v>31500</v>
      </c>
      <c r="R23" s="19">
        <v>25388</v>
      </c>
      <c r="S23" s="18">
        <v>27522</v>
      </c>
      <c r="T23" s="18">
        <f t="shared" si="61"/>
        <v>2134</v>
      </c>
      <c r="U23" s="23">
        <f t="shared" si="66"/>
        <v>108.4055459272097</v>
      </c>
      <c r="V23" s="18">
        <f t="shared" si="62"/>
        <v>-51098</v>
      </c>
      <c r="W23" s="921"/>
      <c r="X23" s="17" t="s">
        <v>31</v>
      </c>
      <c r="Y23" s="18">
        <f t="shared" ref="Y23:Z23" si="69">C23-O23</f>
        <v>0</v>
      </c>
      <c r="Z23" s="18">
        <f t="shared" si="69"/>
        <v>0</v>
      </c>
      <c r="AA23" s="18">
        <f t="shared" ref="AA23:AC23" si="70">F23-Q23</f>
        <v>48500</v>
      </c>
      <c r="AB23" s="18">
        <f t="shared" si="70"/>
        <v>49512</v>
      </c>
      <c r="AC23" s="18">
        <f t="shared" si="70"/>
        <v>27097</v>
      </c>
      <c r="AD23" s="18">
        <f t="shared" si="5"/>
        <v>-22415</v>
      </c>
      <c r="AE23" s="23">
        <f t="shared" si="6"/>
        <v>54.728146711908224</v>
      </c>
    </row>
    <row r="24" spans="1:31" ht="15.75">
      <c r="A24" s="917"/>
      <c r="B24" s="39" t="s">
        <v>32</v>
      </c>
      <c r="C24" s="18">
        <v>483405</v>
      </c>
      <c r="D24" s="18">
        <v>362554</v>
      </c>
      <c r="E24" s="18">
        <v>465023</v>
      </c>
      <c r="F24" s="18">
        <v>0</v>
      </c>
      <c r="G24" s="19">
        <v>0</v>
      </c>
      <c r="H24" s="20">
        <v>0</v>
      </c>
      <c r="I24" s="20">
        <f t="shared" si="58"/>
        <v>0</v>
      </c>
      <c r="J24" s="21">
        <v>0</v>
      </c>
      <c r="K24" s="22">
        <f t="shared" si="59"/>
        <v>-465023</v>
      </c>
      <c r="L24" s="18">
        <f t="shared" si="60"/>
        <v>-362554</v>
      </c>
      <c r="M24" s="921"/>
      <c r="N24" s="39" t="s">
        <v>32</v>
      </c>
      <c r="O24" s="18">
        <v>483405</v>
      </c>
      <c r="P24" s="18">
        <v>362554</v>
      </c>
      <c r="Q24" s="18">
        <v>0</v>
      </c>
      <c r="R24" s="19">
        <v>0</v>
      </c>
      <c r="S24" s="18">
        <v>0</v>
      </c>
      <c r="T24" s="18">
        <f t="shared" si="61"/>
        <v>0</v>
      </c>
      <c r="U24" s="23">
        <v>0</v>
      </c>
      <c r="V24" s="18">
        <f t="shared" si="62"/>
        <v>-362554</v>
      </c>
      <c r="W24" s="921"/>
      <c r="X24" s="39" t="s">
        <v>32</v>
      </c>
      <c r="Y24" s="18">
        <f t="shared" ref="Y24:Z24" si="71">C24-O24</f>
        <v>0</v>
      </c>
      <c r="Z24" s="18">
        <f t="shared" si="71"/>
        <v>0</v>
      </c>
      <c r="AA24" s="18">
        <f t="shared" ref="AA24:AC24" si="72">F24-Q24</f>
        <v>0</v>
      </c>
      <c r="AB24" s="18">
        <f t="shared" si="72"/>
        <v>0</v>
      </c>
      <c r="AC24" s="18">
        <f t="shared" si="72"/>
        <v>0</v>
      </c>
      <c r="AD24" s="18">
        <f t="shared" si="5"/>
        <v>0</v>
      </c>
      <c r="AE24" s="23" t="e">
        <f t="shared" si="6"/>
        <v>#DIV/0!</v>
      </c>
    </row>
    <row r="25" spans="1:31" ht="15.75">
      <c r="A25" s="917"/>
      <c r="B25" s="39" t="s">
        <v>33</v>
      </c>
      <c r="C25" s="18">
        <v>0</v>
      </c>
      <c r="D25" s="18">
        <v>0</v>
      </c>
      <c r="E25" s="18">
        <v>0</v>
      </c>
      <c r="F25" s="18">
        <v>0</v>
      </c>
      <c r="G25" s="19">
        <v>0</v>
      </c>
      <c r="H25" s="20">
        <v>0</v>
      </c>
      <c r="I25" s="20">
        <f t="shared" si="58"/>
        <v>0</v>
      </c>
      <c r="J25" s="21">
        <v>0</v>
      </c>
      <c r="K25" s="22">
        <f t="shared" si="59"/>
        <v>0</v>
      </c>
      <c r="L25" s="18">
        <f t="shared" si="60"/>
        <v>0</v>
      </c>
      <c r="M25" s="921"/>
      <c r="N25" s="39" t="s">
        <v>33</v>
      </c>
      <c r="O25" s="18">
        <v>0</v>
      </c>
      <c r="P25" s="18">
        <v>0</v>
      </c>
      <c r="Q25" s="18">
        <v>0</v>
      </c>
      <c r="R25" s="19">
        <v>0</v>
      </c>
      <c r="S25" s="18">
        <v>0</v>
      </c>
      <c r="T25" s="18">
        <f t="shared" si="61"/>
        <v>0</v>
      </c>
      <c r="U25" s="23">
        <v>0</v>
      </c>
      <c r="V25" s="18">
        <f t="shared" si="62"/>
        <v>0</v>
      </c>
      <c r="W25" s="921"/>
      <c r="X25" s="39" t="s">
        <v>33</v>
      </c>
      <c r="Y25" s="18">
        <f t="shared" ref="Y25:Z25" si="73">C25-O25</f>
        <v>0</v>
      </c>
      <c r="Z25" s="18">
        <f t="shared" si="73"/>
        <v>0</v>
      </c>
      <c r="AA25" s="18">
        <f t="shared" ref="AA25:AC25" si="74">F25-Q25</f>
        <v>0</v>
      </c>
      <c r="AB25" s="18">
        <f t="shared" si="74"/>
        <v>0</v>
      </c>
      <c r="AC25" s="18">
        <f t="shared" si="74"/>
        <v>0</v>
      </c>
      <c r="AD25" s="18">
        <f t="shared" si="5"/>
        <v>0</v>
      </c>
      <c r="AE25" s="23" t="e">
        <f t="shared" si="6"/>
        <v>#DIV/0!</v>
      </c>
    </row>
    <row r="26" spans="1:31" ht="15.75">
      <c r="A26" s="917"/>
      <c r="B26" s="17" t="s">
        <v>24</v>
      </c>
      <c r="C26" s="18">
        <v>0</v>
      </c>
      <c r="D26" s="18"/>
      <c r="E26" s="18"/>
      <c r="F26" s="18">
        <v>809600</v>
      </c>
      <c r="G26" s="19">
        <v>680000</v>
      </c>
      <c r="H26" s="20">
        <v>675048</v>
      </c>
      <c r="I26" s="20">
        <f t="shared" si="58"/>
        <v>-4952</v>
      </c>
      <c r="J26" s="21">
        <f t="shared" ref="J26:J27" si="75">H26/G26*100</f>
        <v>99.271764705882347</v>
      </c>
      <c r="K26" s="22">
        <f t="shared" si="59"/>
        <v>809600</v>
      </c>
      <c r="L26" s="18">
        <f t="shared" si="60"/>
        <v>809600</v>
      </c>
      <c r="M26" s="921"/>
      <c r="N26" s="17" t="s">
        <v>24</v>
      </c>
      <c r="O26" s="18">
        <v>0</v>
      </c>
      <c r="P26" s="18">
        <v>0</v>
      </c>
      <c r="Q26" s="18">
        <f>400000+199600</f>
        <v>599600</v>
      </c>
      <c r="R26" s="19">
        <f>310412+10000</f>
        <v>320412</v>
      </c>
      <c r="S26" s="18">
        <v>326620</v>
      </c>
      <c r="T26" s="18">
        <f t="shared" si="61"/>
        <v>6208</v>
      </c>
      <c r="U26" s="23">
        <f t="shared" ref="U26:U27" si="76">S26/R26*100</f>
        <v>101.93750546171805</v>
      </c>
      <c r="V26" s="18">
        <f t="shared" si="62"/>
        <v>599600</v>
      </c>
      <c r="W26" s="921"/>
      <c r="X26" s="17" t="s">
        <v>24</v>
      </c>
      <c r="Y26" s="18">
        <f t="shared" ref="Y26:Z26" si="77">C26-O26</f>
        <v>0</v>
      </c>
      <c r="Z26" s="18">
        <f t="shared" si="77"/>
        <v>0</v>
      </c>
      <c r="AA26" s="18">
        <f t="shared" ref="AA26:AC26" si="78">F26-Q26</f>
        <v>210000</v>
      </c>
      <c r="AB26" s="18">
        <f t="shared" si="78"/>
        <v>359588</v>
      </c>
      <c r="AC26" s="18">
        <f t="shared" si="78"/>
        <v>348428</v>
      </c>
      <c r="AD26" s="18">
        <f t="shared" si="5"/>
        <v>-11160</v>
      </c>
      <c r="AE26" s="23">
        <f t="shared" si="6"/>
        <v>96.896448157335612</v>
      </c>
    </row>
    <row r="27" spans="1:31" ht="15.75">
      <c r="A27" s="917"/>
      <c r="B27" s="17" t="s">
        <v>29</v>
      </c>
      <c r="C27" s="18">
        <v>500000</v>
      </c>
      <c r="D27" s="18">
        <v>500000</v>
      </c>
      <c r="E27" s="18">
        <v>426076</v>
      </c>
      <c r="F27" s="18">
        <v>480000</v>
      </c>
      <c r="G27" s="19">
        <v>85901</v>
      </c>
      <c r="H27" s="20">
        <v>92759</v>
      </c>
      <c r="I27" s="20">
        <f t="shared" si="58"/>
        <v>6858</v>
      </c>
      <c r="J27" s="21">
        <f t="shared" si="75"/>
        <v>107.98360903831154</v>
      </c>
      <c r="K27" s="22">
        <f t="shared" si="59"/>
        <v>53924</v>
      </c>
      <c r="L27" s="18">
        <f t="shared" si="60"/>
        <v>-20000</v>
      </c>
      <c r="M27" s="921"/>
      <c r="N27" s="17" t="s">
        <v>29</v>
      </c>
      <c r="O27" s="18">
        <v>500000</v>
      </c>
      <c r="P27" s="18">
        <v>500000</v>
      </c>
      <c r="Q27" s="18">
        <v>0</v>
      </c>
      <c r="R27" s="19">
        <v>0</v>
      </c>
      <c r="S27" s="18">
        <v>0</v>
      </c>
      <c r="T27" s="18">
        <f t="shared" si="61"/>
        <v>0</v>
      </c>
      <c r="U27" s="23" t="e">
        <f t="shared" si="76"/>
        <v>#DIV/0!</v>
      </c>
      <c r="V27" s="18">
        <f t="shared" si="62"/>
        <v>-500000</v>
      </c>
      <c r="W27" s="921"/>
      <c r="X27" s="17" t="s">
        <v>29</v>
      </c>
      <c r="Y27" s="18">
        <f t="shared" ref="Y27:Z27" si="79">C27-O27</f>
        <v>0</v>
      </c>
      <c r="Z27" s="18">
        <f t="shared" si="79"/>
        <v>0</v>
      </c>
      <c r="AA27" s="18">
        <f t="shared" ref="AA27:AC27" si="80">F27-Q27</f>
        <v>480000</v>
      </c>
      <c r="AB27" s="18">
        <f t="shared" si="80"/>
        <v>85901</v>
      </c>
      <c r="AC27" s="18">
        <f t="shared" si="80"/>
        <v>92759</v>
      </c>
      <c r="AD27" s="18">
        <f t="shared" si="5"/>
        <v>6858</v>
      </c>
      <c r="AE27" s="23">
        <f t="shared" si="6"/>
        <v>107.98360903831154</v>
      </c>
    </row>
    <row r="28" spans="1:31" ht="15.75">
      <c r="A28" s="917"/>
      <c r="B28" s="17" t="s">
        <v>23</v>
      </c>
      <c r="C28" s="18">
        <v>0</v>
      </c>
      <c r="D28" s="18">
        <v>0</v>
      </c>
      <c r="E28" s="18">
        <v>0</v>
      </c>
      <c r="F28" s="18">
        <v>0</v>
      </c>
      <c r="G28" s="19">
        <v>0</v>
      </c>
      <c r="H28" s="20">
        <v>0</v>
      </c>
      <c r="I28" s="20">
        <f t="shared" si="58"/>
        <v>0</v>
      </c>
      <c r="J28" s="21">
        <v>0</v>
      </c>
      <c r="K28" s="22">
        <f t="shared" si="59"/>
        <v>0</v>
      </c>
      <c r="L28" s="18">
        <f t="shared" si="60"/>
        <v>0</v>
      </c>
      <c r="M28" s="921"/>
      <c r="N28" s="17" t="s">
        <v>23</v>
      </c>
      <c r="O28" s="18">
        <v>0</v>
      </c>
      <c r="P28" s="18">
        <v>0</v>
      </c>
      <c r="Q28" s="18">
        <v>0</v>
      </c>
      <c r="R28" s="19">
        <v>0</v>
      </c>
      <c r="S28" s="18">
        <v>0</v>
      </c>
      <c r="T28" s="18">
        <f t="shared" si="61"/>
        <v>0</v>
      </c>
      <c r="U28" s="23">
        <v>0</v>
      </c>
      <c r="V28" s="18">
        <f t="shared" si="62"/>
        <v>0</v>
      </c>
      <c r="W28" s="921"/>
      <c r="X28" s="17" t="s">
        <v>23</v>
      </c>
      <c r="Y28" s="18">
        <f t="shared" ref="Y28:Z28" si="81">C28-O28</f>
        <v>0</v>
      </c>
      <c r="Z28" s="18">
        <f t="shared" si="81"/>
        <v>0</v>
      </c>
      <c r="AA28" s="18">
        <f t="shared" ref="AA28:AC28" si="82">F28-Q28</f>
        <v>0</v>
      </c>
      <c r="AB28" s="18">
        <f t="shared" si="82"/>
        <v>0</v>
      </c>
      <c r="AC28" s="18">
        <f t="shared" si="82"/>
        <v>0</v>
      </c>
      <c r="AD28" s="18">
        <f t="shared" si="5"/>
        <v>0</v>
      </c>
      <c r="AE28" s="23" t="e">
        <f t="shared" si="6"/>
        <v>#DIV/0!</v>
      </c>
    </row>
    <row r="29" spans="1:31" ht="15.75">
      <c r="A29" s="918"/>
      <c r="B29" s="25" t="s">
        <v>25</v>
      </c>
      <c r="C29" s="26">
        <f t="shared" ref="C29:I29" si="83">SUM(C21:C28)</f>
        <v>1523837</v>
      </c>
      <c r="D29" s="26">
        <f t="shared" si="83"/>
        <v>1305889</v>
      </c>
      <c r="E29" s="26">
        <f t="shared" si="83"/>
        <v>1920602</v>
      </c>
      <c r="F29" s="26">
        <f t="shared" si="83"/>
        <v>1373905</v>
      </c>
      <c r="G29" s="27">
        <f t="shared" si="83"/>
        <v>844096</v>
      </c>
      <c r="H29" s="28">
        <f t="shared" si="83"/>
        <v>841383</v>
      </c>
      <c r="I29" s="28">
        <f t="shared" si="83"/>
        <v>-2713</v>
      </c>
      <c r="J29" s="23">
        <f>H29/G29*100</f>
        <v>99.67859106073243</v>
      </c>
      <c r="K29" s="29">
        <f t="shared" si="59"/>
        <v>-546697</v>
      </c>
      <c r="L29" s="26">
        <f t="shared" si="60"/>
        <v>68016</v>
      </c>
      <c r="M29" s="922"/>
      <c r="N29" s="25" t="s">
        <v>25</v>
      </c>
      <c r="O29" s="26">
        <f t="shared" ref="O29:T29" si="84">SUM(O21:O28)</f>
        <v>1523837</v>
      </c>
      <c r="P29" s="26">
        <f t="shared" si="84"/>
        <v>1305889</v>
      </c>
      <c r="Q29" s="26">
        <f t="shared" si="84"/>
        <v>631100</v>
      </c>
      <c r="R29" s="27">
        <f t="shared" si="84"/>
        <v>345800</v>
      </c>
      <c r="S29" s="26">
        <f t="shared" si="84"/>
        <v>373099</v>
      </c>
      <c r="T29" s="26">
        <f t="shared" si="84"/>
        <v>27299</v>
      </c>
      <c r="U29" s="23">
        <f>S29/R29*100</f>
        <v>107.89444765760557</v>
      </c>
      <c r="V29" s="26">
        <f t="shared" si="62"/>
        <v>-674789</v>
      </c>
      <c r="W29" s="922"/>
      <c r="X29" s="25" t="s">
        <v>25</v>
      </c>
      <c r="Y29" s="26">
        <f t="shared" ref="Y29:AA29" si="85">SUM(Y21:Y28)</f>
        <v>0</v>
      </c>
      <c r="Z29" s="26">
        <f t="shared" si="85"/>
        <v>0</v>
      </c>
      <c r="AA29" s="26">
        <f t="shared" si="85"/>
        <v>742805</v>
      </c>
      <c r="AB29" s="18">
        <f t="shared" ref="AB29:AC29" si="86">G29-R29</f>
        <v>498296</v>
      </c>
      <c r="AC29" s="18">
        <f t="shared" si="86"/>
        <v>468284</v>
      </c>
      <c r="AD29" s="18">
        <f t="shared" si="5"/>
        <v>-30012</v>
      </c>
      <c r="AE29" s="23">
        <f t="shared" si="6"/>
        <v>93.977073867741268</v>
      </c>
    </row>
    <row r="30" spans="1:31" ht="15.75">
      <c r="A30" s="30"/>
      <c r="B30" s="31"/>
      <c r="C30" s="32"/>
      <c r="D30" s="32"/>
      <c r="E30" s="32"/>
      <c r="F30" s="32"/>
      <c r="G30" s="32"/>
      <c r="H30" s="34"/>
      <c r="I30" s="34"/>
      <c r="J30" s="35"/>
      <c r="K30" s="36"/>
      <c r="L30" s="32"/>
      <c r="M30" s="37"/>
      <c r="N30" s="31"/>
      <c r="O30" s="32"/>
      <c r="P30" s="32"/>
      <c r="Q30" s="32"/>
      <c r="R30" s="32"/>
      <c r="S30" s="32"/>
      <c r="T30" s="32"/>
      <c r="U30" s="38"/>
      <c r="V30" s="32"/>
      <c r="W30" s="37"/>
      <c r="X30" s="31"/>
      <c r="Y30" s="32"/>
      <c r="Z30" s="32"/>
      <c r="AA30" s="32"/>
      <c r="AB30" s="18">
        <f t="shared" ref="AB30:AC30" si="87">G30-R30</f>
        <v>0</v>
      </c>
      <c r="AC30" s="18">
        <f t="shared" si="87"/>
        <v>0</v>
      </c>
      <c r="AD30" s="18">
        <f t="shared" si="5"/>
        <v>0</v>
      </c>
      <c r="AE30" s="23" t="e">
        <f t="shared" si="6"/>
        <v>#DIV/0!</v>
      </c>
    </row>
    <row r="31" spans="1:31" ht="15.75">
      <c r="A31" s="919" t="s">
        <v>34</v>
      </c>
      <c r="B31" s="17" t="s">
        <v>21</v>
      </c>
      <c r="C31" s="18">
        <v>5000</v>
      </c>
      <c r="D31" s="18">
        <v>5000</v>
      </c>
      <c r="E31" s="18">
        <v>4095</v>
      </c>
      <c r="F31" s="18">
        <v>0</v>
      </c>
      <c r="G31" s="19">
        <v>0</v>
      </c>
      <c r="H31" s="20">
        <v>0</v>
      </c>
      <c r="I31" s="20">
        <f t="shared" ref="I31:I34" si="88">H31-G31</f>
        <v>0</v>
      </c>
      <c r="J31" s="21">
        <v>0</v>
      </c>
      <c r="K31" s="22">
        <f t="shared" ref="K31:K35" si="89">F31-E31</f>
        <v>-4095</v>
      </c>
      <c r="L31" s="18">
        <f t="shared" ref="L31:L35" si="90">F31-D31</f>
        <v>-5000</v>
      </c>
      <c r="M31" s="920" t="s">
        <v>34</v>
      </c>
      <c r="N31" s="17" t="s">
        <v>21</v>
      </c>
      <c r="O31" s="18">
        <v>5000</v>
      </c>
      <c r="P31" s="18">
        <v>5000</v>
      </c>
      <c r="Q31" s="18">
        <v>0</v>
      </c>
      <c r="R31" s="19">
        <v>0</v>
      </c>
      <c r="S31" s="18">
        <v>0</v>
      </c>
      <c r="T31" s="18">
        <f t="shared" ref="T31:T34" si="91">S31-R31</f>
        <v>0</v>
      </c>
      <c r="U31" s="23">
        <v>0</v>
      </c>
      <c r="V31" s="18">
        <f t="shared" ref="V31:V35" si="92">Q31-P31</f>
        <v>-5000</v>
      </c>
      <c r="W31" s="947" t="s">
        <v>34</v>
      </c>
      <c r="X31" s="17" t="s">
        <v>21</v>
      </c>
      <c r="Y31" s="18">
        <f t="shared" ref="Y31:Z31" si="93">C31-O31</f>
        <v>0</v>
      </c>
      <c r="Z31" s="18">
        <f t="shared" si="93"/>
        <v>0</v>
      </c>
      <c r="AA31" s="18">
        <f t="shared" ref="AA31:AC31" si="94">F31-Q31</f>
        <v>0</v>
      </c>
      <c r="AB31" s="18">
        <f t="shared" si="94"/>
        <v>0</v>
      </c>
      <c r="AC31" s="18">
        <f t="shared" si="94"/>
        <v>0</v>
      </c>
      <c r="AD31" s="18">
        <f t="shared" si="5"/>
        <v>0</v>
      </c>
      <c r="AE31" s="23" t="e">
        <f t="shared" si="6"/>
        <v>#DIV/0!</v>
      </c>
    </row>
    <row r="32" spans="1:31" ht="15.75">
      <c r="A32" s="917"/>
      <c r="B32" s="17" t="s">
        <v>28</v>
      </c>
      <c r="C32" s="18">
        <v>15000</v>
      </c>
      <c r="D32" s="18">
        <v>7500</v>
      </c>
      <c r="E32" s="18">
        <v>32672</v>
      </c>
      <c r="F32" s="18">
        <v>15000</v>
      </c>
      <c r="G32" s="19">
        <v>16170</v>
      </c>
      <c r="H32" s="20">
        <v>4765</v>
      </c>
      <c r="I32" s="20">
        <f t="shared" si="88"/>
        <v>-11405</v>
      </c>
      <c r="J32" s="21">
        <f t="shared" ref="J32:J35" si="95">H32/G32*100</f>
        <v>29.468150896722321</v>
      </c>
      <c r="K32" s="22">
        <f t="shared" si="89"/>
        <v>-17672</v>
      </c>
      <c r="L32" s="18">
        <f t="shared" si="90"/>
        <v>7500</v>
      </c>
      <c r="M32" s="921"/>
      <c r="N32" s="17" t="s">
        <v>28</v>
      </c>
      <c r="O32" s="18">
        <v>15000</v>
      </c>
      <c r="P32" s="18">
        <v>7500</v>
      </c>
      <c r="Q32" s="18">
        <v>0</v>
      </c>
      <c r="R32" s="19">
        <v>0</v>
      </c>
      <c r="S32" s="18">
        <v>0</v>
      </c>
      <c r="T32" s="18">
        <f t="shared" si="91"/>
        <v>0</v>
      </c>
      <c r="U32" s="23" t="e">
        <f t="shared" ref="U32:U35" si="96">S32/R32*100</f>
        <v>#DIV/0!</v>
      </c>
      <c r="V32" s="18">
        <f t="shared" si="92"/>
        <v>-7500</v>
      </c>
      <c r="W32" s="921"/>
      <c r="X32" s="17" t="s">
        <v>28</v>
      </c>
      <c r="Y32" s="18">
        <f t="shared" ref="Y32:Z32" si="97">C32-O32</f>
        <v>0</v>
      </c>
      <c r="Z32" s="18">
        <f t="shared" si="97"/>
        <v>0</v>
      </c>
      <c r="AA32" s="18">
        <f t="shared" ref="AA32:AC32" si="98">F32-Q32</f>
        <v>15000</v>
      </c>
      <c r="AB32" s="18">
        <f t="shared" si="98"/>
        <v>16170</v>
      </c>
      <c r="AC32" s="18">
        <f t="shared" si="98"/>
        <v>4765</v>
      </c>
      <c r="AD32" s="18">
        <f t="shared" si="5"/>
        <v>-11405</v>
      </c>
      <c r="AE32" s="23">
        <f t="shared" si="6"/>
        <v>29.468150896722321</v>
      </c>
    </row>
    <row r="33" spans="1:31" ht="15.75">
      <c r="A33" s="917"/>
      <c r="B33" s="17" t="s">
        <v>31</v>
      </c>
      <c r="C33" s="18">
        <v>600</v>
      </c>
      <c r="D33" s="18">
        <v>300</v>
      </c>
      <c r="E33" s="18">
        <v>5783</v>
      </c>
      <c r="F33" s="18">
        <v>5783</v>
      </c>
      <c r="G33" s="19">
        <v>5400</v>
      </c>
      <c r="H33" s="20">
        <v>3949</v>
      </c>
      <c r="I33" s="20">
        <f t="shared" si="88"/>
        <v>-1451</v>
      </c>
      <c r="J33" s="21">
        <f t="shared" si="95"/>
        <v>73.129629629629633</v>
      </c>
      <c r="K33" s="22">
        <f t="shared" si="89"/>
        <v>0</v>
      </c>
      <c r="L33" s="18">
        <f t="shared" si="90"/>
        <v>5483</v>
      </c>
      <c r="M33" s="921"/>
      <c r="N33" s="17" t="s">
        <v>31</v>
      </c>
      <c r="O33" s="18">
        <v>600</v>
      </c>
      <c r="P33" s="18">
        <v>300</v>
      </c>
      <c r="Q33" s="18">
        <v>0</v>
      </c>
      <c r="R33" s="19">
        <v>0</v>
      </c>
      <c r="S33" s="18">
        <v>0</v>
      </c>
      <c r="T33" s="18">
        <f t="shared" si="91"/>
        <v>0</v>
      </c>
      <c r="U33" s="23" t="e">
        <f t="shared" si="96"/>
        <v>#DIV/0!</v>
      </c>
      <c r="V33" s="18">
        <f t="shared" si="92"/>
        <v>-300</v>
      </c>
      <c r="W33" s="921"/>
      <c r="X33" s="17" t="s">
        <v>31</v>
      </c>
      <c r="Y33" s="18">
        <f t="shared" ref="Y33:Z33" si="99">C33-O33</f>
        <v>0</v>
      </c>
      <c r="Z33" s="18">
        <f t="shared" si="99"/>
        <v>0</v>
      </c>
      <c r="AA33" s="18">
        <f t="shared" ref="AA33:AC33" si="100">F33-Q33</f>
        <v>5783</v>
      </c>
      <c r="AB33" s="18">
        <f t="shared" si="100"/>
        <v>5400</v>
      </c>
      <c r="AC33" s="18">
        <f t="shared" si="100"/>
        <v>3949</v>
      </c>
      <c r="AD33" s="18">
        <f t="shared" si="5"/>
        <v>-1451</v>
      </c>
      <c r="AE33" s="23">
        <f t="shared" si="6"/>
        <v>73.129629629629633</v>
      </c>
    </row>
    <row r="34" spans="1:31" ht="15.75">
      <c r="A34" s="917"/>
      <c r="B34" s="17" t="s">
        <v>24</v>
      </c>
      <c r="C34" s="18">
        <v>0</v>
      </c>
      <c r="D34" s="18"/>
      <c r="E34" s="18"/>
      <c r="F34" s="18">
        <v>4100</v>
      </c>
      <c r="G34" s="19">
        <v>2095</v>
      </c>
      <c r="H34" s="20">
        <v>2095</v>
      </c>
      <c r="I34" s="20">
        <f t="shared" si="88"/>
        <v>0</v>
      </c>
      <c r="J34" s="21">
        <f t="shared" si="95"/>
        <v>100</v>
      </c>
      <c r="K34" s="22">
        <f t="shared" si="89"/>
        <v>4100</v>
      </c>
      <c r="L34" s="18">
        <f t="shared" si="90"/>
        <v>4100</v>
      </c>
      <c r="M34" s="921"/>
      <c r="N34" s="17" t="s">
        <v>24</v>
      </c>
      <c r="O34" s="18"/>
      <c r="P34" s="18"/>
      <c r="Q34" s="18">
        <v>0</v>
      </c>
      <c r="R34" s="19">
        <v>0</v>
      </c>
      <c r="S34" s="18">
        <v>0</v>
      </c>
      <c r="T34" s="18">
        <f t="shared" si="91"/>
        <v>0</v>
      </c>
      <c r="U34" s="23" t="e">
        <f t="shared" si="96"/>
        <v>#DIV/0!</v>
      </c>
      <c r="V34" s="18">
        <f t="shared" si="92"/>
        <v>0</v>
      </c>
      <c r="W34" s="921"/>
      <c r="X34" s="17" t="s">
        <v>24</v>
      </c>
      <c r="Y34" s="18">
        <f t="shared" ref="Y34:Z34" si="101">C34-O34</f>
        <v>0</v>
      </c>
      <c r="Z34" s="18">
        <f t="shared" si="101"/>
        <v>0</v>
      </c>
      <c r="AA34" s="18">
        <f t="shared" ref="AA34:AC34" si="102">F34-Q34</f>
        <v>4100</v>
      </c>
      <c r="AB34" s="18">
        <f t="shared" si="102"/>
        <v>2095</v>
      </c>
      <c r="AC34" s="18">
        <f t="shared" si="102"/>
        <v>2095</v>
      </c>
      <c r="AD34" s="18">
        <f t="shared" si="5"/>
        <v>0</v>
      </c>
      <c r="AE34" s="23">
        <f t="shared" si="6"/>
        <v>100</v>
      </c>
    </row>
    <row r="35" spans="1:31" ht="15.75">
      <c r="A35" s="918"/>
      <c r="B35" s="25" t="s">
        <v>25</v>
      </c>
      <c r="C35" s="26">
        <f t="shared" ref="C35:I35" si="103">SUM(C31:C34)</f>
        <v>20600</v>
      </c>
      <c r="D35" s="26">
        <f t="shared" si="103"/>
        <v>12800</v>
      </c>
      <c r="E35" s="26">
        <f t="shared" si="103"/>
        <v>42550</v>
      </c>
      <c r="F35" s="26">
        <f t="shared" si="103"/>
        <v>24883</v>
      </c>
      <c r="G35" s="27">
        <f t="shared" si="103"/>
        <v>23665</v>
      </c>
      <c r="H35" s="28">
        <f t="shared" si="103"/>
        <v>10809</v>
      </c>
      <c r="I35" s="28">
        <f t="shared" si="103"/>
        <v>-12856</v>
      </c>
      <c r="J35" s="23">
        <f t="shared" si="95"/>
        <v>45.675047538559056</v>
      </c>
      <c r="K35" s="29">
        <f t="shared" si="89"/>
        <v>-17667</v>
      </c>
      <c r="L35" s="26">
        <f t="shared" si="90"/>
        <v>12083</v>
      </c>
      <c r="M35" s="922"/>
      <c r="N35" s="25" t="s">
        <v>25</v>
      </c>
      <c r="O35" s="26">
        <f t="shared" ref="O35:T35" si="104">SUM(O31:O34)</f>
        <v>20600</v>
      </c>
      <c r="P35" s="26">
        <f t="shared" si="104"/>
        <v>12800</v>
      </c>
      <c r="Q35" s="26">
        <f t="shared" si="104"/>
        <v>0</v>
      </c>
      <c r="R35" s="27">
        <f t="shared" si="104"/>
        <v>0</v>
      </c>
      <c r="S35" s="26">
        <f t="shared" si="104"/>
        <v>0</v>
      </c>
      <c r="T35" s="26">
        <f t="shared" si="104"/>
        <v>0</v>
      </c>
      <c r="U35" s="23" t="e">
        <f t="shared" si="96"/>
        <v>#DIV/0!</v>
      </c>
      <c r="V35" s="26">
        <f t="shared" si="92"/>
        <v>-12800</v>
      </c>
      <c r="W35" s="922"/>
      <c r="X35" s="25" t="s">
        <v>25</v>
      </c>
      <c r="Y35" s="26">
        <f t="shared" ref="Y35:AA35" si="105">SUM(Y31:Y34)</f>
        <v>0</v>
      </c>
      <c r="Z35" s="26">
        <f t="shared" si="105"/>
        <v>0</v>
      </c>
      <c r="AA35" s="26">
        <f t="shared" si="105"/>
        <v>24883</v>
      </c>
      <c r="AB35" s="18">
        <f t="shared" ref="AB35:AC35" si="106">G35-R35</f>
        <v>23665</v>
      </c>
      <c r="AC35" s="18">
        <f t="shared" si="106"/>
        <v>10809</v>
      </c>
      <c r="AD35" s="18">
        <f t="shared" si="5"/>
        <v>-12856</v>
      </c>
      <c r="AE35" s="23">
        <f t="shared" si="6"/>
        <v>45.675047538559056</v>
      </c>
    </row>
    <row r="36" spans="1:31" ht="15.75">
      <c r="A36" s="30"/>
      <c r="B36" s="31"/>
      <c r="C36" s="32"/>
      <c r="D36" s="32"/>
      <c r="E36" s="32"/>
      <c r="F36" s="32"/>
      <c r="G36" s="32"/>
      <c r="H36" s="34"/>
      <c r="I36" s="34"/>
      <c r="J36" s="35"/>
      <c r="K36" s="36"/>
      <c r="L36" s="32"/>
      <c r="M36" s="37"/>
      <c r="N36" s="31"/>
      <c r="O36" s="32"/>
      <c r="P36" s="32"/>
      <c r="Q36" s="32"/>
      <c r="R36" s="32"/>
      <c r="S36" s="32"/>
      <c r="T36" s="32"/>
      <c r="U36" s="38"/>
      <c r="V36" s="32"/>
      <c r="W36" s="37"/>
      <c r="X36" s="31"/>
      <c r="Y36" s="32"/>
      <c r="Z36" s="32"/>
      <c r="AA36" s="32"/>
      <c r="AB36" s="18">
        <f t="shared" ref="AB36:AC36" si="107">G36-R36</f>
        <v>0</v>
      </c>
      <c r="AC36" s="18">
        <f t="shared" si="107"/>
        <v>0</v>
      </c>
      <c r="AD36" s="18">
        <f t="shared" si="5"/>
        <v>0</v>
      </c>
      <c r="AE36" s="23" t="e">
        <f t="shared" si="6"/>
        <v>#DIV/0!</v>
      </c>
    </row>
    <row r="37" spans="1:31" ht="15.75">
      <c r="A37" s="916" t="s">
        <v>35</v>
      </c>
      <c r="B37" s="17" t="s">
        <v>21</v>
      </c>
      <c r="C37" s="18">
        <v>88850</v>
      </c>
      <c r="D37" s="18">
        <v>88850</v>
      </c>
      <c r="E37" s="18">
        <v>38364</v>
      </c>
      <c r="F37" s="18">
        <v>0</v>
      </c>
      <c r="G37" s="19">
        <v>0</v>
      </c>
      <c r="H37" s="20">
        <v>0</v>
      </c>
      <c r="I37" s="20">
        <f t="shared" ref="I37:I41" si="108">H37-G37</f>
        <v>0</v>
      </c>
      <c r="J37" s="21">
        <v>0</v>
      </c>
      <c r="K37" s="22">
        <f t="shared" ref="K37:K42" si="109">F37-E37</f>
        <v>-38364</v>
      </c>
      <c r="L37" s="18">
        <f t="shared" ref="L37:L42" si="110">F37-D37</f>
        <v>-88850</v>
      </c>
      <c r="M37" s="920" t="s">
        <v>35</v>
      </c>
      <c r="N37" s="17" t="s">
        <v>21</v>
      </c>
      <c r="O37" s="18">
        <v>88850</v>
      </c>
      <c r="P37" s="18">
        <v>88850</v>
      </c>
      <c r="Q37" s="18">
        <v>0</v>
      </c>
      <c r="R37" s="19">
        <v>0</v>
      </c>
      <c r="S37" s="18">
        <v>0</v>
      </c>
      <c r="T37" s="18">
        <f t="shared" ref="T37:T41" si="111">S37-R37</f>
        <v>0</v>
      </c>
      <c r="U37" s="23">
        <v>0</v>
      </c>
      <c r="V37" s="18">
        <f t="shared" ref="V37:V42" si="112">Q37-P37</f>
        <v>-88850</v>
      </c>
      <c r="W37" s="920" t="s">
        <v>35</v>
      </c>
      <c r="X37" s="17" t="s">
        <v>21</v>
      </c>
      <c r="Y37" s="18">
        <f t="shared" ref="Y37:Z37" si="113">C37-O37</f>
        <v>0</v>
      </c>
      <c r="Z37" s="18">
        <f t="shared" si="113"/>
        <v>0</v>
      </c>
      <c r="AA37" s="18">
        <f t="shared" ref="AA37:AC37" si="114">F37-Q37</f>
        <v>0</v>
      </c>
      <c r="AB37" s="18">
        <f t="shared" si="114"/>
        <v>0</v>
      </c>
      <c r="AC37" s="18">
        <f t="shared" si="114"/>
        <v>0</v>
      </c>
      <c r="AD37" s="18">
        <f t="shared" si="5"/>
        <v>0</v>
      </c>
      <c r="AE37" s="23" t="e">
        <f t="shared" si="6"/>
        <v>#DIV/0!</v>
      </c>
    </row>
    <row r="38" spans="1:31" ht="15.75">
      <c r="A38" s="917"/>
      <c r="B38" s="17" t="s">
        <v>28</v>
      </c>
      <c r="C38" s="18">
        <v>0</v>
      </c>
      <c r="D38" s="18">
        <v>0</v>
      </c>
      <c r="E38" s="18">
        <v>234</v>
      </c>
      <c r="F38" s="18">
        <v>0</v>
      </c>
      <c r="G38" s="19">
        <v>0</v>
      </c>
      <c r="H38" s="20">
        <v>0</v>
      </c>
      <c r="I38" s="20">
        <f t="shared" si="108"/>
        <v>0</v>
      </c>
      <c r="J38" s="21">
        <v>0</v>
      </c>
      <c r="K38" s="22">
        <f t="shared" si="109"/>
        <v>-234</v>
      </c>
      <c r="L38" s="18">
        <f t="shared" si="110"/>
        <v>0</v>
      </c>
      <c r="M38" s="921"/>
      <c r="N38" s="17" t="s">
        <v>28</v>
      </c>
      <c r="O38" s="18">
        <v>0</v>
      </c>
      <c r="P38" s="18">
        <v>0</v>
      </c>
      <c r="Q38" s="18">
        <v>0</v>
      </c>
      <c r="R38" s="19">
        <v>0</v>
      </c>
      <c r="S38" s="18">
        <v>0</v>
      </c>
      <c r="T38" s="18">
        <f t="shared" si="111"/>
        <v>0</v>
      </c>
      <c r="U38" s="23">
        <v>0</v>
      </c>
      <c r="V38" s="18">
        <f t="shared" si="112"/>
        <v>0</v>
      </c>
      <c r="W38" s="921"/>
      <c r="X38" s="17" t="s">
        <v>28</v>
      </c>
      <c r="Y38" s="18">
        <f t="shared" ref="Y38:Z38" si="115">C38-O38</f>
        <v>0</v>
      </c>
      <c r="Z38" s="18">
        <f t="shared" si="115"/>
        <v>0</v>
      </c>
      <c r="AA38" s="18">
        <f t="shared" ref="AA38:AC38" si="116">F38-Q38</f>
        <v>0</v>
      </c>
      <c r="AB38" s="18">
        <f t="shared" si="116"/>
        <v>0</v>
      </c>
      <c r="AC38" s="18">
        <f t="shared" si="116"/>
        <v>0</v>
      </c>
      <c r="AD38" s="18">
        <f t="shared" si="5"/>
        <v>0</v>
      </c>
      <c r="AE38" s="23" t="e">
        <f t="shared" si="6"/>
        <v>#DIV/0!</v>
      </c>
    </row>
    <row r="39" spans="1:31" ht="15.75">
      <c r="A39" s="917"/>
      <c r="B39" s="17" t="s">
        <v>31</v>
      </c>
      <c r="C39" s="18">
        <v>23412</v>
      </c>
      <c r="D39" s="18">
        <v>11706</v>
      </c>
      <c r="E39" s="18">
        <v>20106</v>
      </c>
      <c r="F39" s="18">
        <v>9106</v>
      </c>
      <c r="G39" s="19">
        <v>12501</v>
      </c>
      <c r="H39" s="20">
        <v>11934</v>
      </c>
      <c r="I39" s="20">
        <f t="shared" si="108"/>
        <v>-567</v>
      </c>
      <c r="J39" s="21">
        <f>H39/G39*100</f>
        <v>95.464362850971924</v>
      </c>
      <c r="K39" s="22">
        <f t="shared" si="109"/>
        <v>-11000</v>
      </c>
      <c r="L39" s="18">
        <f t="shared" si="110"/>
        <v>-2600</v>
      </c>
      <c r="M39" s="921"/>
      <c r="N39" s="17" t="s">
        <v>31</v>
      </c>
      <c r="O39" s="18">
        <v>23412</v>
      </c>
      <c r="P39" s="18">
        <v>11706</v>
      </c>
      <c r="Q39" s="18">
        <v>0</v>
      </c>
      <c r="R39" s="19">
        <v>0</v>
      </c>
      <c r="S39" s="18">
        <v>0</v>
      </c>
      <c r="T39" s="18">
        <f t="shared" si="111"/>
        <v>0</v>
      </c>
      <c r="U39" s="23" t="e">
        <f>S39/R39*100</f>
        <v>#DIV/0!</v>
      </c>
      <c r="V39" s="18">
        <f t="shared" si="112"/>
        <v>-11706</v>
      </c>
      <c r="W39" s="921"/>
      <c r="X39" s="17" t="s">
        <v>31</v>
      </c>
      <c r="Y39" s="18">
        <f t="shared" ref="Y39:Z39" si="117">C39-O39</f>
        <v>0</v>
      </c>
      <c r="Z39" s="18">
        <f t="shared" si="117"/>
        <v>0</v>
      </c>
      <c r="AA39" s="18">
        <f t="shared" ref="AA39:AC39" si="118">F39-Q39</f>
        <v>9106</v>
      </c>
      <c r="AB39" s="18">
        <f t="shared" si="118"/>
        <v>12501</v>
      </c>
      <c r="AC39" s="18">
        <f t="shared" si="118"/>
        <v>11934</v>
      </c>
      <c r="AD39" s="18">
        <f t="shared" si="5"/>
        <v>-567</v>
      </c>
      <c r="AE39" s="23">
        <f t="shared" si="6"/>
        <v>95.464362850971924</v>
      </c>
    </row>
    <row r="40" spans="1:31" ht="15.75">
      <c r="A40" s="917"/>
      <c r="B40" s="39" t="s">
        <v>32</v>
      </c>
      <c r="C40" s="18">
        <v>51173</v>
      </c>
      <c r="D40" s="18">
        <v>38380</v>
      </c>
      <c r="E40" s="18">
        <v>94370</v>
      </c>
      <c r="F40" s="18">
        <v>0</v>
      </c>
      <c r="G40" s="19">
        <v>0</v>
      </c>
      <c r="H40" s="20">
        <v>221129</v>
      </c>
      <c r="I40" s="20">
        <f t="shared" si="108"/>
        <v>221129</v>
      </c>
      <c r="J40" s="21">
        <v>0</v>
      </c>
      <c r="K40" s="22">
        <f t="shared" si="109"/>
        <v>-94370</v>
      </c>
      <c r="L40" s="18">
        <f t="shared" si="110"/>
        <v>-38380</v>
      </c>
      <c r="M40" s="921"/>
      <c r="N40" s="39" t="s">
        <v>32</v>
      </c>
      <c r="O40" s="18">
        <v>51173</v>
      </c>
      <c r="P40" s="18">
        <v>38380</v>
      </c>
      <c r="Q40" s="18">
        <v>0</v>
      </c>
      <c r="R40" s="19">
        <v>0</v>
      </c>
      <c r="S40" s="18">
        <v>0</v>
      </c>
      <c r="T40" s="18">
        <f t="shared" si="111"/>
        <v>0</v>
      </c>
      <c r="U40" s="23">
        <v>0</v>
      </c>
      <c r="V40" s="18">
        <f t="shared" si="112"/>
        <v>-38380</v>
      </c>
      <c r="W40" s="921"/>
      <c r="X40" s="39" t="s">
        <v>32</v>
      </c>
      <c r="Y40" s="18">
        <f t="shared" ref="Y40:Z40" si="119">C40-O40</f>
        <v>0</v>
      </c>
      <c r="Z40" s="18">
        <f t="shared" si="119"/>
        <v>0</v>
      </c>
      <c r="AA40" s="18">
        <f t="shared" ref="AA40:AC40" si="120">F40-Q40</f>
        <v>0</v>
      </c>
      <c r="AB40" s="18">
        <f t="shared" si="120"/>
        <v>0</v>
      </c>
      <c r="AC40" s="18">
        <f t="shared" si="120"/>
        <v>221129</v>
      </c>
      <c r="AD40" s="18">
        <f t="shared" si="5"/>
        <v>221129</v>
      </c>
      <c r="AE40" s="23" t="e">
        <f t="shared" si="6"/>
        <v>#DIV/0!</v>
      </c>
    </row>
    <row r="41" spans="1:31" ht="15.75">
      <c r="A41" s="917"/>
      <c r="B41" s="17" t="s">
        <v>24</v>
      </c>
      <c r="C41" s="18">
        <v>0</v>
      </c>
      <c r="D41" s="18"/>
      <c r="E41" s="18"/>
      <c r="F41" s="18">
        <f>122734+605614</f>
        <v>728348</v>
      </c>
      <c r="G41" s="19">
        <v>935526</v>
      </c>
      <c r="H41" s="20">
        <v>1114902</v>
      </c>
      <c r="I41" s="20">
        <f t="shared" si="108"/>
        <v>179376</v>
      </c>
      <c r="J41" s="21">
        <f t="shared" ref="J41:J42" si="121">H41/G41*100</f>
        <v>119.17381237934595</v>
      </c>
      <c r="K41" s="22">
        <f t="shared" si="109"/>
        <v>728348</v>
      </c>
      <c r="L41" s="18">
        <f t="shared" si="110"/>
        <v>728348</v>
      </c>
      <c r="M41" s="921"/>
      <c r="N41" s="17" t="s">
        <v>24</v>
      </c>
      <c r="O41" s="18"/>
      <c r="P41" s="18"/>
      <c r="Q41" s="18">
        <v>0</v>
      </c>
      <c r="R41" s="19">
        <v>0</v>
      </c>
      <c r="S41" s="18">
        <v>0</v>
      </c>
      <c r="T41" s="18">
        <f t="shared" si="111"/>
        <v>0</v>
      </c>
      <c r="U41" s="23" t="e">
        <f t="shared" ref="U41:U42" si="122">S41/R41*100</f>
        <v>#DIV/0!</v>
      </c>
      <c r="V41" s="18">
        <f t="shared" si="112"/>
        <v>0</v>
      </c>
      <c r="W41" s="921"/>
      <c r="X41" s="17" t="s">
        <v>24</v>
      </c>
      <c r="Y41" s="18">
        <f t="shared" ref="Y41:Z41" si="123">C41-O41</f>
        <v>0</v>
      </c>
      <c r="Z41" s="18">
        <f t="shared" si="123"/>
        <v>0</v>
      </c>
      <c r="AA41" s="18">
        <f t="shared" ref="AA41:AC41" si="124">F41-Q41</f>
        <v>728348</v>
      </c>
      <c r="AB41" s="18">
        <f t="shared" si="124"/>
        <v>935526</v>
      </c>
      <c r="AC41" s="18">
        <f t="shared" si="124"/>
        <v>1114902</v>
      </c>
      <c r="AD41" s="18">
        <f t="shared" si="5"/>
        <v>179376</v>
      </c>
      <c r="AE41" s="23">
        <f t="shared" si="6"/>
        <v>119.17381237934595</v>
      </c>
    </row>
    <row r="42" spans="1:31" ht="15.75">
      <c r="A42" s="918"/>
      <c r="B42" s="25" t="s">
        <v>25</v>
      </c>
      <c r="C42" s="26">
        <f t="shared" ref="C42:I42" si="125">SUM(C37:C41)</f>
        <v>163435</v>
      </c>
      <c r="D42" s="26">
        <f t="shared" si="125"/>
        <v>138936</v>
      </c>
      <c r="E42" s="26">
        <f t="shared" si="125"/>
        <v>153074</v>
      </c>
      <c r="F42" s="26">
        <f t="shared" si="125"/>
        <v>737454</v>
      </c>
      <c r="G42" s="27">
        <f t="shared" si="125"/>
        <v>948027</v>
      </c>
      <c r="H42" s="28">
        <f t="shared" si="125"/>
        <v>1347965</v>
      </c>
      <c r="I42" s="28">
        <f t="shared" si="125"/>
        <v>399938</v>
      </c>
      <c r="J42" s="23">
        <f t="shared" si="121"/>
        <v>142.18635123261257</v>
      </c>
      <c r="K42" s="29">
        <f t="shared" si="109"/>
        <v>584380</v>
      </c>
      <c r="L42" s="26">
        <f t="shared" si="110"/>
        <v>598518</v>
      </c>
      <c r="M42" s="922"/>
      <c r="N42" s="25" t="s">
        <v>25</v>
      </c>
      <c r="O42" s="26">
        <f t="shared" ref="O42:T42" si="126">SUM(O37:O41)</f>
        <v>163435</v>
      </c>
      <c r="P42" s="26">
        <f t="shared" si="126"/>
        <v>138936</v>
      </c>
      <c r="Q42" s="26">
        <f t="shared" si="126"/>
        <v>0</v>
      </c>
      <c r="R42" s="27">
        <f t="shared" si="126"/>
        <v>0</v>
      </c>
      <c r="S42" s="26">
        <f t="shared" si="126"/>
        <v>0</v>
      </c>
      <c r="T42" s="26">
        <f t="shared" si="126"/>
        <v>0</v>
      </c>
      <c r="U42" s="23" t="e">
        <f t="shared" si="122"/>
        <v>#DIV/0!</v>
      </c>
      <c r="V42" s="26">
        <f t="shared" si="112"/>
        <v>-138936</v>
      </c>
      <c r="W42" s="922"/>
      <c r="X42" s="25" t="s">
        <v>25</v>
      </c>
      <c r="Y42" s="26">
        <f t="shared" ref="Y42:AA42" si="127">SUM(Y37:Y41)</f>
        <v>0</v>
      </c>
      <c r="Z42" s="26">
        <f t="shared" si="127"/>
        <v>0</v>
      </c>
      <c r="AA42" s="26">
        <f t="shared" si="127"/>
        <v>737454</v>
      </c>
      <c r="AB42" s="18">
        <f t="shared" ref="AB42:AC42" si="128">G42-R42</f>
        <v>948027</v>
      </c>
      <c r="AC42" s="18">
        <f t="shared" si="128"/>
        <v>1347965</v>
      </c>
      <c r="AD42" s="18">
        <f t="shared" si="5"/>
        <v>399938</v>
      </c>
      <c r="AE42" s="23">
        <f t="shared" si="6"/>
        <v>142.18635123261257</v>
      </c>
    </row>
    <row r="43" spans="1:31" ht="15.75">
      <c r="A43" s="30"/>
      <c r="B43" s="31"/>
      <c r="C43" s="32"/>
      <c r="D43" s="32"/>
      <c r="E43" s="32"/>
      <c r="F43" s="32"/>
      <c r="G43" s="32"/>
      <c r="H43" s="34"/>
      <c r="I43" s="34"/>
      <c r="J43" s="35"/>
      <c r="K43" s="36"/>
      <c r="L43" s="32"/>
      <c r="M43" s="37"/>
      <c r="N43" s="31"/>
      <c r="O43" s="32"/>
      <c r="P43" s="32"/>
      <c r="Q43" s="32"/>
      <c r="R43" s="32"/>
      <c r="S43" s="32"/>
      <c r="T43" s="32"/>
      <c r="U43" s="38"/>
      <c r="V43" s="32"/>
      <c r="W43" s="37"/>
      <c r="X43" s="31"/>
      <c r="Y43" s="32"/>
      <c r="Z43" s="32"/>
      <c r="AA43" s="32"/>
      <c r="AB43" s="18">
        <f t="shared" ref="AB43:AC43" si="129">G43-R43</f>
        <v>0</v>
      </c>
      <c r="AC43" s="18">
        <f t="shared" si="129"/>
        <v>0</v>
      </c>
      <c r="AD43" s="18">
        <f t="shared" si="5"/>
        <v>0</v>
      </c>
      <c r="AE43" s="23" t="e">
        <f t="shared" si="6"/>
        <v>#DIV/0!</v>
      </c>
    </row>
    <row r="44" spans="1:31" ht="15.75">
      <c r="A44" s="916" t="s">
        <v>36</v>
      </c>
      <c r="B44" s="17" t="s">
        <v>21</v>
      </c>
      <c r="C44" s="18">
        <v>5277400</v>
      </c>
      <c r="D44" s="18">
        <v>5277400</v>
      </c>
      <c r="E44" s="18">
        <v>5277400</v>
      </c>
      <c r="F44" s="18">
        <v>5282600</v>
      </c>
      <c r="G44" s="19">
        <v>5282600</v>
      </c>
      <c r="H44" s="20">
        <v>5282638</v>
      </c>
      <c r="I44" s="20">
        <f t="shared" ref="I44:I45" si="130">H44-G44</f>
        <v>38</v>
      </c>
      <c r="J44" s="21">
        <f>H44/G44*100</f>
        <v>100.00071934274789</v>
      </c>
      <c r="K44" s="22">
        <f t="shared" ref="K44:K50" si="131">F44-E44</f>
        <v>5200</v>
      </c>
      <c r="L44" s="18">
        <f t="shared" ref="L44:L50" si="132">F44-D44</f>
        <v>5200</v>
      </c>
      <c r="M44" s="920" t="s">
        <v>36</v>
      </c>
      <c r="N44" s="17" t="s">
        <v>21</v>
      </c>
      <c r="O44" s="18">
        <v>5277400</v>
      </c>
      <c r="P44" s="18">
        <v>5277400</v>
      </c>
      <c r="Q44" s="18">
        <v>0</v>
      </c>
      <c r="R44" s="19">
        <v>0</v>
      </c>
      <c r="S44" s="18">
        <v>0</v>
      </c>
      <c r="T44" s="18">
        <f t="shared" ref="T44:T45" si="133">S44-R44</f>
        <v>0</v>
      </c>
      <c r="U44" s="23" t="e">
        <f>S44/R44*100</f>
        <v>#DIV/0!</v>
      </c>
      <c r="V44" s="18">
        <f t="shared" ref="V44:V50" si="134">Q44-P44</f>
        <v>-5277400</v>
      </c>
      <c r="W44" s="920" t="s">
        <v>36</v>
      </c>
      <c r="X44" s="17" t="s">
        <v>21</v>
      </c>
      <c r="Y44" s="18">
        <f t="shared" ref="Y44:Z44" si="135">C44-O44</f>
        <v>0</v>
      </c>
      <c r="Z44" s="18">
        <f t="shared" si="135"/>
        <v>0</v>
      </c>
      <c r="AA44" s="18">
        <f t="shared" ref="AA44:AC44" si="136">F44-Q44</f>
        <v>5282600</v>
      </c>
      <c r="AB44" s="18">
        <f t="shared" si="136"/>
        <v>5282600</v>
      </c>
      <c r="AC44" s="18">
        <f t="shared" si="136"/>
        <v>5282638</v>
      </c>
      <c r="AD44" s="18">
        <f t="shared" si="5"/>
        <v>38</v>
      </c>
      <c r="AE44" s="23">
        <f t="shared" si="6"/>
        <v>100.00071934274789</v>
      </c>
    </row>
    <row r="45" spans="1:31" ht="15.75">
      <c r="A45" s="917"/>
      <c r="B45" s="17" t="s">
        <v>37</v>
      </c>
      <c r="C45" s="18">
        <v>0</v>
      </c>
      <c r="D45" s="18">
        <v>0</v>
      </c>
      <c r="E45" s="18">
        <v>0</v>
      </c>
      <c r="F45" s="18">
        <v>0</v>
      </c>
      <c r="G45" s="19">
        <v>0</v>
      </c>
      <c r="H45" s="20">
        <v>0</v>
      </c>
      <c r="I45" s="20">
        <f t="shared" si="130"/>
        <v>0</v>
      </c>
      <c r="J45" s="21">
        <v>0</v>
      </c>
      <c r="K45" s="22">
        <f t="shared" si="131"/>
        <v>0</v>
      </c>
      <c r="L45" s="18">
        <f t="shared" si="132"/>
        <v>0</v>
      </c>
      <c r="M45" s="921"/>
      <c r="N45" s="17" t="s">
        <v>37</v>
      </c>
      <c r="O45" s="18">
        <v>0</v>
      </c>
      <c r="P45" s="18">
        <v>0</v>
      </c>
      <c r="Q45" s="18">
        <v>0</v>
      </c>
      <c r="R45" s="19">
        <v>0</v>
      </c>
      <c r="S45" s="18">
        <v>0</v>
      </c>
      <c r="T45" s="18">
        <f t="shared" si="133"/>
        <v>0</v>
      </c>
      <c r="U45" s="23">
        <v>0</v>
      </c>
      <c r="V45" s="18">
        <f t="shared" si="134"/>
        <v>0</v>
      </c>
      <c r="W45" s="921"/>
      <c r="X45" s="17" t="s">
        <v>37</v>
      </c>
      <c r="Y45" s="18">
        <f t="shared" ref="Y45:Z45" si="137">C45-O45</f>
        <v>0</v>
      </c>
      <c r="Z45" s="18">
        <f t="shared" si="137"/>
        <v>0</v>
      </c>
      <c r="AA45" s="18">
        <f t="shared" ref="AA45:AC45" si="138">F45-Q45</f>
        <v>0</v>
      </c>
      <c r="AB45" s="18">
        <f t="shared" si="138"/>
        <v>0</v>
      </c>
      <c r="AC45" s="18">
        <f t="shared" si="138"/>
        <v>0</v>
      </c>
      <c r="AD45" s="18">
        <f t="shared" si="5"/>
        <v>0</v>
      </c>
      <c r="AE45" s="23" t="e">
        <f t="shared" si="6"/>
        <v>#DIV/0!</v>
      </c>
    </row>
    <row r="46" spans="1:31" ht="15.75">
      <c r="A46" s="918"/>
      <c r="B46" s="17" t="s">
        <v>25</v>
      </c>
      <c r="C46" s="18">
        <f t="shared" ref="C46:I46" si="139">SUM(C44:C45)</f>
        <v>5277400</v>
      </c>
      <c r="D46" s="18">
        <f t="shared" si="139"/>
        <v>5277400</v>
      </c>
      <c r="E46" s="18">
        <f t="shared" si="139"/>
        <v>5277400</v>
      </c>
      <c r="F46" s="26">
        <f t="shared" si="139"/>
        <v>5282600</v>
      </c>
      <c r="G46" s="27">
        <f t="shared" si="139"/>
        <v>5282600</v>
      </c>
      <c r="H46" s="28">
        <f t="shared" si="139"/>
        <v>5282638</v>
      </c>
      <c r="I46" s="28">
        <f t="shared" si="139"/>
        <v>38</v>
      </c>
      <c r="J46" s="23">
        <f>H46/G46*100</f>
        <v>100.00071934274789</v>
      </c>
      <c r="K46" s="22">
        <f t="shared" si="131"/>
        <v>5200</v>
      </c>
      <c r="L46" s="18">
        <f t="shared" si="132"/>
        <v>5200</v>
      </c>
      <c r="M46" s="922"/>
      <c r="N46" s="17" t="s">
        <v>25</v>
      </c>
      <c r="O46" s="18">
        <f t="shared" ref="O46:T46" si="140">SUM(O44:O45)</f>
        <v>5277400</v>
      </c>
      <c r="P46" s="18">
        <f t="shared" si="140"/>
        <v>5277400</v>
      </c>
      <c r="Q46" s="18">
        <f t="shared" si="140"/>
        <v>0</v>
      </c>
      <c r="R46" s="27">
        <f t="shared" si="140"/>
        <v>0</v>
      </c>
      <c r="S46" s="18">
        <f t="shared" si="140"/>
        <v>0</v>
      </c>
      <c r="T46" s="18">
        <f t="shared" si="140"/>
        <v>0</v>
      </c>
      <c r="U46" s="23" t="e">
        <f>S46/R46*100</f>
        <v>#DIV/0!</v>
      </c>
      <c r="V46" s="18">
        <f t="shared" si="134"/>
        <v>-5277400</v>
      </c>
      <c r="W46" s="922"/>
      <c r="X46" s="25" t="s">
        <v>25</v>
      </c>
      <c r="Y46" s="26">
        <f t="shared" ref="Y46:AA46" si="141">SUM(Y44:Y45)</f>
        <v>0</v>
      </c>
      <c r="Z46" s="26">
        <f t="shared" si="141"/>
        <v>0</v>
      </c>
      <c r="AA46" s="26">
        <f t="shared" si="141"/>
        <v>5282600</v>
      </c>
      <c r="AB46" s="18">
        <f t="shared" ref="AB46:AC46" si="142">G46-R46</f>
        <v>5282600</v>
      </c>
      <c r="AC46" s="18">
        <f t="shared" si="142"/>
        <v>5282638</v>
      </c>
      <c r="AD46" s="18">
        <f t="shared" si="5"/>
        <v>38</v>
      </c>
      <c r="AE46" s="23">
        <f t="shared" si="6"/>
        <v>100.00071934274789</v>
      </c>
    </row>
    <row r="47" spans="1:31" ht="15.75">
      <c r="A47" s="30"/>
      <c r="B47" s="31"/>
      <c r="C47" s="32"/>
      <c r="D47" s="32"/>
      <c r="E47" s="32"/>
      <c r="F47" s="32"/>
      <c r="G47" s="32"/>
      <c r="H47" s="34"/>
      <c r="I47" s="34">
        <f t="shared" ref="I47:I49" si="143">H47-G47</f>
        <v>0</v>
      </c>
      <c r="J47" s="35"/>
      <c r="K47" s="36">
        <f t="shared" si="131"/>
        <v>0</v>
      </c>
      <c r="L47" s="32">
        <f t="shared" si="132"/>
        <v>0</v>
      </c>
      <c r="M47" s="37"/>
      <c r="N47" s="31"/>
      <c r="O47" s="32"/>
      <c r="P47" s="32"/>
      <c r="Q47" s="32"/>
      <c r="R47" s="32"/>
      <c r="S47" s="32"/>
      <c r="T47" s="32">
        <f t="shared" ref="T47:T49" si="144">S47-R47</f>
        <v>0</v>
      </c>
      <c r="U47" s="38"/>
      <c r="V47" s="32">
        <f t="shared" si="134"/>
        <v>0</v>
      </c>
      <c r="W47" s="37"/>
      <c r="X47" s="31"/>
      <c r="Y47" s="32"/>
      <c r="Z47" s="32"/>
      <c r="AA47" s="32"/>
      <c r="AB47" s="18">
        <f t="shared" ref="AB47:AC47" si="145">G47-R47</f>
        <v>0</v>
      </c>
      <c r="AC47" s="18">
        <f t="shared" si="145"/>
        <v>0</v>
      </c>
      <c r="AD47" s="18">
        <f t="shared" si="5"/>
        <v>0</v>
      </c>
      <c r="AE47" s="23" t="e">
        <f t="shared" si="6"/>
        <v>#DIV/0!</v>
      </c>
    </row>
    <row r="48" spans="1:31" ht="15.75">
      <c r="A48" s="916" t="s">
        <v>38</v>
      </c>
      <c r="B48" s="39" t="s">
        <v>32</v>
      </c>
      <c r="C48" s="18">
        <v>180105</v>
      </c>
      <c r="D48" s="18">
        <v>135079</v>
      </c>
      <c r="E48" s="18">
        <v>196980</v>
      </c>
      <c r="F48" s="18">
        <v>0</v>
      </c>
      <c r="G48" s="19">
        <v>0</v>
      </c>
      <c r="H48" s="20">
        <v>0</v>
      </c>
      <c r="I48" s="20">
        <f t="shared" si="143"/>
        <v>0</v>
      </c>
      <c r="J48" s="21">
        <v>0</v>
      </c>
      <c r="K48" s="22">
        <f t="shared" si="131"/>
        <v>-196980</v>
      </c>
      <c r="L48" s="18">
        <f t="shared" si="132"/>
        <v>-135079</v>
      </c>
      <c r="M48" s="920" t="s">
        <v>38</v>
      </c>
      <c r="N48" s="39" t="s">
        <v>32</v>
      </c>
      <c r="O48" s="18">
        <v>180105</v>
      </c>
      <c r="P48" s="18">
        <v>135079</v>
      </c>
      <c r="Q48" s="18">
        <v>0</v>
      </c>
      <c r="R48" s="19">
        <v>0</v>
      </c>
      <c r="S48" s="18">
        <v>0</v>
      </c>
      <c r="T48" s="18">
        <f t="shared" si="144"/>
        <v>0</v>
      </c>
      <c r="U48" s="23">
        <v>0</v>
      </c>
      <c r="V48" s="18">
        <f t="shared" si="134"/>
        <v>-135079</v>
      </c>
      <c r="W48" s="920" t="s">
        <v>38</v>
      </c>
      <c r="X48" s="39" t="s">
        <v>32</v>
      </c>
      <c r="Y48" s="18">
        <f t="shared" ref="Y48:Z48" si="146">C48-O48</f>
        <v>0</v>
      </c>
      <c r="Z48" s="18">
        <f t="shared" si="146"/>
        <v>0</v>
      </c>
      <c r="AA48" s="18">
        <f t="shared" ref="AA48:AC48" si="147">F48-Q48</f>
        <v>0</v>
      </c>
      <c r="AB48" s="18">
        <f t="shared" si="147"/>
        <v>0</v>
      </c>
      <c r="AC48" s="18">
        <f t="shared" si="147"/>
        <v>0</v>
      </c>
      <c r="AD48" s="18">
        <f t="shared" si="5"/>
        <v>0</v>
      </c>
      <c r="AE48" s="23" t="e">
        <f t="shared" si="6"/>
        <v>#DIV/0!</v>
      </c>
    </row>
    <row r="49" spans="1:31" ht="15.75">
      <c r="A49" s="917"/>
      <c r="B49" s="17" t="s">
        <v>24</v>
      </c>
      <c r="C49" s="18"/>
      <c r="D49" s="18"/>
      <c r="E49" s="18"/>
      <c r="F49" s="18">
        <v>247000</v>
      </c>
      <c r="G49" s="19">
        <v>236562</v>
      </c>
      <c r="H49" s="20">
        <v>174716</v>
      </c>
      <c r="I49" s="20">
        <f t="shared" si="143"/>
        <v>-61846</v>
      </c>
      <c r="J49" s="21">
        <f t="shared" ref="J49:J50" si="148">H49/G49*100</f>
        <v>73.856325191704499</v>
      </c>
      <c r="K49" s="22">
        <f t="shared" si="131"/>
        <v>247000</v>
      </c>
      <c r="L49" s="18">
        <f t="shared" si="132"/>
        <v>247000</v>
      </c>
      <c r="M49" s="921"/>
      <c r="N49" s="17" t="s">
        <v>24</v>
      </c>
      <c r="O49" s="18"/>
      <c r="P49" s="18"/>
      <c r="Q49" s="18">
        <v>0</v>
      </c>
      <c r="R49" s="19">
        <v>4000</v>
      </c>
      <c r="S49" s="18">
        <v>0</v>
      </c>
      <c r="T49" s="18">
        <f t="shared" si="144"/>
        <v>-4000</v>
      </c>
      <c r="U49" s="23">
        <f t="shared" ref="U49:U50" si="149">S49/R49*100</f>
        <v>0</v>
      </c>
      <c r="V49" s="18">
        <f t="shared" si="134"/>
        <v>0</v>
      </c>
      <c r="W49" s="921"/>
      <c r="X49" s="17" t="s">
        <v>24</v>
      </c>
      <c r="Y49" s="18">
        <f t="shared" ref="Y49:Z49" si="150">C49-O49</f>
        <v>0</v>
      </c>
      <c r="Z49" s="18">
        <f t="shared" si="150"/>
        <v>0</v>
      </c>
      <c r="AA49" s="18">
        <f t="shared" ref="AA49:AC49" si="151">F49-Q49</f>
        <v>247000</v>
      </c>
      <c r="AB49" s="18">
        <f t="shared" si="151"/>
        <v>232562</v>
      </c>
      <c r="AC49" s="18">
        <f t="shared" si="151"/>
        <v>174716</v>
      </c>
      <c r="AD49" s="18">
        <f t="shared" si="5"/>
        <v>-57846</v>
      </c>
      <c r="AE49" s="23">
        <f t="shared" si="6"/>
        <v>75.126632897893899</v>
      </c>
    </row>
    <row r="50" spans="1:31" ht="15.75">
      <c r="A50" s="918"/>
      <c r="B50" s="25" t="s">
        <v>25</v>
      </c>
      <c r="C50" s="26">
        <f t="shared" ref="C50:I50" si="152">SUM(C48:C49)</f>
        <v>180105</v>
      </c>
      <c r="D50" s="26">
        <f t="shared" si="152"/>
        <v>135079</v>
      </c>
      <c r="E50" s="26">
        <f t="shared" si="152"/>
        <v>196980</v>
      </c>
      <c r="F50" s="26">
        <f t="shared" si="152"/>
        <v>247000</v>
      </c>
      <c r="G50" s="27">
        <f t="shared" si="152"/>
        <v>236562</v>
      </c>
      <c r="H50" s="28">
        <f t="shared" si="152"/>
        <v>174716</v>
      </c>
      <c r="I50" s="28">
        <f t="shared" si="152"/>
        <v>-61846</v>
      </c>
      <c r="J50" s="23">
        <f t="shared" si="148"/>
        <v>73.856325191704499</v>
      </c>
      <c r="K50" s="29">
        <f t="shared" si="131"/>
        <v>50020</v>
      </c>
      <c r="L50" s="26">
        <f t="shared" si="132"/>
        <v>111921</v>
      </c>
      <c r="M50" s="922"/>
      <c r="N50" s="25" t="s">
        <v>25</v>
      </c>
      <c r="O50" s="26">
        <f t="shared" ref="O50:T50" si="153">SUM(O48:O49)</f>
        <v>180105</v>
      </c>
      <c r="P50" s="26">
        <f t="shared" si="153"/>
        <v>135079</v>
      </c>
      <c r="Q50" s="26">
        <f t="shared" si="153"/>
        <v>0</v>
      </c>
      <c r="R50" s="27">
        <f t="shared" si="153"/>
        <v>4000</v>
      </c>
      <c r="S50" s="26">
        <f t="shared" si="153"/>
        <v>0</v>
      </c>
      <c r="T50" s="26">
        <f t="shared" si="153"/>
        <v>-4000</v>
      </c>
      <c r="U50" s="23">
        <f t="shared" si="149"/>
        <v>0</v>
      </c>
      <c r="V50" s="26">
        <f t="shared" si="134"/>
        <v>-135079</v>
      </c>
      <c r="W50" s="922"/>
      <c r="X50" s="25" t="s">
        <v>25</v>
      </c>
      <c r="Y50" s="26">
        <f t="shared" ref="Y50:AA50" si="154">SUM(Y48:Y49)</f>
        <v>0</v>
      </c>
      <c r="Z50" s="26">
        <f t="shared" si="154"/>
        <v>0</v>
      </c>
      <c r="AA50" s="26">
        <f t="shared" si="154"/>
        <v>247000</v>
      </c>
      <c r="AB50" s="18">
        <f t="shared" ref="AB50:AC50" si="155">G50-R50</f>
        <v>232562</v>
      </c>
      <c r="AC50" s="18">
        <f t="shared" si="155"/>
        <v>174716</v>
      </c>
      <c r="AD50" s="18">
        <f t="shared" si="5"/>
        <v>-57846</v>
      </c>
      <c r="AE50" s="23">
        <f t="shared" si="6"/>
        <v>75.126632897893899</v>
      </c>
    </row>
    <row r="51" spans="1:31" ht="15.75">
      <c r="A51" s="30"/>
      <c r="B51" s="31"/>
      <c r="C51" s="32"/>
      <c r="D51" s="32"/>
      <c r="E51" s="32"/>
      <c r="F51" s="32"/>
      <c r="G51" s="32"/>
      <c r="H51" s="34"/>
      <c r="I51" s="34"/>
      <c r="J51" s="35"/>
      <c r="K51" s="36"/>
      <c r="L51" s="32"/>
      <c r="M51" s="37"/>
      <c r="N51" s="31"/>
      <c r="O51" s="32"/>
      <c r="P51" s="32"/>
      <c r="Q51" s="32"/>
      <c r="R51" s="32"/>
      <c r="S51" s="32"/>
      <c r="T51" s="32"/>
      <c r="U51" s="38"/>
      <c r="V51" s="32"/>
      <c r="W51" s="37"/>
      <c r="X51" s="31"/>
      <c r="Y51" s="32"/>
      <c r="Z51" s="32"/>
      <c r="AA51" s="32"/>
      <c r="AB51" s="18">
        <f t="shared" ref="AB51:AC51" si="156">G51-R51</f>
        <v>0</v>
      </c>
      <c r="AC51" s="18">
        <f t="shared" si="156"/>
        <v>0</v>
      </c>
      <c r="AD51" s="18">
        <f t="shared" si="5"/>
        <v>0</v>
      </c>
      <c r="AE51" s="23" t="e">
        <f t="shared" si="6"/>
        <v>#DIV/0!</v>
      </c>
    </row>
    <row r="52" spans="1:31" ht="15.75">
      <c r="A52" s="916" t="s">
        <v>39</v>
      </c>
      <c r="B52" s="17" t="s">
        <v>40</v>
      </c>
      <c r="C52" s="18">
        <v>1597624</v>
      </c>
      <c r="D52" s="18">
        <v>1597624</v>
      </c>
      <c r="E52" s="18">
        <v>848277</v>
      </c>
      <c r="F52" s="18">
        <v>0</v>
      </c>
      <c r="G52" s="19">
        <v>0</v>
      </c>
      <c r="H52" s="20">
        <v>0</v>
      </c>
      <c r="I52" s="20">
        <f t="shared" ref="I52:I56" si="157">H52-G52</f>
        <v>0</v>
      </c>
      <c r="J52" s="21">
        <v>0</v>
      </c>
      <c r="K52" s="22">
        <f t="shared" ref="K52:K57" si="158">F52-E52</f>
        <v>-848277</v>
      </c>
      <c r="L52" s="18">
        <f t="shared" ref="L52:L57" si="159">F52-D52</f>
        <v>-1597624</v>
      </c>
      <c r="M52" s="920" t="s">
        <v>39</v>
      </c>
      <c r="N52" s="17" t="s">
        <v>40</v>
      </c>
      <c r="O52" s="18">
        <v>1597624</v>
      </c>
      <c r="P52" s="18">
        <v>1597624</v>
      </c>
      <c r="Q52" s="18">
        <v>0</v>
      </c>
      <c r="R52" s="19">
        <v>0</v>
      </c>
      <c r="S52" s="18">
        <v>0</v>
      </c>
      <c r="T52" s="18">
        <f t="shared" ref="T52:T56" si="160">S52-R52</f>
        <v>0</v>
      </c>
      <c r="U52" s="23">
        <v>0</v>
      </c>
      <c r="V52" s="18">
        <f t="shared" ref="V52:V57" si="161">Q52-P52</f>
        <v>-1597624</v>
      </c>
      <c r="W52" s="920" t="s">
        <v>39</v>
      </c>
      <c r="X52" s="17" t="s">
        <v>40</v>
      </c>
      <c r="Y52" s="18">
        <f t="shared" ref="Y52:Z52" si="162">C52-O52</f>
        <v>0</v>
      </c>
      <c r="Z52" s="18">
        <f t="shared" si="162"/>
        <v>0</v>
      </c>
      <c r="AA52" s="18">
        <f t="shared" ref="AA52:AC52" si="163">F52-Q52</f>
        <v>0</v>
      </c>
      <c r="AB52" s="18">
        <f t="shared" si="163"/>
        <v>0</v>
      </c>
      <c r="AC52" s="18">
        <f t="shared" si="163"/>
        <v>0</v>
      </c>
      <c r="AD52" s="18">
        <f t="shared" si="5"/>
        <v>0</v>
      </c>
      <c r="AE52" s="23" t="e">
        <f t="shared" si="6"/>
        <v>#DIV/0!</v>
      </c>
    </row>
    <row r="53" spans="1:31" ht="15.75">
      <c r="A53" s="917"/>
      <c r="B53" s="39" t="s">
        <v>32</v>
      </c>
      <c r="C53" s="18">
        <v>2618866</v>
      </c>
      <c r="D53" s="18">
        <v>1964150</v>
      </c>
      <c r="E53" s="18">
        <v>2322238</v>
      </c>
      <c r="F53" s="18">
        <v>0</v>
      </c>
      <c r="G53" s="19">
        <v>0</v>
      </c>
      <c r="H53" s="20">
        <v>0</v>
      </c>
      <c r="I53" s="20">
        <f t="shared" si="157"/>
        <v>0</v>
      </c>
      <c r="J53" s="21">
        <v>0</v>
      </c>
      <c r="K53" s="22">
        <f t="shared" si="158"/>
        <v>-2322238</v>
      </c>
      <c r="L53" s="18">
        <f t="shared" si="159"/>
        <v>-1964150</v>
      </c>
      <c r="M53" s="921"/>
      <c r="N53" s="39" t="s">
        <v>32</v>
      </c>
      <c r="O53" s="18">
        <v>2618866</v>
      </c>
      <c r="P53" s="18">
        <v>1964150</v>
      </c>
      <c r="Q53" s="18">
        <v>0</v>
      </c>
      <c r="R53" s="19">
        <v>0</v>
      </c>
      <c r="S53" s="18">
        <v>0</v>
      </c>
      <c r="T53" s="18">
        <f t="shared" si="160"/>
        <v>0</v>
      </c>
      <c r="U53" s="23">
        <v>0</v>
      </c>
      <c r="V53" s="18">
        <f t="shared" si="161"/>
        <v>-1964150</v>
      </c>
      <c r="W53" s="921"/>
      <c r="X53" s="39" t="s">
        <v>32</v>
      </c>
      <c r="Y53" s="18">
        <f t="shared" ref="Y53:Z53" si="164">C53-O53</f>
        <v>0</v>
      </c>
      <c r="Z53" s="18">
        <f t="shared" si="164"/>
        <v>0</v>
      </c>
      <c r="AA53" s="18">
        <f t="shared" ref="AA53:AC53" si="165">F53-Q53</f>
        <v>0</v>
      </c>
      <c r="AB53" s="18">
        <f t="shared" si="165"/>
        <v>0</v>
      </c>
      <c r="AC53" s="18">
        <f t="shared" si="165"/>
        <v>0</v>
      </c>
      <c r="AD53" s="18">
        <f t="shared" si="5"/>
        <v>0</v>
      </c>
      <c r="AE53" s="23" t="e">
        <f t="shared" si="6"/>
        <v>#DIV/0!</v>
      </c>
    </row>
    <row r="54" spans="1:31" ht="15.75">
      <c r="A54" s="917"/>
      <c r="B54" s="39" t="s">
        <v>33</v>
      </c>
      <c r="C54" s="18">
        <v>0</v>
      </c>
      <c r="D54" s="18">
        <v>0</v>
      </c>
      <c r="E54" s="18">
        <v>0</v>
      </c>
      <c r="F54" s="18">
        <v>0</v>
      </c>
      <c r="G54" s="19">
        <v>3982</v>
      </c>
      <c r="H54" s="20">
        <v>3982</v>
      </c>
      <c r="I54" s="20">
        <f t="shared" si="157"/>
        <v>0</v>
      </c>
      <c r="J54" s="21">
        <f t="shared" ref="J54:J57" si="166">H54/G54*100</f>
        <v>100</v>
      </c>
      <c r="K54" s="22">
        <f t="shared" si="158"/>
        <v>0</v>
      </c>
      <c r="L54" s="18">
        <f t="shared" si="159"/>
        <v>0</v>
      </c>
      <c r="M54" s="921"/>
      <c r="N54" s="39" t="s">
        <v>33</v>
      </c>
      <c r="O54" s="18">
        <v>0</v>
      </c>
      <c r="P54" s="18">
        <v>0</v>
      </c>
      <c r="Q54" s="18">
        <v>0</v>
      </c>
      <c r="R54" s="19">
        <v>3982</v>
      </c>
      <c r="S54" s="18">
        <v>3982</v>
      </c>
      <c r="T54" s="18">
        <f t="shared" si="160"/>
        <v>0</v>
      </c>
      <c r="U54" s="23">
        <f t="shared" ref="U54:U57" si="167">S54/R54*100</f>
        <v>100</v>
      </c>
      <c r="V54" s="18">
        <f t="shared" si="161"/>
        <v>0</v>
      </c>
      <c r="W54" s="921"/>
      <c r="X54" s="39" t="s">
        <v>33</v>
      </c>
      <c r="Y54" s="18">
        <f t="shared" ref="Y54:Z54" si="168">C54-O54</f>
        <v>0</v>
      </c>
      <c r="Z54" s="18">
        <f t="shared" si="168"/>
        <v>0</v>
      </c>
      <c r="AA54" s="18">
        <f t="shared" ref="AA54:AC54" si="169">F54-Q54</f>
        <v>0</v>
      </c>
      <c r="AB54" s="18">
        <f t="shared" si="169"/>
        <v>0</v>
      </c>
      <c r="AC54" s="18">
        <f t="shared" si="169"/>
        <v>0</v>
      </c>
      <c r="AD54" s="18">
        <f t="shared" si="5"/>
        <v>0</v>
      </c>
      <c r="AE54" s="23" t="e">
        <f t="shared" si="6"/>
        <v>#DIV/0!</v>
      </c>
    </row>
    <row r="55" spans="1:31" ht="15.75">
      <c r="A55" s="917"/>
      <c r="B55" s="17" t="s">
        <v>24</v>
      </c>
      <c r="C55" s="18">
        <v>0</v>
      </c>
      <c r="D55" s="18"/>
      <c r="E55" s="18"/>
      <c r="F55" s="18">
        <v>3240500</v>
      </c>
      <c r="G55" s="19">
        <v>3200000</v>
      </c>
      <c r="H55" s="20">
        <v>2782525</v>
      </c>
      <c r="I55" s="20">
        <f t="shared" si="157"/>
        <v>-417475</v>
      </c>
      <c r="J55" s="21">
        <f t="shared" si="166"/>
        <v>86.953906250000003</v>
      </c>
      <c r="K55" s="22">
        <f t="shared" si="158"/>
        <v>3240500</v>
      </c>
      <c r="L55" s="18">
        <f t="shared" si="159"/>
        <v>3240500</v>
      </c>
      <c r="M55" s="921"/>
      <c r="N55" s="17" t="s">
        <v>24</v>
      </c>
      <c r="O55" s="18">
        <v>0</v>
      </c>
      <c r="P55" s="18">
        <v>0</v>
      </c>
      <c r="Q55" s="18">
        <v>1613987</v>
      </c>
      <c r="R55" s="19">
        <v>1613987</v>
      </c>
      <c r="S55" s="18">
        <v>1407925</v>
      </c>
      <c r="T55" s="18">
        <f t="shared" si="160"/>
        <v>-206062</v>
      </c>
      <c r="U55" s="23">
        <f t="shared" si="167"/>
        <v>87.232734836154194</v>
      </c>
      <c r="V55" s="18">
        <f t="shared" si="161"/>
        <v>1613987</v>
      </c>
      <c r="W55" s="921"/>
      <c r="X55" s="17" t="s">
        <v>24</v>
      </c>
      <c r="Y55" s="18">
        <f t="shared" ref="Y55:Z55" si="170">C55-O55</f>
        <v>0</v>
      </c>
      <c r="Z55" s="18">
        <f t="shared" si="170"/>
        <v>0</v>
      </c>
      <c r="AA55" s="18">
        <f t="shared" ref="AA55:AC55" si="171">F55-Q55</f>
        <v>1626513</v>
      </c>
      <c r="AB55" s="18">
        <f t="shared" si="171"/>
        <v>1586013</v>
      </c>
      <c r="AC55" s="18">
        <f t="shared" si="171"/>
        <v>1374600</v>
      </c>
      <c r="AD55" s="18">
        <f t="shared" si="5"/>
        <v>-211413</v>
      </c>
      <c r="AE55" s="23">
        <f t="shared" si="6"/>
        <v>86.670159702347959</v>
      </c>
    </row>
    <row r="56" spans="1:31" ht="15.75">
      <c r="A56" s="917"/>
      <c r="B56" s="39" t="s">
        <v>23</v>
      </c>
      <c r="C56" s="18">
        <v>1250000</v>
      </c>
      <c r="D56" s="18">
        <v>1250000</v>
      </c>
      <c r="E56" s="18">
        <v>1250000</v>
      </c>
      <c r="F56" s="18">
        <v>560000</v>
      </c>
      <c r="G56" s="19">
        <v>560000</v>
      </c>
      <c r="H56" s="20">
        <v>0</v>
      </c>
      <c r="I56" s="20">
        <f t="shared" si="157"/>
        <v>-560000</v>
      </c>
      <c r="J56" s="21">
        <f t="shared" si="166"/>
        <v>0</v>
      </c>
      <c r="K56" s="22">
        <f t="shared" si="158"/>
        <v>-690000</v>
      </c>
      <c r="L56" s="18">
        <f t="shared" si="159"/>
        <v>-690000</v>
      </c>
      <c r="M56" s="921"/>
      <c r="N56" s="39" t="s">
        <v>23</v>
      </c>
      <c r="O56" s="18">
        <v>0</v>
      </c>
      <c r="P56" s="18">
        <v>0</v>
      </c>
      <c r="Q56" s="18">
        <v>0</v>
      </c>
      <c r="R56" s="19">
        <v>0</v>
      </c>
      <c r="S56" s="18">
        <v>0</v>
      </c>
      <c r="T56" s="18">
        <f t="shared" si="160"/>
        <v>0</v>
      </c>
      <c r="U56" s="23" t="e">
        <f t="shared" si="167"/>
        <v>#DIV/0!</v>
      </c>
      <c r="V56" s="18">
        <f t="shared" si="161"/>
        <v>0</v>
      </c>
      <c r="W56" s="921"/>
      <c r="X56" s="39" t="s">
        <v>23</v>
      </c>
      <c r="Y56" s="18">
        <f t="shared" ref="Y56:Z56" si="172">C56-O56</f>
        <v>1250000</v>
      </c>
      <c r="Z56" s="18">
        <f t="shared" si="172"/>
        <v>1250000</v>
      </c>
      <c r="AA56" s="18">
        <f t="shared" ref="AA56:AC56" si="173">F56-Q56</f>
        <v>560000</v>
      </c>
      <c r="AB56" s="18">
        <f t="shared" si="173"/>
        <v>560000</v>
      </c>
      <c r="AC56" s="18">
        <f t="shared" si="173"/>
        <v>0</v>
      </c>
      <c r="AD56" s="18">
        <f t="shared" si="5"/>
        <v>-560000</v>
      </c>
      <c r="AE56" s="23">
        <f t="shared" si="6"/>
        <v>0</v>
      </c>
    </row>
    <row r="57" spans="1:31" ht="15.75">
      <c r="A57" s="918"/>
      <c r="B57" s="25" t="s">
        <v>25</v>
      </c>
      <c r="C57" s="26">
        <f t="shared" ref="C57:I57" si="174">SUM(C52:C56)</f>
        <v>5466490</v>
      </c>
      <c r="D57" s="26">
        <f t="shared" si="174"/>
        <v>4811774</v>
      </c>
      <c r="E57" s="26">
        <f t="shared" si="174"/>
        <v>4420515</v>
      </c>
      <c r="F57" s="26">
        <f t="shared" si="174"/>
        <v>3800500</v>
      </c>
      <c r="G57" s="27">
        <f t="shared" si="174"/>
        <v>3763982</v>
      </c>
      <c r="H57" s="28">
        <f t="shared" si="174"/>
        <v>2786507</v>
      </c>
      <c r="I57" s="28">
        <f t="shared" si="174"/>
        <v>-977475</v>
      </c>
      <c r="J57" s="23">
        <f t="shared" si="166"/>
        <v>74.030826927440145</v>
      </c>
      <c r="K57" s="29">
        <f t="shared" si="158"/>
        <v>-620015</v>
      </c>
      <c r="L57" s="26">
        <f t="shared" si="159"/>
        <v>-1011274</v>
      </c>
      <c r="M57" s="922"/>
      <c r="N57" s="25" t="s">
        <v>25</v>
      </c>
      <c r="O57" s="26">
        <f t="shared" ref="O57:T57" si="175">SUM(O52:O56)</f>
        <v>4216490</v>
      </c>
      <c r="P57" s="26">
        <f t="shared" si="175"/>
        <v>3561774</v>
      </c>
      <c r="Q57" s="26">
        <f t="shared" si="175"/>
        <v>1613987</v>
      </c>
      <c r="R57" s="27">
        <f t="shared" si="175"/>
        <v>1617969</v>
      </c>
      <c r="S57" s="26">
        <f t="shared" si="175"/>
        <v>1411907</v>
      </c>
      <c r="T57" s="26">
        <f t="shared" si="175"/>
        <v>-206062</v>
      </c>
      <c r="U57" s="23">
        <f t="shared" si="167"/>
        <v>87.264156482602573</v>
      </c>
      <c r="V57" s="26">
        <f t="shared" si="161"/>
        <v>-1947787</v>
      </c>
      <c r="W57" s="922"/>
      <c r="X57" s="25" t="s">
        <v>25</v>
      </c>
      <c r="Y57" s="26">
        <f t="shared" ref="Y57:AA57" si="176">SUM(Y52:Y56)</f>
        <v>1250000</v>
      </c>
      <c r="Z57" s="26">
        <f t="shared" si="176"/>
        <v>1250000</v>
      </c>
      <c r="AA57" s="26">
        <f t="shared" si="176"/>
        <v>2186513</v>
      </c>
      <c r="AB57" s="18">
        <f t="shared" ref="AB57:AC57" si="177">G57-R57</f>
        <v>2146013</v>
      </c>
      <c r="AC57" s="18">
        <f t="shared" si="177"/>
        <v>1374600</v>
      </c>
      <c r="AD57" s="18">
        <f t="shared" si="5"/>
        <v>-771413</v>
      </c>
      <c r="AE57" s="23">
        <f t="shared" si="6"/>
        <v>64.053666030914073</v>
      </c>
    </row>
    <row r="58" spans="1:31" ht="15.75">
      <c r="A58" s="30"/>
      <c r="B58" s="31"/>
      <c r="C58" s="32"/>
      <c r="D58" s="32"/>
      <c r="E58" s="32"/>
      <c r="F58" s="32"/>
      <c r="G58" s="32"/>
      <c r="H58" s="40"/>
      <c r="I58" s="34"/>
      <c r="J58" s="35"/>
      <c r="K58" s="36"/>
      <c r="L58" s="32"/>
      <c r="M58" s="37"/>
      <c r="N58" s="31"/>
      <c r="O58" s="32"/>
      <c r="P58" s="32"/>
      <c r="Q58" s="32"/>
      <c r="R58" s="32"/>
      <c r="S58" s="32"/>
      <c r="T58" s="32"/>
      <c r="U58" s="38"/>
      <c r="V58" s="32"/>
      <c r="W58" s="37"/>
      <c r="X58" s="31"/>
      <c r="Y58" s="32"/>
      <c r="Z58" s="32"/>
      <c r="AA58" s="32"/>
      <c r="AB58" s="18">
        <f t="shared" ref="AB58:AC58" si="178">G58-R58</f>
        <v>0</v>
      </c>
      <c r="AC58" s="18">
        <f t="shared" si="178"/>
        <v>0</v>
      </c>
      <c r="AD58" s="18">
        <f t="shared" si="5"/>
        <v>0</v>
      </c>
      <c r="AE58" s="23" t="e">
        <f t="shared" si="6"/>
        <v>#DIV/0!</v>
      </c>
    </row>
    <row r="59" spans="1:31" ht="15.75">
      <c r="A59" s="916" t="s">
        <v>41</v>
      </c>
      <c r="B59" s="39" t="s">
        <v>32</v>
      </c>
      <c r="C59" s="18">
        <v>6700000</v>
      </c>
      <c r="D59" s="18">
        <v>5025000</v>
      </c>
      <c r="E59" s="18">
        <v>7567609</v>
      </c>
      <c r="F59" s="18">
        <v>0</v>
      </c>
      <c r="G59" s="19">
        <v>0</v>
      </c>
      <c r="H59" s="20">
        <v>0</v>
      </c>
      <c r="I59" s="20">
        <f t="shared" ref="I59:I62" si="179">H59-G59</f>
        <v>0</v>
      </c>
      <c r="J59" s="21">
        <v>0</v>
      </c>
      <c r="K59" s="22">
        <f t="shared" ref="K59:K63" si="180">F59-E59</f>
        <v>-7567609</v>
      </c>
      <c r="L59" s="18">
        <f t="shared" ref="L59:L63" si="181">F59-D59</f>
        <v>-5025000</v>
      </c>
      <c r="M59" s="920" t="s">
        <v>41</v>
      </c>
      <c r="N59" s="39" t="s">
        <v>32</v>
      </c>
      <c r="O59" s="18">
        <v>6700000</v>
      </c>
      <c r="P59" s="18">
        <v>5025000</v>
      </c>
      <c r="Q59" s="18">
        <v>0</v>
      </c>
      <c r="R59" s="19">
        <v>0</v>
      </c>
      <c r="S59" s="18">
        <v>0</v>
      </c>
      <c r="T59" s="18">
        <f t="shared" ref="T59:T62" si="182">S59-R59</f>
        <v>0</v>
      </c>
      <c r="U59" s="23">
        <v>0</v>
      </c>
      <c r="V59" s="18">
        <f t="shared" ref="V59:V63" si="183">Q59-P59</f>
        <v>-5025000</v>
      </c>
      <c r="W59" s="920" t="s">
        <v>41</v>
      </c>
      <c r="X59" s="39" t="s">
        <v>32</v>
      </c>
      <c r="Y59" s="18">
        <f t="shared" ref="Y59:Z59" si="184">C59-O59</f>
        <v>0</v>
      </c>
      <c r="Z59" s="18">
        <f t="shared" si="184"/>
        <v>0</v>
      </c>
      <c r="AA59" s="18">
        <f t="shared" ref="AA59:AC59" si="185">F59-Q59</f>
        <v>0</v>
      </c>
      <c r="AB59" s="18">
        <f t="shared" si="185"/>
        <v>0</v>
      </c>
      <c r="AC59" s="18">
        <f t="shared" si="185"/>
        <v>0</v>
      </c>
      <c r="AD59" s="18">
        <f t="shared" si="5"/>
        <v>0</v>
      </c>
      <c r="AE59" s="23" t="e">
        <f t="shared" si="6"/>
        <v>#DIV/0!</v>
      </c>
    </row>
    <row r="60" spans="1:31" ht="15.75">
      <c r="A60" s="917"/>
      <c r="B60" s="39" t="s">
        <v>33</v>
      </c>
      <c r="C60" s="18">
        <v>0</v>
      </c>
      <c r="D60" s="18">
        <v>0</v>
      </c>
      <c r="E60" s="18">
        <v>116</v>
      </c>
      <c r="F60" s="18">
        <v>116</v>
      </c>
      <c r="G60" s="19">
        <v>116</v>
      </c>
      <c r="H60" s="20">
        <v>0</v>
      </c>
      <c r="I60" s="20">
        <f t="shared" si="179"/>
        <v>-116</v>
      </c>
      <c r="J60" s="21">
        <f>H60/G60*100</f>
        <v>0</v>
      </c>
      <c r="K60" s="22">
        <f t="shared" si="180"/>
        <v>0</v>
      </c>
      <c r="L60" s="18">
        <f t="shared" si="181"/>
        <v>116</v>
      </c>
      <c r="M60" s="921"/>
      <c r="N60" s="39" t="s">
        <v>33</v>
      </c>
      <c r="O60" s="18">
        <v>0</v>
      </c>
      <c r="P60" s="18">
        <v>0</v>
      </c>
      <c r="Q60" s="18">
        <v>0</v>
      </c>
      <c r="R60" s="19">
        <v>0</v>
      </c>
      <c r="S60" s="18">
        <v>0</v>
      </c>
      <c r="T60" s="18">
        <f t="shared" si="182"/>
        <v>0</v>
      </c>
      <c r="U60" s="23" t="e">
        <f>S60/R60*100</f>
        <v>#DIV/0!</v>
      </c>
      <c r="V60" s="18">
        <f t="shared" si="183"/>
        <v>0</v>
      </c>
      <c r="W60" s="921"/>
      <c r="X60" s="39" t="s">
        <v>33</v>
      </c>
      <c r="Y60" s="18">
        <f t="shared" ref="Y60:Z60" si="186">C60-O60</f>
        <v>0</v>
      </c>
      <c r="Z60" s="18">
        <f t="shared" si="186"/>
        <v>0</v>
      </c>
      <c r="AA60" s="18">
        <f t="shared" ref="AA60:AC60" si="187">F60-Q60</f>
        <v>116</v>
      </c>
      <c r="AB60" s="18">
        <f t="shared" si="187"/>
        <v>116</v>
      </c>
      <c r="AC60" s="18">
        <f t="shared" si="187"/>
        <v>0</v>
      </c>
      <c r="AD60" s="18">
        <f t="shared" si="5"/>
        <v>-116</v>
      </c>
      <c r="AE60" s="23">
        <f t="shared" si="6"/>
        <v>0</v>
      </c>
    </row>
    <row r="61" spans="1:31" ht="15.75">
      <c r="A61" s="917"/>
      <c r="B61" s="17" t="s">
        <v>28</v>
      </c>
      <c r="C61" s="18">
        <v>0</v>
      </c>
      <c r="D61" s="18">
        <v>0</v>
      </c>
      <c r="E61" s="18">
        <v>0</v>
      </c>
      <c r="F61" s="18">
        <v>0</v>
      </c>
      <c r="G61" s="19">
        <v>0</v>
      </c>
      <c r="H61" s="20">
        <v>0</v>
      </c>
      <c r="I61" s="20">
        <f t="shared" si="179"/>
        <v>0</v>
      </c>
      <c r="J61" s="21">
        <v>0</v>
      </c>
      <c r="K61" s="22">
        <f t="shared" si="180"/>
        <v>0</v>
      </c>
      <c r="L61" s="18">
        <f t="shared" si="181"/>
        <v>0</v>
      </c>
      <c r="M61" s="921"/>
      <c r="N61" s="17" t="s">
        <v>28</v>
      </c>
      <c r="O61" s="18">
        <v>0</v>
      </c>
      <c r="P61" s="18">
        <v>0</v>
      </c>
      <c r="Q61" s="18">
        <v>0</v>
      </c>
      <c r="R61" s="19">
        <v>0</v>
      </c>
      <c r="S61" s="18">
        <v>0</v>
      </c>
      <c r="T61" s="18">
        <f t="shared" si="182"/>
        <v>0</v>
      </c>
      <c r="U61" s="23">
        <v>0</v>
      </c>
      <c r="V61" s="18">
        <f t="shared" si="183"/>
        <v>0</v>
      </c>
      <c r="W61" s="921"/>
      <c r="X61" s="17" t="s">
        <v>28</v>
      </c>
      <c r="Y61" s="18">
        <f t="shared" ref="Y61:Z61" si="188">C61-O61</f>
        <v>0</v>
      </c>
      <c r="Z61" s="18">
        <f t="shared" si="188"/>
        <v>0</v>
      </c>
      <c r="AA61" s="18">
        <f t="shared" ref="AA61:AC61" si="189">F61-Q61</f>
        <v>0</v>
      </c>
      <c r="AB61" s="18">
        <f t="shared" si="189"/>
        <v>0</v>
      </c>
      <c r="AC61" s="18">
        <f t="shared" si="189"/>
        <v>0</v>
      </c>
      <c r="AD61" s="18">
        <f t="shared" si="5"/>
        <v>0</v>
      </c>
      <c r="AE61" s="23" t="e">
        <f t="shared" si="6"/>
        <v>#DIV/0!</v>
      </c>
    </row>
    <row r="62" spans="1:31" ht="15.75">
      <c r="A62" s="917"/>
      <c r="B62" s="17" t="s">
        <v>24</v>
      </c>
      <c r="C62" s="18">
        <v>0</v>
      </c>
      <c r="D62" s="18"/>
      <c r="E62" s="18"/>
      <c r="F62" s="18">
        <v>6700000</v>
      </c>
      <c r="G62" s="19">
        <v>7700000</v>
      </c>
      <c r="H62" s="20">
        <v>8067186</v>
      </c>
      <c r="I62" s="20">
        <f t="shared" si="179"/>
        <v>367186</v>
      </c>
      <c r="J62" s="21">
        <f t="shared" ref="J62:J63" si="190">H62/G62*100</f>
        <v>104.76864935064935</v>
      </c>
      <c r="K62" s="22">
        <f t="shared" si="180"/>
        <v>6700000</v>
      </c>
      <c r="L62" s="18">
        <f t="shared" si="181"/>
        <v>6700000</v>
      </c>
      <c r="M62" s="921"/>
      <c r="N62" s="17" t="s">
        <v>24</v>
      </c>
      <c r="O62" s="18">
        <v>0</v>
      </c>
      <c r="P62" s="18">
        <v>0</v>
      </c>
      <c r="Q62" s="18">
        <v>0</v>
      </c>
      <c r="R62" s="19">
        <v>0</v>
      </c>
      <c r="S62" s="18">
        <v>0</v>
      </c>
      <c r="T62" s="18">
        <f t="shared" si="182"/>
        <v>0</v>
      </c>
      <c r="U62" s="23" t="e">
        <f t="shared" ref="U62:U63" si="191">S62/R62*100</f>
        <v>#DIV/0!</v>
      </c>
      <c r="V62" s="18">
        <f t="shared" si="183"/>
        <v>0</v>
      </c>
      <c r="W62" s="921"/>
      <c r="X62" s="17" t="s">
        <v>24</v>
      </c>
      <c r="Y62" s="18">
        <f t="shared" ref="Y62:Z62" si="192">C62-O62</f>
        <v>0</v>
      </c>
      <c r="Z62" s="18">
        <f t="shared" si="192"/>
        <v>0</v>
      </c>
      <c r="AA62" s="18">
        <f t="shared" ref="AA62:AC62" si="193">F62-Q62</f>
        <v>6700000</v>
      </c>
      <c r="AB62" s="18">
        <f t="shared" si="193"/>
        <v>7700000</v>
      </c>
      <c r="AC62" s="18">
        <f t="shared" si="193"/>
        <v>8067186</v>
      </c>
      <c r="AD62" s="18">
        <f t="shared" si="5"/>
        <v>367186</v>
      </c>
      <c r="AE62" s="23">
        <f t="shared" si="6"/>
        <v>104.76864935064935</v>
      </c>
    </row>
    <row r="63" spans="1:31" ht="15.75">
      <c r="A63" s="923"/>
      <c r="B63" s="41" t="s">
        <v>25</v>
      </c>
      <c r="C63" s="42">
        <f t="shared" ref="C63:I63" si="194">SUM(C59:C62)</f>
        <v>6700000</v>
      </c>
      <c r="D63" s="42">
        <f t="shared" si="194"/>
        <v>5025000</v>
      </c>
      <c r="E63" s="42">
        <f t="shared" si="194"/>
        <v>7567725</v>
      </c>
      <c r="F63" s="42">
        <f t="shared" si="194"/>
        <v>6700116</v>
      </c>
      <c r="G63" s="43">
        <f t="shared" si="194"/>
        <v>7700116</v>
      </c>
      <c r="H63" s="44">
        <f t="shared" si="194"/>
        <v>8067186</v>
      </c>
      <c r="I63" s="44">
        <f t="shared" si="194"/>
        <v>367070</v>
      </c>
      <c r="J63" s="23">
        <f t="shared" si="190"/>
        <v>104.76707104152716</v>
      </c>
      <c r="K63" s="29">
        <f t="shared" si="180"/>
        <v>-867609</v>
      </c>
      <c r="L63" s="26">
        <f t="shared" si="181"/>
        <v>1675116</v>
      </c>
      <c r="M63" s="922"/>
      <c r="N63" s="25" t="s">
        <v>25</v>
      </c>
      <c r="O63" s="26">
        <f t="shared" ref="O63:T63" si="195">SUM(O59:O62)</f>
        <v>6700000</v>
      </c>
      <c r="P63" s="26">
        <f t="shared" si="195"/>
        <v>5025000</v>
      </c>
      <c r="Q63" s="26">
        <f t="shared" si="195"/>
        <v>0</v>
      </c>
      <c r="R63" s="43">
        <f t="shared" si="195"/>
        <v>0</v>
      </c>
      <c r="S63" s="26">
        <f t="shared" si="195"/>
        <v>0</v>
      </c>
      <c r="T63" s="26">
        <f t="shared" si="195"/>
        <v>0</v>
      </c>
      <c r="U63" s="23" t="e">
        <f t="shared" si="191"/>
        <v>#DIV/0!</v>
      </c>
      <c r="V63" s="26">
        <f t="shared" si="183"/>
        <v>-5025000</v>
      </c>
      <c r="W63" s="922"/>
      <c r="X63" s="25" t="s">
        <v>25</v>
      </c>
      <c r="Y63" s="26">
        <f t="shared" ref="Y63:AA63" si="196">SUM(Y59:Y62)</f>
        <v>0</v>
      </c>
      <c r="Z63" s="26">
        <f t="shared" si="196"/>
        <v>0</v>
      </c>
      <c r="AA63" s="26">
        <f t="shared" si="196"/>
        <v>6700116</v>
      </c>
      <c r="AB63" s="18">
        <f t="shared" ref="AB63:AC63" si="197">G63-R63</f>
        <v>7700116</v>
      </c>
      <c r="AC63" s="18">
        <f t="shared" si="197"/>
        <v>8067186</v>
      </c>
      <c r="AD63" s="18">
        <f t="shared" si="5"/>
        <v>367070</v>
      </c>
      <c r="AE63" s="23">
        <f t="shared" si="6"/>
        <v>104.76707104152716</v>
      </c>
    </row>
    <row r="64" spans="1:31" ht="15.75">
      <c r="A64" s="37"/>
      <c r="B64" s="31"/>
      <c r="C64" s="45"/>
      <c r="D64" s="45"/>
      <c r="E64" s="45"/>
      <c r="F64" s="45"/>
      <c r="G64" s="45"/>
      <c r="H64" s="34"/>
      <c r="I64" s="46"/>
      <c r="J64" s="47"/>
      <c r="K64" s="32"/>
      <c r="L64" s="32"/>
      <c r="M64" s="37"/>
      <c r="N64" s="31"/>
      <c r="O64" s="32"/>
      <c r="P64" s="32"/>
      <c r="Q64" s="32"/>
      <c r="R64" s="45"/>
      <c r="S64" s="32"/>
      <c r="T64" s="32"/>
      <c r="U64" s="48"/>
      <c r="V64" s="32"/>
      <c r="W64" s="37"/>
      <c r="X64" s="31"/>
      <c r="Y64" s="32"/>
      <c r="Z64" s="32"/>
      <c r="AA64" s="32"/>
      <c r="AB64" s="18">
        <f t="shared" ref="AB64:AC64" si="198">G64-R64</f>
        <v>0</v>
      </c>
      <c r="AC64" s="18">
        <f t="shared" si="198"/>
        <v>0</v>
      </c>
      <c r="AD64" s="18">
        <f t="shared" si="5"/>
        <v>0</v>
      </c>
      <c r="AE64" s="23" t="e">
        <f t="shared" si="6"/>
        <v>#DIV/0!</v>
      </c>
    </row>
    <row r="65" spans="1:31" ht="15.75">
      <c r="A65" s="920" t="s">
        <v>42</v>
      </c>
      <c r="B65" s="17" t="s">
        <v>21</v>
      </c>
      <c r="C65" s="18">
        <v>10000</v>
      </c>
      <c r="D65" s="18">
        <v>10000</v>
      </c>
      <c r="E65" s="18">
        <v>7500</v>
      </c>
      <c r="F65" s="18">
        <v>0</v>
      </c>
      <c r="G65" s="19">
        <v>0</v>
      </c>
      <c r="H65" s="20">
        <v>0</v>
      </c>
      <c r="I65" s="20">
        <f t="shared" ref="I65:I69" si="199">H65-G65</f>
        <v>0</v>
      </c>
      <c r="J65" s="21">
        <v>0</v>
      </c>
      <c r="K65" s="18">
        <f t="shared" ref="K65:K70" si="200">F65-E65</f>
        <v>-7500</v>
      </c>
      <c r="L65" s="18">
        <f t="shared" ref="L65:L70" si="201">F65-D65</f>
        <v>-10000</v>
      </c>
      <c r="M65" s="920" t="s">
        <v>42</v>
      </c>
      <c r="N65" s="17" t="s">
        <v>21</v>
      </c>
      <c r="O65" s="18">
        <v>10000</v>
      </c>
      <c r="P65" s="18">
        <v>10000</v>
      </c>
      <c r="Q65" s="18">
        <v>0</v>
      </c>
      <c r="R65" s="19">
        <v>0</v>
      </c>
      <c r="S65" s="18">
        <v>0</v>
      </c>
      <c r="T65" s="18">
        <f t="shared" ref="T65:T69" si="202">S65-R65</f>
        <v>0</v>
      </c>
      <c r="U65" s="23">
        <v>0</v>
      </c>
      <c r="V65" s="18">
        <f t="shared" ref="V65:V70" si="203">Q65-P65</f>
        <v>-10000</v>
      </c>
      <c r="W65" s="920" t="s">
        <v>42</v>
      </c>
      <c r="X65" s="17" t="s">
        <v>21</v>
      </c>
      <c r="Y65" s="18">
        <f t="shared" ref="Y65:Z65" si="204">C65-O65</f>
        <v>0</v>
      </c>
      <c r="Z65" s="18">
        <f t="shared" si="204"/>
        <v>0</v>
      </c>
      <c r="AA65" s="18">
        <f t="shared" ref="AA65:AC65" si="205">F65-Q65</f>
        <v>0</v>
      </c>
      <c r="AB65" s="18">
        <f t="shared" si="205"/>
        <v>0</v>
      </c>
      <c r="AC65" s="18">
        <f t="shared" si="205"/>
        <v>0</v>
      </c>
      <c r="AD65" s="18">
        <f t="shared" si="5"/>
        <v>0</v>
      </c>
      <c r="AE65" s="23" t="e">
        <f t="shared" si="6"/>
        <v>#DIV/0!</v>
      </c>
    </row>
    <row r="66" spans="1:31" ht="15.75">
      <c r="A66" s="921"/>
      <c r="B66" s="17" t="s">
        <v>28</v>
      </c>
      <c r="C66" s="18">
        <v>5000</v>
      </c>
      <c r="D66" s="18">
        <v>2500</v>
      </c>
      <c r="E66" s="18">
        <v>116277</v>
      </c>
      <c r="F66" s="18">
        <v>2000</v>
      </c>
      <c r="G66" s="19">
        <v>11531</v>
      </c>
      <c r="H66" s="20">
        <v>702</v>
      </c>
      <c r="I66" s="20">
        <f t="shared" si="199"/>
        <v>-10829</v>
      </c>
      <c r="J66" s="21">
        <f>H66/G66*100</f>
        <v>6.0879368658399091</v>
      </c>
      <c r="K66" s="18">
        <f t="shared" si="200"/>
        <v>-114277</v>
      </c>
      <c r="L66" s="18">
        <f t="shared" si="201"/>
        <v>-500</v>
      </c>
      <c r="M66" s="921"/>
      <c r="N66" s="17" t="s">
        <v>28</v>
      </c>
      <c r="O66" s="18">
        <v>5000</v>
      </c>
      <c r="P66" s="18">
        <v>2500</v>
      </c>
      <c r="Q66" s="18">
        <v>0</v>
      </c>
      <c r="R66" s="19">
        <v>0</v>
      </c>
      <c r="S66" s="18">
        <v>0</v>
      </c>
      <c r="T66" s="18">
        <f t="shared" si="202"/>
        <v>0</v>
      </c>
      <c r="U66" s="23" t="e">
        <f>S66/R66*100</f>
        <v>#DIV/0!</v>
      </c>
      <c r="V66" s="18">
        <f t="shared" si="203"/>
        <v>-2500</v>
      </c>
      <c r="W66" s="921"/>
      <c r="X66" s="17" t="s">
        <v>28</v>
      </c>
      <c r="Y66" s="18">
        <f t="shared" ref="Y66:Z66" si="206">C66-O66</f>
        <v>0</v>
      </c>
      <c r="Z66" s="18">
        <f t="shared" si="206"/>
        <v>0</v>
      </c>
      <c r="AA66" s="18">
        <f t="shared" ref="AA66:AC66" si="207">F66-Q66</f>
        <v>2000</v>
      </c>
      <c r="AB66" s="18">
        <f t="shared" si="207"/>
        <v>11531</v>
      </c>
      <c r="AC66" s="18">
        <f t="shared" si="207"/>
        <v>702</v>
      </c>
      <c r="AD66" s="18">
        <f t="shared" si="5"/>
        <v>-10829</v>
      </c>
      <c r="AE66" s="23">
        <f t="shared" si="6"/>
        <v>6.0879368658399091</v>
      </c>
    </row>
    <row r="67" spans="1:31" ht="15.75">
      <c r="A67" s="921"/>
      <c r="B67" s="39" t="s">
        <v>32</v>
      </c>
      <c r="C67" s="18">
        <v>235000</v>
      </c>
      <c r="D67" s="18">
        <v>176250</v>
      </c>
      <c r="E67" s="18">
        <v>439417</v>
      </c>
      <c r="F67" s="18">
        <v>0</v>
      </c>
      <c r="G67" s="19">
        <v>0</v>
      </c>
      <c r="H67" s="20">
        <v>0</v>
      </c>
      <c r="I67" s="20">
        <f t="shared" si="199"/>
        <v>0</v>
      </c>
      <c r="J67" s="21">
        <v>0</v>
      </c>
      <c r="K67" s="18">
        <f t="shared" si="200"/>
        <v>-439417</v>
      </c>
      <c r="L67" s="18">
        <f t="shared" si="201"/>
        <v>-176250</v>
      </c>
      <c r="M67" s="921"/>
      <c r="N67" s="39" t="s">
        <v>32</v>
      </c>
      <c r="O67" s="18">
        <v>235000</v>
      </c>
      <c r="P67" s="18">
        <v>176250</v>
      </c>
      <c r="Q67" s="18">
        <v>0</v>
      </c>
      <c r="R67" s="19">
        <v>0</v>
      </c>
      <c r="S67" s="18">
        <v>0</v>
      </c>
      <c r="T67" s="18">
        <f t="shared" si="202"/>
        <v>0</v>
      </c>
      <c r="U67" s="23">
        <v>0</v>
      </c>
      <c r="V67" s="18">
        <f t="shared" si="203"/>
        <v>-176250</v>
      </c>
      <c r="W67" s="921"/>
      <c r="X67" s="39" t="s">
        <v>32</v>
      </c>
      <c r="Y67" s="18">
        <f t="shared" ref="Y67:Z67" si="208">C67-O67</f>
        <v>0</v>
      </c>
      <c r="Z67" s="18">
        <f t="shared" si="208"/>
        <v>0</v>
      </c>
      <c r="AA67" s="18">
        <f t="shared" ref="AA67:AC67" si="209">F67-Q67</f>
        <v>0</v>
      </c>
      <c r="AB67" s="18">
        <f t="shared" si="209"/>
        <v>0</v>
      </c>
      <c r="AC67" s="18">
        <f t="shared" si="209"/>
        <v>0</v>
      </c>
      <c r="AD67" s="18">
        <f t="shared" si="5"/>
        <v>0</v>
      </c>
      <c r="AE67" s="23" t="e">
        <f t="shared" si="6"/>
        <v>#DIV/0!</v>
      </c>
    </row>
    <row r="68" spans="1:31" ht="15.75">
      <c r="A68" s="921"/>
      <c r="B68" s="39" t="s">
        <v>31</v>
      </c>
      <c r="C68" s="18">
        <v>0</v>
      </c>
      <c r="D68" s="18">
        <v>0</v>
      </c>
      <c r="E68" s="18">
        <v>0</v>
      </c>
      <c r="F68" s="18">
        <v>0</v>
      </c>
      <c r="G68" s="19">
        <v>0</v>
      </c>
      <c r="H68" s="20">
        <v>0</v>
      </c>
      <c r="I68" s="20">
        <f t="shared" si="199"/>
        <v>0</v>
      </c>
      <c r="J68" s="21">
        <v>0</v>
      </c>
      <c r="K68" s="18">
        <f t="shared" si="200"/>
        <v>0</v>
      </c>
      <c r="L68" s="18">
        <f t="shared" si="201"/>
        <v>0</v>
      </c>
      <c r="M68" s="921"/>
      <c r="N68" s="39" t="s">
        <v>31</v>
      </c>
      <c r="O68" s="18">
        <v>0</v>
      </c>
      <c r="P68" s="18">
        <v>0</v>
      </c>
      <c r="Q68" s="18">
        <v>0</v>
      </c>
      <c r="R68" s="19">
        <v>0</v>
      </c>
      <c r="S68" s="18">
        <v>0</v>
      </c>
      <c r="T68" s="18">
        <f t="shared" si="202"/>
        <v>0</v>
      </c>
      <c r="U68" s="23">
        <v>0</v>
      </c>
      <c r="V68" s="18">
        <f t="shared" si="203"/>
        <v>0</v>
      </c>
      <c r="W68" s="921"/>
      <c r="X68" s="39" t="s">
        <v>31</v>
      </c>
      <c r="Y68" s="18">
        <f t="shared" ref="Y68:Z68" si="210">C68-O68</f>
        <v>0</v>
      </c>
      <c r="Z68" s="18">
        <f t="shared" si="210"/>
        <v>0</v>
      </c>
      <c r="AA68" s="18">
        <f t="shared" ref="AA68:AC68" si="211">F68-Q68</f>
        <v>0</v>
      </c>
      <c r="AB68" s="18">
        <f t="shared" si="211"/>
        <v>0</v>
      </c>
      <c r="AC68" s="18">
        <f t="shared" si="211"/>
        <v>0</v>
      </c>
      <c r="AD68" s="18">
        <f t="shared" si="5"/>
        <v>0</v>
      </c>
      <c r="AE68" s="23" t="e">
        <f t="shared" si="6"/>
        <v>#DIV/0!</v>
      </c>
    </row>
    <row r="69" spans="1:31" ht="15.75">
      <c r="A69" s="921"/>
      <c r="B69" s="17" t="s">
        <v>24</v>
      </c>
      <c r="C69" s="18">
        <v>0</v>
      </c>
      <c r="D69" s="18"/>
      <c r="E69" s="18"/>
      <c r="F69" s="18">
        <v>307500</v>
      </c>
      <c r="G69" s="19">
        <v>330000</v>
      </c>
      <c r="H69" s="20">
        <v>248659</v>
      </c>
      <c r="I69" s="20">
        <f t="shared" si="199"/>
        <v>-81341</v>
      </c>
      <c r="J69" s="21">
        <f t="shared" ref="J69:J70" si="212">H69/G69*100</f>
        <v>75.351212121212114</v>
      </c>
      <c r="K69" s="18">
        <f t="shared" si="200"/>
        <v>307500</v>
      </c>
      <c r="L69" s="18">
        <f t="shared" si="201"/>
        <v>307500</v>
      </c>
      <c r="M69" s="921"/>
      <c r="N69" s="17" t="s">
        <v>24</v>
      </c>
      <c r="O69" s="18">
        <v>0</v>
      </c>
      <c r="P69" s="18">
        <v>0</v>
      </c>
      <c r="Q69" s="18">
        <v>0</v>
      </c>
      <c r="R69" s="19">
        <v>0</v>
      </c>
      <c r="S69" s="18">
        <v>0</v>
      </c>
      <c r="T69" s="18">
        <f t="shared" si="202"/>
        <v>0</v>
      </c>
      <c r="U69" s="23" t="e">
        <f t="shared" ref="U69:U70" si="213">S69/R69*100</f>
        <v>#DIV/0!</v>
      </c>
      <c r="V69" s="18">
        <f t="shared" si="203"/>
        <v>0</v>
      </c>
      <c r="W69" s="921"/>
      <c r="X69" s="17" t="s">
        <v>24</v>
      </c>
      <c r="Y69" s="18">
        <f t="shared" ref="Y69:Z69" si="214">C69-O69</f>
        <v>0</v>
      </c>
      <c r="Z69" s="18">
        <f t="shared" si="214"/>
        <v>0</v>
      </c>
      <c r="AA69" s="18">
        <f t="shared" ref="AA69:AC69" si="215">F69-Q69</f>
        <v>307500</v>
      </c>
      <c r="AB69" s="18">
        <f t="shared" si="215"/>
        <v>330000</v>
      </c>
      <c r="AC69" s="18">
        <f t="shared" si="215"/>
        <v>248659</v>
      </c>
      <c r="AD69" s="18">
        <f t="shared" si="5"/>
        <v>-81341</v>
      </c>
      <c r="AE69" s="23">
        <f t="shared" si="6"/>
        <v>75.351212121212114</v>
      </c>
    </row>
    <row r="70" spans="1:31" ht="15.75">
      <c r="A70" s="922"/>
      <c r="B70" s="25" t="s">
        <v>25</v>
      </c>
      <c r="C70" s="26">
        <f t="shared" ref="C70:I70" si="216">SUM(C65:C69)</f>
        <v>250000</v>
      </c>
      <c r="D70" s="26">
        <f t="shared" si="216"/>
        <v>188750</v>
      </c>
      <c r="E70" s="26">
        <f t="shared" si="216"/>
        <v>563194</v>
      </c>
      <c r="F70" s="26">
        <f t="shared" si="216"/>
        <v>309500</v>
      </c>
      <c r="G70" s="27">
        <f t="shared" si="216"/>
        <v>341531</v>
      </c>
      <c r="H70" s="28">
        <f t="shared" si="216"/>
        <v>249361</v>
      </c>
      <c r="I70" s="28">
        <f t="shared" si="216"/>
        <v>-92170</v>
      </c>
      <c r="J70" s="23">
        <f t="shared" si="212"/>
        <v>73.012698700849995</v>
      </c>
      <c r="K70" s="26">
        <f t="shared" si="200"/>
        <v>-253694</v>
      </c>
      <c r="L70" s="26">
        <f t="shared" si="201"/>
        <v>120750</v>
      </c>
      <c r="M70" s="922"/>
      <c r="N70" s="25" t="s">
        <v>25</v>
      </c>
      <c r="O70" s="26">
        <f t="shared" ref="O70:T70" si="217">SUM(O65:O69)</f>
        <v>250000</v>
      </c>
      <c r="P70" s="26">
        <f t="shared" si="217"/>
        <v>188750</v>
      </c>
      <c r="Q70" s="26">
        <f t="shared" si="217"/>
        <v>0</v>
      </c>
      <c r="R70" s="27">
        <f t="shared" si="217"/>
        <v>0</v>
      </c>
      <c r="S70" s="26">
        <f t="shared" si="217"/>
        <v>0</v>
      </c>
      <c r="T70" s="26">
        <f t="shared" si="217"/>
        <v>0</v>
      </c>
      <c r="U70" s="23" t="e">
        <f t="shared" si="213"/>
        <v>#DIV/0!</v>
      </c>
      <c r="V70" s="26">
        <f t="shared" si="203"/>
        <v>-188750</v>
      </c>
      <c r="W70" s="922"/>
      <c r="X70" s="25" t="s">
        <v>25</v>
      </c>
      <c r="Y70" s="26">
        <f t="shared" ref="Y70:AA70" si="218">SUM(Y65:Y69)</f>
        <v>0</v>
      </c>
      <c r="Z70" s="26">
        <f t="shared" si="218"/>
        <v>0</v>
      </c>
      <c r="AA70" s="26">
        <f t="shared" si="218"/>
        <v>309500</v>
      </c>
      <c r="AB70" s="18">
        <f t="shared" ref="AB70:AC70" si="219">G70-R70</f>
        <v>341531</v>
      </c>
      <c r="AC70" s="18">
        <f t="shared" si="219"/>
        <v>249361</v>
      </c>
      <c r="AD70" s="18">
        <f t="shared" si="5"/>
        <v>-92170</v>
      </c>
      <c r="AE70" s="23">
        <f t="shared" si="6"/>
        <v>73.012698700849995</v>
      </c>
    </row>
    <row r="71" spans="1:31" ht="15.75">
      <c r="A71" s="37"/>
      <c r="B71" s="31"/>
      <c r="C71" s="32"/>
      <c r="D71" s="32"/>
      <c r="E71" s="32"/>
      <c r="F71" s="32"/>
      <c r="G71" s="32"/>
      <c r="H71" s="34"/>
      <c r="I71" s="34"/>
      <c r="J71" s="49"/>
      <c r="K71" s="32"/>
      <c r="L71" s="32"/>
      <c r="M71" s="37"/>
      <c r="N71" s="31"/>
      <c r="O71" s="32"/>
      <c r="P71" s="32"/>
      <c r="Q71" s="32"/>
      <c r="R71" s="32"/>
      <c r="S71" s="32"/>
      <c r="T71" s="32"/>
      <c r="U71" s="50"/>
      <c r="V71" s="32"/>
      <c r="W71" s="37"/>
      <c r="X71" s="31"/>
      <c r="Y71" s="32"/>
      <c r="Z71" s="32"/>
      <c r="AA71" s="32"/>
      <c r="AB71" s="18">
        <f t="shared" ref="AB71:AC71" si="220">G71-R71</f>
        <v>0</v>
      </c>
      <c r="AC71" s="18">
        <f t="shared" si="220"/>
        <v>0</v>
      </c>
      <c r="AD71" s="18">
        <f t="shared" si="5"/>
        <v>0</v>
      </c>
      <c r="AE71" s="23" t="e">
        <f t="shared" si="6"/>
        <v>#DIV/0!</v>
      </c>
    </row>
    <row r="72" spans="1:31" ht="15.75">
      <c r="A72" s="920" t="s">
        <v>43</v>
      </c>
      <c r="B72" s="17" t="s">
        <v>21</v>
      </c>
      <c r="C72" s="18">
        <v>371598</v>
      </c>
      <c r="D72" s="18">
        <v>371598</v>
      </c>
      <c r="E72" s="18">
        <v>750056</v>
      </c>
      <c r="F72" s="18">
        <v>0</v>
      </c>
      <c r="G72" s="19">
        <v>0</v>
      </c>
      <c r="H72" s="20">
        <v>0</v>
      </c>
      <c r="I72" s="20">
        <f t="shared" ref="I72:I76" si="221">H72-G72</f>
        <v>0</v>
      </c>
      <c r="J72" s="21">
        <v>0</v>
      </c>
      <c r="K72" s="18">
        <f t="shared" ref="K72:K77" si="222">F72-E72</f>
        <v>-750056</v>
      </c>
      <c r="L72" s="18">
        <f t="shared" ref="L72:L77" si="223">F72-D72</f>
        <v>-371598</v>
      </c>
      <c r="M72" s="920" t="s">
        <v>43</v>
      </c>
      <c r="N72" s="17" t="s">
        <v>21</v>
      </c>
      <c r="O72" s="18">
        <v>371598</v>
      </c>
      <c r="P72" s="18">
        <v>371598</v>
      </c>
      <c r="Q72" s="18">
        <v>0</v>
      </c>
      <c r="R72" s="19">
        <v>0</v>
      </c>
      <c r="S72" s="18">
        <v>0</v>
      </c>
      <c r="T72" s="18">
        <f t="shared" ref="T72:T76" si="224">S72-R72</f>
        <v>0</v>
      </c>
      <c r="U72" s="23">
        <v>0</v>
      </c>
      <c r="V72" s="18">
        <f t="shared" ref="V72:V77" si="225">Q72-P72</f>
        <v>-371598</v>
      </c>
      <c r="W72" s="920" t="s">
        <v>43</v>
      </c>
      <c r="X72" s="17" t="s">
        <v>21</v>
      </c>
      <c r="Y72" s="18">
        <f t="shared" ref="Y72:Z72" si="226">C72-O72</f>
        <v>0</v>
      </c>
      <c r="Z72" s="18">
        <f t="shared" si="226"/>
        <v>0</v>
      </c>
      <c r="AA72" s="18">
        <f t="shared" ref="AA72:AC72" si="227">F72-Q72</f>
        <v>0</v>
      </c>
      <c r="AB72" s="18">
        <f t="shared" si="227"/>
        <v>0</v>
      </c>
      <c r="AC72" s="18">
        <f t="shared" si="227"/>
        <v>0</v>
      </c>
      <c r="AD72" s="18">
        <f t="shared" si="5"/>
        <v>0</v>
      </c>
      <c r="AE72" s="23" t="e">
        <f t="shared" si="6"/>
        <v>#DIV/0!</v>
      </c>
    </row>
    <row r="73" spans="1:31" ht="15.75">
      <c r="A73" s="921"/>
      <c r="B73" s="17" t="s">
        <v>28</v>
      </c>
      <c r="C73" s="18">
        <v>0</v>
      </c>
      <c r="D73" s="18">
        <v>0</v>
      </c>
      <c r="E73" s="18">
        <v>0</v>
      </c>
      <c r="F73" s="18">
        <v>0</v>
      </c>
      <c r="G73" s="19">
        <v>0</v>
      </c>
      <c r="H73" s="20">
        <v>0</v>
      </c>
      <c r="I73" s="20">
        <f t="shared" si="221"/>
        <v>0</v>
      </c>
      <c r="J73" s="21">
        <v>0</v>
      </c>
      <c r="K73" s="18">
        <f t="shared" si="222"/>
        <v>0</v>
      </c>
      <c r="L73" s="18">
        <f t="shared" si="223"/>
        <v>0</v>
      </c>
      <c r="M73" s="921"/>
      <c r="N73" s="17" t="s">
        <v>28</v>
      </c>
      <c r="O73" s="18">
        <v>0</v>
      </c>
      <c r="P73" s="18">
        <v>0</v>
      </c>
      <c r="Q73" s="18">
        <v>0</v>
      </c>
      <c r="R73" s="19">
        <v>0</v>
      </c>
      <c r="S73" s="18">
        <v>0</v>
      </c>
      <c r="T73" s="18">
        <f t="shared" si="224"/>
        <v>0</v>
      </c>
      <c r="U73" s="23">
        <v>0</v>
      </c>
      <c r="V73" s="18">
        <f t="shared" si="225"/>
        <v>0</v>
      </c>
      <c r="W73" s="921"/>
      <c r="X73" s="17" t="s">
        <v>28</v>
      </c>
      <c r="Y73" s="18">
        <f t="shared" ref="Y73:Z73" si="228">C73-O73</f>
        <v>0</v>
      </c>
      <c r="Z73" s="18">
        <f t="shared" si="228"/>
        <v>0</v>
      </c>
      <c r="AA73" s="18">
        <f t="shared" ref="AA73:AC73" si="229">F73-Q73</f>
        <v>0</v>
      </c>
      <c r="AB73" s="18">
        <f t="shared" si="229"/>
        <v>0</v>
      </c>
      <c r="AC73" s="18">
        <f t="shared" si="229"/>
        <v>0</v>
      </c>
      <c r="AD73" s="18">
        <f t="shared" si="5"/>
        <v>0</v>
      </c>
      <c r="AE73" s="23" t="e">
        <f t="shared" si="6"/>
        <v>#DIV/0!</v>
      </c>
    </row>
    <row r="74" spans="1:31" ht="15.75">
      <c r="A74" s="921"/>
      <c r="B74" s="17" t="s">
        <v>31</v>
      </c>
      <c r="C74" s="18">
        <v>0</v>
      </c>
      <c r="D74" s="18">
        <v>0</v>
      </c>
      <c r="E74" s="18">
        <v>0</v>
      </c>
      <c r="F74" s="18">
        <v>0</v>
      </c>
      <c r="G74" s="19">
        <v>0</v>
      </c>
      <c r="H74" s="20">
        <v>0</v>
      </c>
      <c r="I74" s="20">
        <f t="shared" si="221"/>
        <v>0</v>
      </c>
      <c r="J74" s="21">
        <v>0</v>
      </c>
      <c r="K74" s="18">
        <f t="shared" si="222"/>
        <v>0</v>
      </c>
      <c r="L74" s="18">
        <f t="shared" si="223"/>
        <v>0</v>
      </c>
      <c r="M74" s="921"/>
      <c r="N74" s="17" t="s">
        <v>31</v>
      </c>
      <c r="O74" s="18">
        <v>0</v>
      </c>
      <c r="P74" s="18">
        <v>0</v>
      </c>
      <c r="Q74" s="18">
        <v>0</v>
      </c>
      <c r="R74" s="19">
        <v>0</v>
      </c>
      <c r="S74" s="18">
        <v>0</v>
      </c>
      <c r="T74" s="18">
        <f t="shared" si="224"/>
        <v>0</v>
      </c>
      <c r="U74" s="23">
        <v>0</v>
      </c>
      <c r="V74" s="18">
        <f t="shared" si="225"/>
        <v>0</v>
      </c>
      <c r="W74" s="921"/>
      <c r="X74" s="17" t="s">
        <v>31</v>
      </c>
      <c r="Y74" s="18">
        <f t="shared" ref="Y74:Z74" si="230">C74-O74</f>
        <v>0</v>
      </c>
      <c r="Z74" s="18">
        <f t="shared" si="230"/>
        <v>0</v>
      </c>
      <c r="AA74" s="18">
        <f t="shared" ref="AA74:AC74" si="231">F74-Q74</f>
        <v>0</v>
      </c>
      <c r="AB74" s="18">
        <f t="shared" si="231"/>
        <v>0</v>
      </c>
      <c r="AC74" s="18">
        <f t="shared" si="231"/>
        <v>0</v>
      </c>
      <c r="AD74" s="18">
        <f t="shared" si="5"/>
        <v>0</v>
      </c>
      <c r="AE74" s="23" t="e">
        <f t="shared" si="6"/>
        <v>#DIV/0!</v>
      </c>
    </row>
    <row r="75" spans="1:31" ht="15.75">
      <c r="A75" s="921"/>
      <c r="B75" s="39" t="s">
        <v>32</v>
      </c>
      <c r="C75" s="18">
        <v>1698544</v>
      </c>
      <c r="D75" s="18">
        <v>1273908</v>
      </c>
      <c r="E75" s="18">
        <v>3325884</v>
      </c>
      <c r="F75" s="18">
        <v>0</v>
      </c>
      <c r="G75" s="19">
        <v>0</v>
      </c>
      <c r="H75" s="20">
        <v>0</v>
      </c>
      <c r="I75" s="20">
        <f t="shared" si="221"/>
        <v>0</v>
      </c>
      <c r="J75" s="21">
        <v>0</v>
      </c>
      <c r="K75" s="18">
        <f t="shared" si="222"/>
        <v>-3325884</v>
      </c>
      <c r="L75" s="18">
        <f t="shared" si="223"/>
        <v>-1273908</v>
      </c>
      <c r="M75" s="921"/>
      <c r="N75" s="39" t="s">
        <v>32</v>
      </c>
      <c r="O75" s="18">
        <v>1698544</v>
      </c>
      <c r="P75" s="18">
        <v>1273908</v>
      </c>
      <c r="Q75" s="18">
        <v>0</v>
      </c>
      <c r="R75" s="19">
        <v>0</v>
      </c>
      <c r="S75" s="18">
        <v>0</v>
      </c>
      <c r="T75" s="18">
        <f t="shared" si="224"/>
        <v>0</v>
      </c>
      <c r="U75" s="23">
        <v>0</v>
      </c>
      <c r="V75" s="18">
        <f t="shared" si="225"/>
        <v>-1273908</v>
      </c>
      <c r="W75" s="921"/>
      <c r="X75" s="39" t="s">
        <v>32</v>
      </c>
      <c r="Y75" s="18">
        <f t="shared" ref="Y75:Z75" si="232">C75-O75</f>
        <v>0</v>
      </c>
      <c r="Z75" s="18">
        <f t="shared" si="232"/>
        <v>0</v>
      </c>
      <c r="AA75" s="18">
        <f t="shared" ref="AA75:AC75" si="233">F75-Q75</f>
        <v>0</v>
      </c>
      <c r="AB75" s="18">
        <f t="shared" si="233"/>
        <v>0</v>
      </c>
      <c r="AC75" s="18">
        <f t="shared" si="233"/>
        <v>0</v>
      </c>
      <c r="AD75" s="18">
        <f t="shared" si="5"/>
        <v>0</v>
      </c>
      <c r="AE75" s="23" t="e">
        <f t="shared" si="6"/>
        <v>#DIV/0!</v>
      </c>
    </row>
    <row r="76" spans="1:31" ht="15.75">
      <c r="A76" s="921"/>
      <c r="B76" s="17" t="s">
        <v>24</v>
      </c>
      <c r="C76" s="18">
        <v>0</v>
      </c>
      <c r="D76" s="18"/>
      <c r="E76" s="18"/>
      <c r="F76" s="18">
        <v>2663000</v>
      </c>
      <c r="G76" s="19">
        <v>3140000</v>
      </c>
      <c r="H76" s="20">
        <v>3211903</v>
      </c>
      <c r="I76" s="20">
        <f t="shared" si="221"/>
        <v>71903</v>
      </c>
      <c r="J76" s="21">
        <f t="shared" ref="J76:J77" si="234">H76/G76*100</f>
        <v>102.28990445859874</v>
      </c>
      <c r="K76" s="18">
        <f t="shared" si="222"/>
        <v>2663000</v>
      </c>
      <c r="L76" s="18">
        <f t="shared" si="223"/>
        <v>2663000</v>
      </c>
      <c r="M76" s="921"/>
      <c r="N76" s="17" t="s">
        <v>24</v>
      </c>
      <c r="O76" s="18">
        <v>0</v>
      </c>
      <c r="P76" s="18">
        <v>0</v>
      </c>
      <c r="Q76" s="18">
        <f>18889+1139106</f>
        <v>1157995</v>
      </c>
      <c r="R76" s="19">
        <v>16881</v>
      </c>
      <c r="S76" s="18">
        <v>13425</v>
      </c>
      <c r="T76" s="18">
        <f t="shared" si="224"/>
        <v>-3456</v>
      </c>
      <c r="U76" s="23">
        <f t="shared" ref="U76:U77" si="235">S76/R76*100</f>
        <v>79.527279189621467</v>
      </c>
      <c r="V76" s="18">
        <f t="shared" si="225"/>
        <v>1157995</v>
      </c>
      <c r="W76" s="921"/>
      <c r="X76" s="17" t="s">
        <v>24</v>
      </c>
      <c r="Y76" s="18">
        <f t="shared" ref="Y76:Z76" si="236">C76-O76</f>
        <v>0</v>
      </c>
      <c r="Z76" s="18">
        <f t="shared" si="236"/>
        <v>0</v>
      </c>
      <c r="AA76" s="18">
        <f t="shared" ref="AA76:AC76" si="237">F76-Q76</f>
        <v>1505005</v>
      </c>
      <c r="AB76" s="18">
        <f t="shared" si="237"/>
        <v>3123119</v>
      </c>
      <c r="AC76" s="18">
        <f t="shared" si="237"/>
        <v>3198478</v>
      </c>
      <c r="AD76" s="18">
        <f t="shared" si="5"/>
        <v>75359</v>
      </c>
      <c r="AE76" s="23">
        <f t="shared" si="6"/>
        <v>102.41294039708382</v>
      </c>
    </row>
    <row r="77" spans="1:31" ht="15.75">
      <c r="A77" s="922"/>
      <c r="B77" s="25" t="s">
        <v>25</v>
      </c>
      <c r="C77" s="26">
        <f t="shared" ref="C77:I77" si="238">SUM(C72:C76)</f>
        <v>2070142</v>
      </c>
      <c r="D77" s="26">
        <f t="shared" si="238"/>
        <v>1645506</v>
      </c>
      <c r="E77" s="26">
        <f t="shared" si="238"/>
        <v>4075940</v>
      </c>
      <c r="F77" s="26">
        <f t="shared" si="238"/>
        <v>2663000</v>
      </c>
      <c r="G77" s="27">
        <f t="shared" si="238"/>
        <v>3140000</v>
      </c>
      <c r="H77" s="28">
        <f t="shared" si="238"/>
        <v>3211903</v>
      </c>
      <c r="I77" s="28">
        <f t="shared" si="238"/>
        <v>71903</v>
      </c>
      <c r="J77" s="23">
        <f t="shared" si="234"/>
        <v>102.28990445859874</v>
      </c>
      <c r="K77" s="26">
        <f t="shared" si="222"/>
        <v>-1412940</v>
      </c>
      <c r="L77" s="26">
        <f t="shared" si="223"/>
        <v>1017494</v>
      </c>
      <c r="M77" s="922"/>
      <c r="N77" s="25" t="s">
        <v>25</v>
      </c>
      <c r="O77" s="26">
        <f t="shared" ref="O77:T77" si="239">SUM(O72:O76)</f>
        <v>2070142</v>
      </c>
      <c r="P77" s="26">
        <f t="shared" si="239"/>
        <v>1645506</v>
      </c>
      <c r="Q77" s="26">
        <f t="shared" si="239"/>
        <v>1157995</v>
      </c>
      <c r="R77" s="27">
        <f t="shared" si="239"/>
        <v>16881</v>
      </c>
      <c r="S77" s="26">
        <f t="shared" si="239"/>
        <v>13425</v>
      </c>
      <c r="T77" s="26">
        <f t="shared" si="239"/>
        <v>-3456</v>
      </c>
      <c r="U77" s="23">
        <f t="shared" si="235"/>
        <v>79.527279189621467</v>
      </c>
      <c r="V77" s="26">
        <f t="shared" si="225"/>
        <v>-487511</v>
      </c>
      <c r="W77" s="922"/>
      <c r="X77" s="25" t="s">
        <v>25</v>
      </c>
      <c r="Y77" s="26">
        <f t="shared" ref="Y77:AA77" si="240">SUM(Y72:Y76)</f>
        <v>0</v>
      </c>
      <c r="Z77" s="26">
        <f t="shared" si="240"/>
        <v>0</v>
      </c>
      <c r="AA77" s="26">
        <f t="shared" si="240"/>
        <v>1505005</v>
      </c>
      <c r="AB77" s="18">
        <f t="shared" ref="AB77:AC77" si="241">G77-R77</f>
        <v>3123119</v>
      </c>
      <c r="AC77" s="18">
        <f t="shared" si="241"/>
        <v>3198478</v>
      </c>
      <c r="AD77" s="18">
        <f t="shared" si="5"/>
        <v>75359</v>
      </c>
      <c r="AE77" s="23">
        <f t="shared" si="6"/>
        <v>102.41294039708382</v>
      </c>
    </row>
    <row r="78" spans="1:31" ht="15.75">
      <c r="A78" s="37"/>
      <c r="B78" s="31"/>
      <c r="C78" s="32"/>
      <c r="D78" s="32"/>
      <c r="E78" s="32"/>
      <c r="F78" s="32"/>
      <c r="G78" s="32"/>
      <c r="H78" s="34"/>
      <c r="I78" s="34"/>
      <c r="J78" s="49"/>
      <c r="K78" s="32"/>
      <c r="L78" s="32"/>
      <c r="M78" s="37"/>
      <c r="N78" s="31"/>
      <c r="O78" s="32"/>
      <c r="P78" s="32"/>
      <c r="Q78" s="32"/>
      <c r="R78" s="32"/>
      <c r="S78" s="32"/>
      <c r="T78" s="32"/>
      <c r="U78" s="50"/>
      <c r="V78" s="32"/>
      <c r="W78" s="37"/>
      <c r="X78" s="31"/>
      <c r="Y78" s="32"/>
      <c r="Z78" s="32"/>
      <c r="AA78" s="32"/>
      <c r="AB78" s="18">
        <f t="shared" ref="AB78:AC78" si="242">G78-R78</f>
        <v>0</v>
      </c>
      <c r="AC78" s="18">
        <f t="shared" si="242"/>
        <v>0</v>
      </c>
      <c r="AD78" s="18">
        <f t="shared" si="5"/>
        <v>0</v>
      </c>
      <c r="AE78" s="23" t="e">
        <f t="shared" si="6"/>
        <v>#DIV/0!</v>
      </c>
    </row>
    <row r="79" spans="1:31" ht="15.75">
      <c r="A79" s="920" t="s">
        <v>44</v>
      </c>
      <c r="B79" s="17" t="s">
        <v>21</v>
      </c>
      <c r="C79" s="18">
        <v>473307</v>
      </c>
      <c r="D79" s="18">
        <v>473307</v>
      </c>
      <c r="E79" s="18">
        <v>712071</v>
      </c>
      <c r="F79" s="18">
        <v>0</v>
      </c>
      <c r="G79" s="19">
        <v>0</v>
      </c>
      <c r="H79" s="20">
        <v>0</v>
      </c>
      <c r="I79" s="20">
        <f t="shared" ref="I79:I84" si="243">H79-G79</f>
        <v>0</v>
      </c>
      <c r="J79" s="21">
        <v>0</v>
      </c>
      <c r="K79" s="18">
        <f t="shared" ref="K79:K85" si="244">F79-E79</f>
        <v>-712071</v>
      </c>
      <c r="L79" s="18">
        <f t="shared" ref="L79:L85" si="245">F79-D79</f>
        <v>-473307</v>
      </c>
      <c r="M79" s="920" t="s">
        <v>44</v>
      </c>
      <c r="N79" s="17" t="s">
        <v>21</v>
      </c>
      <c r="O79" s="18">
        <v>473307</v>
      </c>
      <c r="P79" s="18">
        <v>473307</v>
      </c>
      <c r="Q79" s="18">
        <v>0</v>
      </c>
      <c r="R79" s="19">
        <v>0</v>
      </c>
      <c r="S79" s="18">
        <v>0</v>
      </c>
      <c r="T79" s="18">
        <f t="shared" ref="T79:T84" si="246">S79-R79</f>
        <v>0</v>
      </c>
      <c r="U79" s="23">
        <v>0</v>
      </c>
      <c r="V79" s="18">
        <f t="shared" ref="V79:V85" si="247">Q79-P79</f>
        <v>-473307</v>
      </c>
      <c r="W79" s="920" t="s">
        <v>44</v>
      </c>
      <c r="X79" s="17" t="s">
        <v>21</v>
      </c>
      <c r="Y79" s="18">
        <f t="shared" ref="Y79:Z79" si="248">C79-O79</f>
        <v>0</v>
      </c>
      <c r="Z79" s="18">
        <f t="shared" si="248"/>
        <v>0</v>
      </c>
      <c r="AA79" s="18">
        <f t="shared" ref="AA79:AC79" si="249">F79-Q79</f>
        <v>0</v>
      </c>
      <c r="AB79" s="18">
        <f t="shared" si="249"/>
        <v>0</v>
      </c>
      <c r="AC79" s="18">
        <f t="shared" si="249"/>
        <v>0</v>
      </c>
      <c r="AD79" s="18">
        <f t="shared" si="5"/>
        <v>0</v>
      </c>
      <c r="AE79" s="23" t="e">
        <f t="shared" si="6"/>
        <v>#DIV/0!</v>
      </c>
    </row>
    <row r="80" spans="1:31" ht="15.75">
      <c r="A80" s="921"/>
      <c r="B80" s="17" t="s">
        <v>28</v>
      </c>
      <c r="C80" s="18">
        <v>11710</v>
      </c>
      <c r="D80" s="18">
        <v>5855</v>
      </c>
      <c r="E80" s="18">
        <v>54190</v>
      </c>
      <c r="F80" s="18">
        <v>20000</v>
      </c>
      <c r="G80" s="19">
        <v>12663</v>
      </c>
      <c r="H80" s="20">
        <v>11065</v>
      </c>
      <c r="I80" s="20">
        <f t="shared" si="243"/>
        <v>-1598</v>
      </c>
      <c r="J80" s="21">
        <f t="shared" ref="J80:J81" si="250">H80/G80*100</f>
        <v>87.38055752981127</v>
      </c>
      <c r="K80" s="18">
        <f t="shared" si="244"/>
        <v>-34190</v>
      </c>
      <c r="L80" s="18">
        <f t="shared" si="245"/>
        <v>14145</v>
      </c>
      <c r="M80" s="921"/>
      <c r="N80" s="17" t="s">
        <v>28</v>
      </c>
      <c r="O80" s="18">
        <v>11710</v>
      </c>
      <c r="P80" s="18">
        <v>5855</v>
      </c>
      <c r="Q80" s="18">
        <v>0</v>
      </c>
      <c r="R80" s="19">
        <v>0</v>
      </c>
      <c r="S80" s="18">
        <v>-6624</v>
      </c>
      <c r="T80" s="18">
        <f t="shared" si="246"/>
        <v>-6624</v>
      </c>
      <c r="U80" s="23" t="e">
        <f t="shared" ref="U80:U81" si="251">S80/R80*100</f>
        <v>#DIV/0!</v>
      </c>
      <c r="V80" s="18">
        <f t="shared" si="247"/>
        <v>-5855</v>
      </c>
      <c r="W80" s="921"/>
      <c r="X80" s="17" t="s">
        <v>28</v>
      </c>
      <c r="Y80" s="18">
        <f t="shared" ref="Y80:Z80" si="252">C80-O80</f>
        <v>0</v>
      </c>
      <c r="Z80" s="18">
        <f t="shared" si="252"/>
        <v>0</v>
      </c>
      <c r="AA80" s="18">
        <f t="shared" ref="AA80:AC80" si="253">F80-Q80</f>
        <v>20000</v>
      </c>
      <c r="AB80" s="18">
        <f t="shared" si="253"/>
        <v>12663</v>
      </c>
      <c r="AC80" s="18">
        <f t="shared" si="253"/>
        <v>17689</v>
      </c>
      <c r="AD80" s="18">
        <f t="shared" si="5"/>
        <v>5026</v>
      </c>
      <c r="AE80" s="23">
        <f t="shared" si="6"/>
        <v>139.69043670536209</v>
      </c>
    </row>
    <row r="81" spans="1:31" ht="15.75">
      <c r="A81" s="921"/>
      <c r="B81" s="17" t="s">
        <v>31</v>
      </c>
      <c r="C81" s="18">
        <v>34321</v>
      </c>
      <c r="D81" s="18">
        <v>17161</v>
      </c>
      <c r="E81" s="18">
        <v>110842</v>
      </c>
      <c r="F81" s="18">
        <v>36035</v>
      </c>
      <c r="G81" s="19">
        <v>43622</v>
      </c>
      <c r="H81" s="20">
        <v>22769</v>
      </c>
      <c r="I81" s="20">
        <f t="shared" si="243"/>
        <v>-20853</v>
      </c>
      <c r="J81" s="21">
        <f t="shared" si="250"/>
        <v>52.196139562606028</v>
      </c>
      <c r="K81" s="18">
        <f t="shared" si="244"/>
        <v>-74807</v>
      </c>
      <c r="L81" s="18">
        <f t="shared" si="245"/>
        <v>18874</v>
      </c>
      <c r="M81" s="921"/>
      <c r="N81" s="17" t="s">
        <v>31</v>
      </c>
      <c r="O81" s="18">
        <v>34321</v>
      </c>
      <c r="P81" s="18">
        <v>17161</v>
      </c>
      <c r="Q81" s="18">
        <v>10000</v>
      </c>
      <c r="R81" s="19">
        <v>10000</v>
      </c>
      <c r="S81" s="18">
        <v>10496</v>
      </c>
      <c r="T81" s="18">
        <f t="shared" si="246"/>
        <v>496</v>
      </c>
      <c r="U81" s="23">
        <f t="shared" si="251"/>
        <v>104.96000000000001</v>
      </c>
      <c r="V81" s="18">
        <f t="shared" si="247"/>
        <v>-7161</v>
      </c>
      <c r="W81" s="921"/>
      <c r="X81" s="17" t="s">
        <v>31</v>
      </c>
      <c r="Y81" s="18">
        <f t="shared" ref="Y81:Z81" si="254">C81-O81</f>
        <v>0</v>
      </c>
      <c r="Z81" s="18">
        <f t="shared" si="254"/>
        <v>0</v>
      </c>
      <c r="AA81" s="18">
        <f t="shared" ref="AA81:AC81" si="255">F81-Q81</f>
        <v>26035</v>
      </c>
      <c r="AB81" s="18">
        <f t="shared" si="255"/>
        <v>33622</v>
      </c>
      <c r="AC81" s="18">
        <f t="shared" si="255"/>
        <v>12273</v>
      </c>
      <c r="AD81" s="18">
        <f t="shared" si="5"/>
        <v>-21349</v>
      </c>
      <c r="AE81" s="23">
        <f t="shared" si="6"/>
        <v>36.502885015763489</v>
      </c>
    </row>
    <row r="82" spans="1:31" ht="15.75">
      <c r="A82" s="921"/>
      <c r="B82" s="39" t="s">
        <v>32</v>
      </c>
      <c r="C82" s="18">
        <v>342200</v>
      </c>
      <c r="D82" s="18">
        <v>256650</v>
      </c>
      <c r="E82" s="18">
        <v>425955</v>
      </c>
      <c r="F82" s="18">
        <v>0</v>
      </c>
      <c r="G82" s="19">
        <v>0</v>
      </c>
      <c r="H82" s="20">
        <v>0</v>
      </c>
      <c r="I82" s="20">
        <f t="shared" si="243"/>
        <v>0</v>
      </c>
      <c r="J82" s="21">
        <v>0</v>
      </c>
      <c r="K82" s="18">
        <f t="shared" si="244"/>
        <v>-425955</v>
      </c>
      <c r="L82" s="18">
        <f t="shared" si="245"/>
        <v>-256650</v>
      </c>
      <c r="M82" s="921"/>
      <c r="N82" s="39" t="s">
        <v>32</v>
      </c>
      <c r="O82" s="18">
        <v>342200</v>
      </c>
      <c r="P82" s="18">
        <v>256650</v>
      </c>
      <c r="Q82" s="18">
        <v>0</v>
      </c>
      <c r="R82" s="19">
        <v>0</v>
      </c>
      <c r="S82" s="18">
        <v>0</v>
      </c>
      <c r="T82" s="18">
        <f t="shared" si="246"/>
        <v>0</v>
      </c>
      <c r="U82" s="23">
        <v>0</v>
      </c>
      <c r="V82" s="18">
        <f t="shared" si="247"/>
        <v>-256650</v>
      </c>
      <c r="W82" s="921"/>
      <c r="X82" s="39" t="s">
        <v>32</v>
      </c>
      <c r="Y82" s="18">
        <f t="shared" ref="Y82:Z82" si="256">C82-O82</f>
        <v>0</v>
      </c>
      <c r="Z82" s="18">
        <f t="shared" si="256"/>
        <v>0</v>
      </c>
      <c r="AA82" s="18">
        <f t="shared" ref="AA82:AC82" si="257">F82-Q82</f>
        <v>0</v>
      </c>
      <c r="AB82" s="18">
        <f t="shared" si="257"/>
        <v>0</v>
      </c>
      <c r="AC82" s="18">
        <f t="shared" si="257"/>
        <v>0</v>
      </c>
      <c r="AD82" s="18">
        <f t="shared" si="5"/>
        <v>0</v>
      </c>
      <c r="AE82" s="23" t="e">
        <f t="shared" si="6"/>
        <v>#DIV/0!</v>
      </c>
    </row>
    <row r="83" spans="1:31" ht="15.75">
      <c r="A83" s="921"/>
      <c r="B83" s="17" t="s">
        <v>24</v>
      </c>
      <c r="C83" s="18">
        <v>0</v>
      </c>
      <c r="D83" s="18"/>
      <c r="E83" s="18"/>
      <c r="F83" s="18">
        <v>777100</v>
      </c>
      <c r="G83" s="19">
        <v>780000</v>
      </c>
      <c r="H83" s="20">
        <v>787406</v>
      </c>
      <c r="I83" s="20">
        <f t="shared" si="243"/>
        <v>7406</v>
      </c>
      <c r="J83" s="21">
        <f>H83/G83*100</f>
        <v>100.94948717948718</v>
      </c>
      <c r="K83" s="18">
        <f t="shared" si="244"/>
        <v>777100</v>
      </c>
      <c r="L83" s="18">
        <f t="shared" si="245"/>
        <v>777100</v>
      </c>
      <c r="M83" s="921"/>
      <c r="N83" s="17" t="s">
        <v>24</v>
      </c>
      <c r="O83" s="18">
        <v>0</v>
      </c>
      <c r="P83" s="18">
        <v>0</v>
      </c>
      <c r="Q83" s="18">
        <v>444590</v>
      </c>
      <c r="R83" s="19">
        <v>494737</v>
      </c>
      <c r="S83" s="18">
        <v>488457</v>
      </c>
      <c r="T83" s="18">
        <f t="shared" si="246"/>
        <v>-6280</v>
      </c>
      <c r="U83" s="23">
        <f>S83/R83*100</f>
        <v>98.730638702987648</v>
      </c>
      <c r="V83" s="18">
        <f t="shared" si="247"/>
        <v>444590</v>
      </c>
      <c r="W83" s="921"/>
      <c r="X83" s="17" t="s">
        <v>24</v>
      </c>
      <c r="Y83" s="18">
        <f t="shared" ref="Y83:Z83" si="258">C83-O83</f>
        <v>0</v>
      </c>
      <c r="Z83" s="18">
        <f t="shared" si="258"/>
        <v>0</v>
      </c>
      <c r="AA83" s="18">
        <f t="shared" ref="AA83:AC83" si="259">F83-Q83</f>
        <v>332510</v>
      </c>
      <c r="AB83" s="18">
        <f t="shared" si="259"/>
        <v>285263</v>
      </c>
      <c r="AC83" s="18">
        <f t="shared" si="259"/>
        <v>298949</v>
      </c>
      <c r="AD83" s="18">
        <f t="shared" si="5"/>
        <v>13686</v>
      </c>
      <c r="AE83" s="23">
        <f t="shared" si="6"/>
        <v>104.79767793229406</v>
      </c>
    </row>
    <row r="84" spans="1:31" ht="15.75">
      <c r="A84" s="921"/>
      <c r="B84" s="39" t="s">
        <v>23</v>
      </c>
      <c r="C84" s="18">
        <v>62500</v>
      </c>
      <c r="D84" s="18">
        <v>62500</v>
      </c>
      <c r="E84" s="18">
        <v>62500</v>
      </c>
      <c r="F84" s="18">
        <v>0</v>
      </c>
      <c r="G84" s="19">
        <v>0</v>
      </c>
      <c r="H84" s="20">
        <v>0</v>
      </c>
      <c r="I84" s="20">
        <f t="shared" si="243"/>
        <v>0</v>
      </c>
      <c r="J84" s="21">
        <v>0</v>
      </c>
      <c r="K84" s="18">
        <f t="shared" si="244"/>
        <v>-62500</v>
      </c>
      <c r="L84" s="18">
        <f t="shared" si="245"/>
        <v>-62500</v>
      </c>
      <c r="M84" s="921"/>
      <c r="N84" s="39" t="s">
        <v>23</v>
      </c>
      <c r="O84" s="18">
        <v>0</v>
      </c>
      <c r="P84" s="18">
        <v>0</v>
      </c>
      <c r="Q84" s="18">
        <v>0</v>
      </c>
      <c r="R84" s="19">
        <v>0</v>
      </c>
      <c r="S84" s="18">
        <v>0</v>
      </c>
      <c r="T84" s="18">
        <f t="shared" si="246"/>
        <v>0</v>
      </c>
      <c r="U84" s="23">
        <v>0</v>
      </c>
      <c r="V84" s="18">
        <f t="shared" si="247"/>
        <v>0</v>
      </c>
      <c r="W84" s="921"/>
      <c r="X84" s="39" t="s">
        <v>23</v>
      </c>
      <c r="Y84" s="18">
        <f t="shared" ref="Y84:Z84" si="260">C84-O84</f>
        <v>62500</v>
      </c>
      <c r="Z84" s="18">
        <f t="shared" si="260"/>
        <v>62500</v>
      </c>
      <c r="AA84" s="18">
        <f t="shared" ref="AA84:AC84" si="261">F84-Q84</f>
        <v>0</v>
      </c>
      <c r="AB84" s="18">
        <f t="shared" si="261"/>
        <v>0</v>
      </c>
      <c r="AC84" s="18">
        <f t="shared" si="261"/>
        <v>0</v>
      </c>
      <c r="AD84" s="18">
        <f t="shared" si="5"/>
        <v>0</v>
      </c>
      <c r="AE84" s="23" t="e">
        <f t="shared" si="6"/>
        <v>#DIV/0!</v>
      </c>
    </row>
    <row r="85" spans="1:31" ht="15.75">
      <c r="A85" s="922"/>
      <c r="B85" s="25" t="s">
        <v>25</v>
      </c>
      <c r="C85" s="26">
        <f t="shared" ref="C85:I85" si="262">SUM(C79:C84)</f>
        <v>924038</v>
      </c>
      <c r="D85" s="26">
        <f t="shared" si="262"/>
        <v>815473</v>
      </c>
      <c r="E85" s="26">
        <f t="shared" si="262"/>
        <v>1365558</v>
      </c>
      <c r="F85" s="26">
        <f t="shared" si="262"/>
        <v>833135</v>
      </c>
      <c r="G85" s="27">
        <f t="shared" si="262"/>
        <v>836285</v>
      </c>
      <c r="H85" s="28">
        <f t="shared" si="262"/>
        <v>821240</v>
      </c>
      <c r="I85" s="28">
        <f t="shared" si="262"/>
        <v>-15045</v>
      </c>
      <c r="J85" s="23">
        <f>H85/G85*100</f>
        <v>98.200972156621248</v>
      </c>
      <c r="K85" s="26">
        <f t="shared" si="244"/>
        <v>-532423</v>
      </c>
      <c r="L85" s="26">
        <f t="shared" si="245"/>
        <v>17662</v>
      </c>
      <c r="M85" s="922"/>
      <c r="N85" s="25" t="s">
        <v>25</v>
      </c>
      <c r="O85" s="26">
        <f t="shared" ref="O85:T85" si="263">SUM(O79:O84)</f>
        <v>861538</v>
      </c>
      <c r="P85" s="26">
        <f t="shared" si="263"/>
        <v>752973</v>
      </c>
      <c r="Q85" s="26">
        <f t="shared" si="263"/>
        <v>454590</v>
      </c>
      <c r="R85" s="27">
        <f t="shared" si="263"/>
        <v>504737</v>
      </c>
      <c r="S85" s="26">
        <f t="shared" si="263"/>
        <v>492329</v>
      </c>
      <c r="T85" s="26">
        <f t="shared" si="263"/>
        <v>-12408</v>
      </c>
      <c r="U85" s="23">
        <f>S85/R85*100</f>
        <v>97.541690028668398</v>
      </c>
      <c r="V85" s="26">
        <f t="shared" si="247"/>
        <v>-298383</v>
      </c>
      <c r="W85" s="922"/>
      <c r="X85" s="25" t="s">
        <v>25</v>
      </c>
      <c r="Y85" s="26">
        <f t="shared" ref="Y85:AA85" si="264">SUM(Y79:Y84)</f>
        <v>62500</v>
      </c>
      <c r="Z85" s="26">
        <f t="shared" si="264"/>
        <v>62500</v>
      </c>
      <c r="AA85" s="26">
        <f t="shared" si="264"/>
        <v>378545</v>
      </c>
      <c r="AB85" s="18">
        <f t="shared" ref="AB85:AC85" si="265">G85-R85</f>
        <v>331548</v>
      </c>
      <c r="AC85" s="18">
        <f t="shared" si="265"/>
        <v>328911</v>
      </c>
      <c r="AD85" s="18">
        <f t="shared" si="5"/>
        <v>-2637</v>
      </c>
      <c r="AE85" s="23">
        <f t="shared" si="6"/>
        <v>99.204640052119146</v>
      </c>
    </row>
    <row r="86" spans="1:31" ht="15.75">
      <c r="A86" s="37"/>
      <c r="B86" s="31"/>
      <c r="C86" s="32"/>
      <c r="D86" s="32"/>
      <c r="E86" s="32"/>
      <c r="F86" s="32"/>
      <c r="G86" s="32"/>
      <c r="H86" s="34"/>
      <c r="I86" s="34"/>
      <c r="J86" s="49"/>
      <c r="K86" s="32"/>
      <c r="L86" s="32"/>
      <c r="M86" s="37"/>
      <c r="N86" s="31"/>
      <c r="O86" s="32"/>
      <c r="P86" s="32"/>
      <c r="Q86" s="32"/>
      <c r="R86" s="32"/>
      <c r="S86" s="32"/>
      <c r="T86" s="32"/>
      <c r="U86" s="50"/>
      <c r="V86" s="32"/>
      <c r="W86" s="37"/>
      <c r="X86" s="31"/>
      <c r="Y86" s="32"/>
      <c r="Z86" s="32"/>
      <c r="AA86" s="32"/>
      <c r="AB86" s="18">
        <f t="shared" ref="AB86:AC86" si="266">G86-R86</f>
        <v>0</v>
      </c>
      <c r="AC86" s="18">
        <f t="shared" si="266"/>
        <v>0</v>
      </c>
      <c r="AD86" s="18">
        <f t="shared" si="5"/>
        <v>0</v>
      </c>
      <c r="AE86" s="23" t="e">
        <f t="shared" si="6"/>
        <v>#DIV/0!</v>
      </c>
    </row>
    <row r="87" spans="1:31" ht="15.75">
      <c r="A87" s="920" t="s">
        <v>45</v>
      </c>
      <c r="B87" s="17" t="s">
        <v>21</v>
      </c>
      <c r="C87" s="18">
        <v>48108</v>
      </c>
      <c r="D87" s="18">
        <v>48108</v>
      </c>
      <c r="E87" s="18">
        <v>119165</v>
      </c>
      <c r="F87" s="18">
        <v>0</v>
      </c>
      <c r="G87" s="19">
        <v>0</v>
      </c>
      <c r="H87" s="20">
        <v>0</v>
      </c>
      <c r="I87" s="20">
        <f t="shared" ref="I87:I92" si="267">H87-G87</f>
        <v>0</v>
      </c>
      <c r="J87" s="21">
        <v>0</v>
      </c>
      <c r="K87" s="18">
        <f t="shared" ref="K87:K93" si="268">F87-E87</f>
        <v>-119165</v>
      </c>
      <c r="L87" s="18">
        <f t="shared" ref="L87:L93" si="269">F87-D87</f>
        <v>-48108</v>
      </c>
      <c r="M87" s="920" t="s">
        <v>45</v>
      </c>
      <c r="N87" s="17" t="s">
        <v>21</v>
      </c>
      <c r="O87" s="18">
        <v>48108</v>
      </c>
      <c r="P87" s="18">
        <v>48108</v>
      </c>
      <c r="Q87" s="18">
        <v>0</v>
      </c>
      <c r="R87" s="19">
        <v>0</v>
      </c>
      <c r="S87" s="18">
        <v>0</v>
      </c>
      <c r="T87" s="18">
        <f t="shared" ref="T87:T92" si="270">S87-R87</f>
        <v>0</v>
      </c>
      <c r="U87" s="23">
        <v>0</v>
      </c>
      <c r="V87" s="18">
        <f t="shared" ref="V87:V93" si="271">Q87-P87</f>
        <v>-48108</v>
      </c>
      <c r="W87" s="920" t="s">
        <v>45</v>
      </c>
      <c r="X87" s="17" t="s">
        <v>21</v>
      </c>
      <c r="Y87" s="18">
        <f t="shared" ref="Y87:Z87" si="272">C87-O87</f>
        <v>0</v>
      </c>
      <c r="Z87" s="18">
        <f t="shared" si="272"/>
        <v>0</v>
      </c>
      <c r="AA87" s="18">
        <f t="shared" ref="AA87:AC87" si="273">F87-Q87</f>
        <v>0</v>
      </c>
      <c r="AB87" s="18">
        <f t="shared" si="273"/>
        <v>0</v>
      </c>
      <c r="AC87" s="18">
        <f t="shared" si="273"/>
        <v>0</v>
      </c>
      <c r="AD87" s="18">
        <f t="shared" si="5"/>
        <v>0</v>
      </c>
      <c r="AE87" s="23" t="e">
        <f t="shared" si="6"/>
        <v>#DIV/0!</v>
      </c>
    </row>
    <row r="88" spans="1:31" ht="15.75">
      <c r="A88" s="921"/>
      <c r="B88" s="17" t="s">
        <v>46</v>
      </c>
      <c r="C88" s="18">
        <v>0</v>
      </c>
      <c r="D88" s="18">
        <v>0</v>
      </c>
      <c r="E88" s="18">
        <v>0</v>
      </c>
      <c r="F88" s="18">
        <v>40000</v>
      </c>
      <c r="G88" s="19">
        <v>0</v>
      </c>
      <c r="H88" s="20">
        <v>0</v>
      </c>
      <c r="I88" s="20">
        <f t="shared" si="267"/>
        <v>0</v>
      </c>
      <c r="J88" s="21">
        <v>0</v>
      </c>
      <c r="K88" s="18">
        <f t="shared" si="268"/>
        <v>40000</v>
      </c>
      <c r="L88" s="18">
        <f t="shared" si="269"/>
        <v>40000</v>
      </c>
      <c r="M88" s="921"/>
      <c r="N88" s="17" t="s">
        <v>46</v>
      </c>
      <c r="O88" s="18">
        <v>0</v>
      </c>
      <c r="P88" s="18">
        <v>0</v>
      </c>
      <c r="Q88" s="18">
        <v>0</v>
      </c>
      <c r="R88" s="19">
        <v>0</v>
      </c>
      <c r="S88" s="18">
        <v>0</v>
      </c>
      <c r="T88" s="18">
        <f t="shared" si="270"/>
        <v>0</v>
      </c>
      <c r="U88" s="23">
        <v>0</v>
      </c>
      <c r="V88" s="18">
        <f t="shared" si="271"/>
        <v>0</v>
      </c>
      <c r="W88" s="921"/>
      <c r="X88" s="17" t="s">
        <v>46</v>
      </c>
      <c r="Y88" s="18">
        <f t="shared" ref="Y88:Z88" si="274">C88-O88</f>
        <v>0</v>
      </c>
      <c r="Z88" s="18">
        <f t="shared" si="274"/>
        <v>0</v>
      </c>
      <c r="AA88" s="18">
        <f t="shared" ref="AA88:AC88" si="275">F88-Q88</f>
        <v>40000</v>
      </c>
      <c r="AB88" s="18">
        <f t="shared" si="275"/>
        <v>0</v>
      </c>
      <c r="AC88" s="18">
        <f t="shared" si="275"/>
        <v>0</v>
      </c>
      <c r="AD88" s="18">
        <f t="shared" si="5"/>
        <v>0</v>
      </c>
      <c r="AE88" s="23" t="e">
        <f t="shared" si="6"/>
        <v>#DIV/0!</v>
      </c>
    </row>
    <row r="89" spans="1:31" ht="15.75">
      <c r="A89" s="921"/>
      <c r="B89" s="17" t="s">
        <v>28</v>
      </c>
      <c r="C89" s="18">
        <v>59312</v>
      </c>
      <c r="D89" s="18">
        <v>29656</v>
      </c>
      <c r="E89" s="18">
        <v>110783</v>
      </c>
      <c r="F89" s="18">
        <v>90000</v>
      </c>
      <c r="G89" s="19">
        <v>92060</v>
      </c>
      <c r="H89" s="20">
        <v>78410</v>
      </c>
      <c r="I89" s="20">
        <f t="shared" si="267"/>
        <v>-13650</v>
      </c>
      <c r="J89" s="21">
        <f t="shared" ref="J89:J90" si="276">H89/G89*100</f>
        <v>85.172713447751462</v>
      </c>
      <c r="K89" s="18">
        <f t="shared" si="268"/>
        <v>-20783</v>
      </c>
      <c r="L89" s="18">
        <f t="shared" si="269"/>
        <v>60344</v>
      </c>
      <c r="M89" s="921"/>
      <c r="N89" s="17" t="s">
        <v>28</v>
      </c>
      <c r="O89" s="18">
        <v>59312</v>
      </c>
      <c r="P89" s="18">
        <v>29656</v>
      </c>
      <c r="Q89" s="18">
        <v>0</v>
      </c>
      <c r="R89" s="19">
        <v>0</v>
      </c>
      <c r="S89" s="18">
        <v>0</v>
      </c>
      <c r="T89" s="18">
        <f t="shared" si="270"/>
        <v>0</v>
      </c>
      <c r="U89" s="23" t="e">
        <f t="shared" ref="U89:U90" si="277">S89/R89*100</f>
        <v>#DIV/0!</v>
      </c>
      <c r="V89" s="18">
        <f t="shared" si="271"/>
        <v>-29656</v>
      </c>
      <c r="W89" s="921"/>
      <c r="X89" s="17" t="s">
        <v>28</v>
      </c>
      <c r="Y89" s="18">
        <f t="shared" ref="Y89:Z89" si="278">C89-O89</f>
        <v>0</v>
      </c>
      <c r="Z89" s="18">
        <f t="shared" si="278"/>
        <v>0</v>
      </c>
      <c r="AA89" s="18">
        <f t="shared" ref="AA89:AC89" si="279">F89-Q89</f>
        <v>90000</v>
      </c>
      <c r="AB89" s="18">
        <f t="shared" si="279"/>
        <v>92060</v>
      </c>
      <c r="AC89" s="18">
        <f t="shared" si="279"/>
        <v>78410</v>
      </c>
      <c r="AD89" s="18">
        <f t="shared" si="5"/>
        <v>-13650</v>
      </c>
      <c r="AE89" s="23">
        <f t="shared" si="6"/>
        <v>85.172713447751462</v>
      </c>
    </row>
    <row r="90" spans="1:31" ht="15.75">
      <c r="A90" s="921"/>
      <c r="B90" s="17" t="s">
        <v>31</v>
      </c>
      <c r="C90" s="18">
        <v>11425</v>
      </c>
      <c r="D90" s="18">
        <v>5713</v>
      </c>
      <c r="E90" s="18">
        <f>5987+34641+4</f>
        <v>40632</v>
      </c>
      <c r="F90" s="18">
        <v>25632</v>
      </c>
      <c r="G90" s="19">
        <v>46081</v>
      </c>
      <c r="H90" s="20">
        <v>31083</v>
      </c>
      <c r="I90" s="20">
        <f t="shared" si="267"/>
        <v>-14998</v>
      </c>
      <c r="J90" s="21">
        <f t="shared" si="276"/>
        <v>67.452963260345911</v>
      </c>
      <c r="K90" s="18">
        <f t="shared" si="268"/>
        <v>-15000</v>
      </c>
      <c r="L90" s="18">
        <f t="shared" si="269"/>
        <v>19919</v>
      </c>
      <c r="M90" s="921"/>
      <c r="N90" s="17" t="s">
        <v>31</v>
      </c>
      <c r="O90" s="18">
        <v>11425</v>
      </c>
      <c r="P90" s="18">
        <v>5713</v>
      </c>
      <c r="Q90" s="18">
        <v>0</v>
      </c>
      <c r="R90" s="19">
        <v>0</v>
      </c>
      <c r="S90" s="18">
        <v>0</v>
      </c>
      <c r="T90" s="18">
        <f t="shared" si="270"/>
        <v>0</v>
      </c>
      <c r="U90" s="23" t="e">
        <f t="shared" si="277"/>
        <v>#DIV/0!</v>
      </c>
      <c r="V90" s="18">
        <f t="shared" si="271"/>
        <v>-5713</v>
      </c>
      <c r="W90" s="921"/>
      <c r="X90" s="17" t="s">
        <v>31</v>
      </c>
      <c r="Y90" s="18">
        <f t="shared" ref="Y90:Z90" si="280">C90-O90</f>
        <v>0</v>
      </c>
      <c r="Z90" s="18">
        <f t="shared" si="280"/>
        <v>0</v>
      </c>
      <c r="AA90" s="18">
        <f t="shared" ref="AA90:AC90" si="281">F90-Q90</f>
        <v>25632</v>
      </c>
      <c r="AB90" s="18">
        <f t="shared" si="281"/>
        <v>46081</v>
      </c>
      <c r="AC90" s="18">
        <f t="shared" si="281"/>
        <v>31083</v>
      </c>
      <c r="AD90" s="18">
        <f t="shared" si="5"/>
        <v>-14998</v>
      </c>
      <c r="AE90" s="23">
        <f t="shared" si="6"/>
        <v>67.452963260345911</v>
      </c>
    </row>
    <row r="91" spans="1:31" ht="15.75">
      <c r="A91" s="921"/>
      <c r="B91" s="39" t="s">
        <v>32</v>
      </c>
      <c r="C91" s="18">
        <v>188571</v>
      </c>
      <c r="D91" s="18">
        <v>141428</v>
      </c>
      <c r="E91" s="18">
        <v>189973</v>
      </c>
      <c r="F91" s="18">
        <v>0</v>
      </c>
      <c r="G91" s="19">
        <v>0</v>
      </c>
      <c r="H91" s="20">
        <v>0</v>
      </c>
      <c r="I91" s="20">
        <f t="shared" si="267"/>
        <v>0</v>
      </c>
      <c r="J91" s="21">
        <v>0</v>
      </c>
      <c r="K91" s="18">
        <f t="shared" si="268"/>
        <v>-189973</v>
      </c>
      <c r="L91" s="18">
        <f t="shared" si="269"/>
        <v>-141428</v>
      </c>
      <c r="M91" s="921"/>
      <c r="N91" s="39" t="s">
        <v>32</v>
      </c>
      <c r="O91" s="18">
        <v>188571</v>
      </c>
      <c r="P91" s="18">
        <v>141428</v>
      </c>
      <c r="Q91" s="18">
        <v>0</v>
      </c>
      <c r="R91" s="19">
        <v>0</v>
      </c>
      <c r="S91" s="18">
        <v>0</v>
      </c>
      <c r="T91" s="18">
        <f t="shared" si="270"/>
        <v>0</v>
      </c>
      <c r="U91" s="23">
        <v>0</v>
      </c>
      <c r="V91" s="18">
        <f t="shared" si="271"/>
        <v>-141428</v>
      </c>
      <c r="W91" s="921"/>
      <c r="X91" s="39" t="s">
        <v>32</v>
      </c>
      <c r="Y91" s="18">
        <f t="shared" ref="Y91:Z91" si="282">C91-O91</f>
        <v>0</v>
      </c>
      <c r="Z91" s="18">
        <f t="shared" si="282"/>
        <v>0</v>
      </c>
      <c r="AA91" s="18">
        <f t="shared" ref="AA91:AC91" si="283">F91-Q91</f>
        <v>0</v>
      </c>
      <c r="AB91" s="18">
        <f t="shared" si="283"/>
        <v>0</v>
      </c>
      <c r="AC91" s="18">
        <f t="shared" si="283"/>
        <v>0</v>
      </c>
      <c r="AD91" s="18">
        <f t="shared" si="5"/>
        <v>0</v>
      </c>
      <c r="AE91" s="23" t="e">
        <f t="shared" si="6"/>
        <v>#DIV/0!</v>
      </c>
    </row>
    <row r="92" spans="1:31" ht="15.75">
      <c r="A92" s="921"/>
      <c r="B92" s="17" t="s">
        <v>24</v>
      </c>
      <c r="C92" s="18">
        <v>0</v>
      </c>
      <c r="D92" s="18"/>
      <c r="E92" s="18"/>
      <c r="F92" s="18">
        <v>309200</v>
      </c>
      <c r="G92" s="19">
        <v>110000</v>
      </c>
      <c r="H92" s="20">
        <v>109452</v>
      </c>
      <c r="I92" s="20">
        <f t="shared" si="267"/>
        <v>-548</v>
      </c>
      <c r="J92" s="21">
        <f t="shared" ref="J92:J93" si="284">H92/G92*100</f>
        <v>99.50181818181818</v>
      </c>
      <c r="K92" s="18">
        <f t="shared" si="268"/>
        <v>309200</v>
      </c>
      <c r="L92" s="18">
        <f t="shared" si="269"/>
        <v>309200</v>
      </c>
      <c r="M92" s="921"/>
      <c r="N92" s="17" t="s">
        <v>24</v>
      </c>
      <c r="O92" s="18"/>
      <c r="P92" s="18"/>
      <c r="Q92" s="18">
        <v>0</v>
      </c>
      <c r="R92" s="19">
        <v>0</v>
      </c>
      <c r="S92" s="18">
        <v>0</v>
      </c>
      <c r="T92" s="18">
        <f t="shared" si="270"/>
        <v>0</v>
      </c>
      <c r="U92" s="23" t="e">
        <f t="shared" ref="U92:U93" si="285">S92/R92*100</f>
        <v>#DIV/0!</v>
      </c>
      <c r="V92" s="18">
        <f t="shared" si="271"/>
        <v>0</v>
      </c>
      <c r="W92" s="921"/>
      <c r="X92" s="17" t="s">
        <v>24</v>
      </c>
      <c r="Y92" s="18">
        <f t="shared" ref="Y92:Z92" si="286">C92-O92</f>
        <v>0</v>
      </c>
      <c r="Z92" s="18">
        <f t="shared" si="286"/>
        <v>0</v>
      </c>
      <c r="AA92" s="18">
        <f t="shared" ref="AA92:AC92" si="287">F92-Q92</f>
        <v>309200</v>
      </c>
      <c r="AB92" s="18">
        <f t="shared" si="287"/>
        <v>110000</v>
      </c>
      <c r="AC92" s="18">
        <f t="shared" si="287"/>
        <v>109452</v>
      </c>
      <c r="AD92" s="18">
        <f t="shared" si="5"/>
        <v>-548</v>
      </c>
      <c r="AE92" s="23">
        <f t="shared" si="6"/>
        <v>99.50181818181818</v>
      </c>
    </row>
    <row r="93" spans="1:31" ht="15.75">
      <c r="A93" s="922"/>
      <c r="B93" s="25" t="s">
        <v>25</v>
      </c>
      <c r="C93" s="26">
        <f t="shared" ref="C93:I93" si="288">SUM(C87:C92)</f>
        <v>307416</v>
      </c>
      <c r="D93" s="26">
        <f t="shared" si="288"/>
        <v>224905</v>
      </c>
      <c r="E93" s="26">
        <f t="shared" si="288"/>
        <v>460553</v>
      </c>
      <c r="F93" s="26">
        <f t="shared" si="288"/>
        <v>464832</v>
      </c>
      <c r="G93" s="27">
        <f t="shared" si="288"/>
        <v>248141</v>
      </c>
      <c r="H93" s="28">
        <f t="shared" si="288"/>
        <v>218945</v>
      </c>
      <c r="I93" s="28">
        <f t="shared" si="288"/>
        <v>-29196</v>
      </c>
      <c r="J93" s="23">
        <f t="shared" si="284"/>
        <v>88.234108833284296</v>
      </c>
      <c r="K93" s="26">
        <f t="shared" si="268"/>
        <v>4279</v>
      </c>
      <c r="L93" s="26">
        <f t="shared" si="269"/>
        <v>239927</v>
      </c>
      <c r="M93" s="922"/>
      <c r="N93" s="25" t="s">
        <v>25</v>
      </c>
      <c r="O93" s="26">
        <f t="shared" ref="O93:T93" si="289">SUM(O87:O92)</f>
        <v>307416</v>
      </c>
      <c r="P93" s="26">
        <f t="shared" si="289"/>
        <v>224905</v>
      </c>
      <c r="Q93" s="26">
        <f t="shared" si="289"/>
        <v>0</v>
      </c>
      <c r="R93" s="27">
        <f t="shared" si="289"/>
        <v>0</v>
      </c>
      <c r="S93" s="26">
        <f t="shared" si="289"/>
        <v>0</v>
      </c>
      <c r="T93" s="26">
        <f t="shared" si="289"/>
        <v>0</v>
      </c>
      <c r="U93" s="23" t="e">
        <f t="shared" si="285"/>
        <v>#DIV/0!</v>
      </c>
      <c r="V93" s="26">
        <f t="shared" si="271"/>
        <v>-224905</v>
      </c>
      <c r="W93" s="922"/>
      <c r="X93" s="25" t="s">
        <v>25</v>
      </c>
      <c r="Y93" s="26">
        <f t="shared" ref="Y93:AA93" si="290">SUM(Y87:Y92)</f>
        <v>0</v>
      </c>
      <c r="Z93" s="26">
        <f t="shared" si="290"/>
        <v>0</v>
      </c>
      <c r="AA93" s="26">
        <f t="shared" si="290"/>
        <v>464832</v>
      </c>
      <c r="AB93" s="18">
        <f t="shared" ref="AB93:AC93" si="291">G93-R93</f>
        <v>248141</v>
      </c>
      <c r="AC93" s="18">
        <f t="shared" si="291"/>
        <v>218945</v>
      </c>
      <c r="AD93" s="18">
        <f t="shared" si="5"/>
        <v>-29196</v>
      </c>
      <c r="AE93" s="23">
        <f t="shared" si="6"/>
        <v>88.234108833284296</v>
      </c>
    </row>
    <row r="94" spans="1:31" ht="15.75">
      <c r="A94" s="37"/>
      <c r="B94" s="31"/>
      <c r="C94" s="32"/>
      <c r="D94" s="32"/>
      <c r="E94" s="32"/>
      <c r="F94" s="32"/>
      <c r="G94" s="32"/>
      <c r="H94" s="34"/>
      <c r="I94" s="34"/>
      <c r="J94" s="49"/>
      <c r="K94" s="32"/>
      <c r="L94" s="32"/>
      <c r="M94" s="37"/>
      <c r="N94" s="31"/>
      <c r="O94" s="32"/>
      <c r="P94" s="32"/>
      <c r="Q94" s="32"/>
      <c r="R94" s="32"/>
      <c r="S94" s="32"/>
      <c r="T94" s="32"/>
      <c r="U94" s="50"/>
      <c r="V94" s="32"/>
      <c r="W94" s="37"/>
      <c r="X94" s="31"/>
      <c r="Y94" s="32"/>
      <c r="Z94" s="32"/>
      <c r="AA94" s="32"/>
      <c r="AB94" s="18">
        <f t="shared" ref="AB94:AC94" si="292">G94-R94</f>
        <v>0</v>
      </c>
      <c r="AC94" s="18">
        <f t="shared" si="292"/>
        <v>0</v>
      </c>
      <c r="AD94" s="18">
        <f t="shared" si="5"/>
        <v>0</v>
      </c>
      <c r="AE94" s="23" t="e">
        <f t="shared" si="6"/>
        <v>#DIV/0!</v>
      </c>
    </row>
    <row r="95" spans="1:31" ht="15.75">
      <c r="A95" s="920" t="s">
        <v>47</v>
      </c>
      <c r="B95" s="17" t="s">
        <v>21</v>
      </c>
      <c r="C95" s="18">
        <v>350000</v>
      </c>
      <c r="D95" s="18">
        <v>350000</v>
      </c>
      <c r="E95" s="18">
        <v>1352588</v>
      </c>
      <c r="F95" s="18">
        <v>0</v>
      </c>
      <c r="G95" s="19">
        <v>0</v>
      </c>
      <c r="H95" s="20">
        <v>0</v>
      </c>
      <c r="I95" s="20">
        <f t="shared" ref="I95:I104" si="293">H95-G95</f>
        <v>0</v>
      </c>
      <c r="J95" s="21">
        <v>0</v>
      </c>
      <c r="K95" s="18">
        <f t="shared" ref="K95:K101" si="294">F95-E95</f>
        <v>-1352588</v>
      </c>
      <c r="L95" s="18">
        <f t="shared" ref="L95:L105" si="295">F95-D95</f>
        <v>-350000</v>
      </c>
      <c r="M95" s="920" t="s">
        <v>47</v>
      </c>
      <c r="N95" s="17" t="s">
        <v>21</v>
      </c>
      <c r="O95" s="18">
        <v>350000</v>
      </c>
      <c r="P95" s="18">
        <v>350000</v>
      </c>
      <c r="Q95" s="18">
        <v>0</v>
      </c>
      <c r="R95" s="19">
        <v>0</v>
      </c>
      <c r="S95" s="18">
        <v>0</v>
      </c>
      <c r="T95" s="18">
        <f t="shared" ref="T95:T104" si="296">S95-R95</f>
        <v>0</v>
      </c>
      <c r="U95" s="23">
        <v>0</v>
      </c>
      <c r="V95" s="18">
        <f t="shared" ref="V95:V105" si="297">Q95-P95</f>
        <v>-350000</v>
      </c>
      <c r="W95" s="920" t="s">
        <v>47</v>
      </c>
      <c r="X95" s="17" t="s">
        <v>21</v>
      </c>
      <c r="Y95" s="18">
        <f t="shared" ref="Y95:Z95" si="298">C95-O95</f>
        <v>0</v>
      </c>
      <c r="Z95" s="18">
        <f t="shared" si="298"/>
        <v>0</v>
      </c>
      <c r="AA95" s="18">
        <f t="shared" ref="AA95:AC95" si="299">F95-Q95</f>
        <v>0</v>
      </c>
      <c r="AB95" s="18">
        <f t="shared" si="299"/>
        <v>0</v>
      </c>
      <c r="AC95" s="18">
        <f t="shared" si="299"/>
        <v>0</v>
      </c>
      <c r="AD95" s="18">
        <f t="shared" si="5"/>
        <v>0</v>
      </c>
      <c r="AE95" s="23" t="e">
        <f t="shared" si="6"/>
        <v>#DIV/0!</v>
      </c>
    </row>
    <row r="96" spans="1:31" ht="15.75">
      <c r="A96" s="921"/>
      <c r="B96" s="17" t="s">
        <v>22</v>
      </c>
      <c r="C96" s="18">
        <v>0</v>
      </c>
      <c r="D96" s="18">
        <v>0</v>
      </c>
      <c r="E96" s="18">
        <v>2769</v>
      </c>
      <c r="F96" s="18">
        <v>2769</v>
      </c>
      <c r="G96" s="19">
        <v>0</v>
      </c>
      <c r="H96" s="20">
        <v>0</v>
      </c>
      <c r="I96" s="20">
        <f t="shared" si="293"/>
        <v>0</v>
      </c>
      <c r="J96" s="21">
        <v>0</v>
      </c>
      <c r="K96" s="18">
        <f t="shared" si="294"/>
        <v>0</v>
      </c>
      <c r="L96" s="18">
        <f t="shared" si="295"/>
        <v>2769</v>
      </c>
      <c r="M96" s="921"/>
      <c r="N96" s="17" t="s">
        <v>22</v>
      </c>
      <c r="O96" s="18">
        <v>0</v>
      </c>
      <c r="P96" s="18">
        <v>0</v>
      </c>
      <c r="Q96" s="18">
        <v>0</v>
      </c>
      <c r="R96" s="19">
        <v>0</v>
      </c>
      <c r="S96" s="18">
        <v>0</v>
      </c>
      <c r="T96" s="18">
        <f t="shared" si="296"/>
        <v>0</v>
      </c>
      <c r="U96" s="23">
        <v>0</v>
      </c>
      <c r="V96" s="18">
        <f t="shared" si="297"/>
        <v>0</v>
      </c>
      <c r="W96" s="921"/>
      <c r="X96" s="17" t="s">
        <v>22</v>
      </c>
      <c r="Y96" s="18">
        <f t="shared" ref="Y96:Z96" si="300">C96-O96</f>
        <v>0</v>
      </c>
      <c r="Z96" s="18">
        <f t="shared" si="300"/>
        <v>0</v>
      </c>
      <c r="AA96" s="18">
        <f t="shared" ref="AA96:AC96" si="301">F96-Q96</f>
        <v>2769</v>
      </c>
      <c r="AB96" s="18">
        <f t="shared" si="301"/>
        <v>0</v>
      </c>
      <c r="AC96" s="18">
        <f t="shared" si="301"/>
        <v>0</v>
      </c>
      <c r="AD96" s="18">
        <f t="shared" si="5"/>
        <v>0</v>
      </c>
      <c r="AE96" s="23" t="e">
        <f t="shared" si="6"/>
        <v>#DIV/0!</v>
      </c>
    </row>
    <row r="97" spans="1:31" ht="15.75">
      <c r="A97" s="921"/>
      <c r="B97" s="17" t="s">
        <v>28</v>
      </c>
      <c r="C97" s="18">
        <v>30000</v>
      </c>
      <c r="D97" s="18">
        <v>15000</v>
      </c>
      <c r="E97" s="18">
        <v>30512</v>
      </c>
      <c r="F97" s="18">
        <v>30512</v>
      </c>
      <c r="G97" s="19">
        <v>33451</v>
      </c>
      <c r="H97" s="20">
        <v>34552</v>
      </c>
      <c r="I97" s="20">
        <f t="shared" si="293"/>
        <v>1101</v>
      </c>
      <c r="J97" s="21">
        <f t="shared" ref="J97:J100" si="302">H97/G97*100</f>
        <v>103.29138142357479</v>
      </c>
      <c r="K97" s="18">
        <f t="shared" si="294"/>
        <v>0</v>
      </c>
      <c r="L97" s="18">
        <f t="shared" si="295"/>
        <v>15512</v>
      </c>
      <c r="M97" s="921"/>
      <c r="N97" s="17" t="s">
        <v>28</v>
      </c>
      <c r="O97" s="18">
        <v>30000</v>
      </c>
      <c r="P97" s="18">
        <v>15000</v>
      </c>
      <c r="Q97" s="18">
        <f>16500</f>
        <v>16500</v>
      </c>
      <c r="R97" s="19">
        <v>19800</v>
      </c>
      <c r="S97" s="18">
        <v>22335</v>
      </c>
      <c r="T97" s="18">
        <f t="shared" si="296"/>
        <v>2535</v>
      </c>
      <c r="U97" s="23">
        <f t="shared" ref="U97:U100" si="303">S97/R97*100</f>
        <v>112.8030303030303</v>
      </c>
      <c r="V97" s="18">
        <f t="shared" si="297"/>
        <v>1500</v>
      </c>
      <c r="W97" s="921"/>
      <c r="X97" s="17" t="s">
        <v>28</v>
      </c>
      <c r="Y97" s="18">
        <f t="shared" ref="Y97:Z97" si="304">C97-O97</f>
        <v>0</v>
      </c>
      <c r="Z97" s="18">
        <f t="shared" si="304"/>
        <v>0</v>
      </c>
      <c r="AA97" s="18">
        <f t="shared" ref="AA97:AC97" si="305">F97-Q97</f>
        <v>14012</v>
      </c>
      <c r="AB97" s="18">
        <f t="shared" si="305"/>
        <v>13651</v>
      </c>
      <c r="AC97" s="18">
        <f t="shared" si="305"/>
        <v>12217</v>
      </c>
      <c r="AD97" s="18">
        <f t="shared" si="5"/>
        <v>-1434</v>
      </c>
      <c r="AE97" s="23">
        <f t="shared" si="6"/>
        <v>89.495275071423336</v>
      </c>
    </row>
    <row r="98" spans="1:31" ht="15.75">
      <c r="A98" s="921"/>
      <c r="B98" s="17" t="s">
        <v>48</v>
      </c>
      <c r="C98" s="18">
        <v>0</v>
      </c>
      <c r="D98" s="18">
        <v>0</v>
      </c>
      <c r="E98" s="18">
        <v>9102</v>
      </c>
      <c r="F98" s="18">
        <v>9102</v>
      </c>
      <c r="G98" s="19">
        <v>10413</v>
      </c>
      <c r="H98" s="20">
        <v>0</v>
      </c>
      <c r="I98" s="20">
        <f t="shared" si="293"/>
        <v>-10413</v>
      </c>
      <c r="J98" s="21">
        <f t="shared" si="302"/>
        <v>0</v>
      </c>
      <c r="K98" s="18">
        <f t="shared" si="294"/>
        <v>0</v>
      </c>
      <c r="L98" s="18">
        <f t="shared" si="295"/>
        <v>9102</v>
      </c>
      <c r="M98" s="921"/>
      <c r="N98" s="17" t="s">
        <v>48</v>
      </c>
      <c r="O98" s="18">
        <v>0</v>
      </c>
      <c r="P98" s="18">
        <v>0</v>
      </c>
      <c r="Q98" s="18">
        <v>0</v>
      </c>
      <c r="R98" s="19">
        <v>0</v>
      </c>
      <c r="S98" s="18">
        <v>0</v>
      </c>
      <c r="T98" s="18">
        <f t="shared" si="296"/>
        <v>0</v>
      </c>
      <c r="U98" s="23" t="e">
        <f t="shared" si="303"/>
        <v>#DIV/0!</v>
      </c>
      <c r="V98" s="18">
        <f t="shared" si="297"/>
        <v>0</v>
      </c>
      <c r="W98" s="921"/>
      <c r="X98" s="17" t="s">
        <v>48</v>
      </c>
      <c r="Y98" s="18">
        <f t="shared" ref="Y98:Z98" si="306">C98-O98</f>
        <v>0</v>
      </c>
      <c r="Z98" s="18">
        <f t="shared" si="306"/>
        <v>0</v>
      </c>
      <c r="AA98" s="18">
        <f t="shared" ref="AA98:AC98" si="307">F98-Q98</f>
        <v>9102</v>
      </c>
      <c r="AB98" s="18">
        <f t="shared" si="307"/>
        <v>10413</v>
      </c>
      <c r="AC98" s="18">
        <f t="shared" si="307"/>
        <v>0</v>
      </c>
      <c r="AD98" s="18">
        <f t="shared" si="5"/>
        <v>-10413</v>
      </c>
      <c r="AE98" s="23">
        <f t="shared" si="6"/>
        <v>0</v>
      </c>
    </row>
    <row r="99" spans="1:31" ht="15.75">
      <c r="A99" s="921"/>
      <c r="B99" s="17" t="s">
        <v>31</v>
      </c>
      <c r="C99" s="18">
        <v>150000</v>
      </c>
      <c r="D99" s="18">
        <v>75000</v>
      </c>
      <c r="E99" s="18">
        <f>264635+102064</f>
        <v>366699</v>
      </c>
      <c r="F99" s="18">
        <v>120000</v>
      </c>
      <c r="G99" s="19">
        <v>147140</v>
      </c>
      <c r="H99" s="20">
        <v>168616</v>
      </c>
      <c r="I99" s="20">
        <f t="shared" si="293"/>
        <v>21476</v>
      </c>
      <c r="J99" s="21">
        <f t="shared" si="302"/>
        <v>114.59562321598477</v>
      </c>
      <c r="K99" s="18">
        <f t="shared" si="294"/>
        <v>-246699</v>
      </c>
      <c r="L99" s="18">
        <f t="shared" si="295"/>
        <v>45000</v>
      </c>
      <c r="M99" s="921"/>
      <c r="N99" s="17" t="s">
        <v>31</v>
      </c>
      <c r="O99" s="18">
        <v>150000</v>
      </c>
      <c r="P99" s="18">
        <v>75000</v>
      </c>
      <c r="Q99" s="18">
        <f>101542</f>
        <v>101542</v>
      </c>
      <c r="R99" s="19">
        <v>125493</v>
      </c>
      <c r="S99" s="18">
        <v>138602</v>
      </c>
      <c r="T99" s="18">
        <f t="shared" si="296"/>
        <v>13109</v>
      </c>
      <c r="U99" s="23">
        <f t="shared" si="303"/>
        <v>110.44600097216576</v>
      </c>
      <c r="V99" s="18">
        <f t="shared" si="297"/>
        <v>26542</v>
      </c>
      <c r="W99" s="921"/>
      <c r="X99" s="17" t="s">
        <v>31</v>
      </c>
      <c r="Y99" s="18">
        <f t="shared" ref="Y99:Z99" si="308">C99-O99</f>
        <v>0</v>
      </c>
      <c r="Z99" s="18">
        <f t="shared" si="308"/>
        <v>0</v>
      </c>
      <c r="AA99" s="18">
        <f t="shared" ref="AA99:AC99" si="309">F99-Q99</f>
        <v>18458</v>
      </c>
      <c r="AB99" s="18">
        <f t="shared" si="309"/>
        <v>21647</v>
      </c>
      <c r="AC99" s="18">
        <f t="shared" si="309"/>
        <v>30014</v>
      </c>
      <c r="AD99" s="18">
        <f t="shared" si="5"/>
        <v>8367</v>
      </c>
      <c r="AE99" s="23">
        <f t="shared" si="6"/>
        <v>138.65200720654133</v>
      </c>
    </row>
    <row r="100" spans="1:31" ht="15.75">
      <c r="A100" s="921"/>
      <c r="B100" s="17" t="s">
        <v>49</v>
      </c>
      <c r="C100" s="18">
        <v>0</v>
      </c>
      <c r="D100" s="18">
        <v>0</v>
      </c>
      <c r="E100" s="18"/>
      <c r="F100" s="18">
        <v>1794</v>
      </c>
      <c r="G100" s="19">
        <v>1794</v>
      </c>
      <c r="H100" s="20">
        <v>0</v>
      </c>
      <c r="I100" s="20">
        <f t="shared" si="293"/>
        <v>-1794</v>
      </c>
      <c r="J100" s="21">
        <f t="shared" si="302"/>
        <v>0</v>
      </c>
      <c r="K100" s="18">
        <f t="shared" si="294"/>
        <v>1794</v>
      </c>
      <c r="L100" s="18">
        <f t="shared" si="295"/>
        <v>1794</v>
      </c>
      <c r="M100" s="921"/>
      <c r="N100" s="17" t="s">
        <v>49</v>
      </c>
      <c r="O100" s="18">
        <v>0</v>
      </c>
      <c r="P100" s="18">
        <v>0</v>
      </c>
      <c r="Q100" s="18">
        <v>0</v>
      </c>
      <c r="R100" s="19">
        <v>0</v>
      </c>
      <c r="S100" s="18">
        <v>0</v>
      </c>
      <c r="T100" s="18">
        <f t="shared" si="296"/>
        <v>0</v>
      </c>
      <c r="U100" s="23" t="e">
        <f t="shared" si="303"/>
        <v>#DIV/0!</v>
      </c>
      <c r="V100" s="18">
        <f t="shared" si="297"/>
        <v>0</v>
      </c>
      <c r="W100" s="921"/>
      <c r="X100" s="17" t="s">
        <v>49</v>
      </c>
      <c r="Y100" s="18">
        <f t="shared" ref="Y100:Z100" si="310">C100-O100</f>
        <v>0</v>
      </c>
      <c r="Z100" s="18">
        <f t="shared" si="310"/>
        <v>0</v>
      </c>
      <c r="AA100" s="18">
        <f t="shared" ref="AA100:AC100" si="311">F100-Q100</f>
        <v>1794</v>
      </c>
      <c r="AB100" s="18">
        <f t="shared" si="311"/>
        <v>1794</v>
      </c>
      <c r="AC100" s="18">
        <f t="shared" si="311"/>
        <v>0</v>
      </c>
      <c r="AD100" s="18">
        <f t="shared" si="5"/>
        <v>-1794</v>
      </c>
      <c r="AE100" s="23">
        <f t="shared" si="6"/>
        <v>0</v>
      </c>
    </row>
    <row r="101" spans="1:31" ht="15.75">
      <c r="A101" s="921"/>
      <c r="B101" s="39" t="s">
        <v>32</v>
      </c>
      <c r="C101" s="18">
        <v>145000</v>
      </c>
      <c r="D101" s="18">
        <v>108750</v>
      </c>
      <c r="E101" s="18">
        <v>194664</v>
      </c>
      <c r="F101" s="18">
        <v>0</v>
      </c>
      <c r="G101" s="19">
        <v>0</v>
      </c>
      <c r="H101" s="20">
        <v>0</v>
      </c>
      <c r="I101" s="20">
        <f t="shared" si="293"/>
        <v>0</v>
      </c>
      <c r="J101" s="21">
        <v>0</v>
      </c>
      <c r="K101" s="18">
        <f t="shared" si="294"/>
        <v>-194664</v>
      </c>
      <c r="L101" s="18">
        <f t="shared" si="295"/>
        <v>-108750</v>
      </c>
      <c r="M101" s="921"/>
      <c r="N101" s="39" t="s">
        <v>32</v>
      </c>
      <c r="O101" s="18">
        <v>145000</v>
      </c>
      <c r="P101" s="18">
        <v>108750</v>
      </c>
      <c r="Q101" s="18">
        <v>0</v>
      </c>
      <c r="R101" s="19">
        <v>0</v>
      </c>
      <c r="S101" s="18">
        <v>0</v>
      </c>
      <c r="T101" s="18">
        <f t="shared" si="296"/>
        <v>0</v>
      </c>
      <c r="U101" s="23">
        <v>0</v>
      </c>
      <c r="V101" s="18">
        <f t="shared" si="297"/>
        <v>-108750</v>
      </c>
      <c r="W101" s="921"/>
      <c r="X101" s="39" t="s">
        <v>32</v>
      </c>
      <c r="Y101" s="18">
        <f t="shared" ref="Y101:Z101" si="312">C101-O101</f>
        <v>0</v>
      </c>
      <c r="Z101" s="18">
        <f t="shared" si="312"/>
        <v>0</v>
      </c>
      <c r="AA101" s="18">
        <f t="shared" ref="AA101:AC101" si="313">F101-Q101</f>
        <v>0</v>
      </c>
      <c r="AB101" s="18">
        <f t="shared" si="313"/>
        <v>0</v>
      </c>
      <c r="AC101" s="18">
        <f t="shared" si="313"/>
        <v>0</v>
      </c>
      <c r="AD101" s="18">
        <f t="shared" si="5"/>
        <v>0</v>
      </c>
      <c r="AE101" s="23" t="e">
        <f t="shared" si="6"/>
        <v>#DIV/0!</v>
      </c>
    </row>
    <row r="102" spans="1:31" ht="15.75">
      <c r="A102" s="921"/>
      <c r="B102" s="39" t="s">
        <v>50</v>
      </c>
      <c r="C102" s="18">
        <v>0</v>
      </c>
      <c r="D102" s="18">
        <v>0</v>
      </c>
      <c r="E102" s="18"/>
      <c r="F102" s="18">
        <v>0</v>
      </c>
      <c r="G102" s="19">
        <v>0</v>
      </c>
      <c r="H102" s="20">
        <v>0</v>
      </c>
      <c r="I102" s="20">
        <f t="shared" si="293"/>
        <v>0</v>
      </c>
      <c r="J102" s="21">
        <v>0</v>
      </c>
      <c r="K102" s="18"/>
      <c r="L102" s="18">
        <f t="shared" si="295"/>
        <v>0</v>
      </c>
      <c r="M102" s="921"/>
      <c r="N102" s="39" t="s">
        <v>50</v>
      </c>
      <c r="O102" s="18">
        <v>0</v>
      </c>
      <c r="P102" s="18">
        <v>0</v>
      </c>
      <c r="Q102" s="18">
        <v>0</v>
      </c>
      <c r="R102" s="19">
        <v>0</v>
      </c>
      <c r="S102" s="18">
        <v>0</v>
      </c>
      <c r="T102" s="18">
        <f t="shared" si="296"/>
        <v>0</v>
      </c>
      <c r="U102" s="23">
        <v>0</v>
      </c>
      <c r="V102" s="18">
        <f t="shared" si="297"/>
        <v>0</v>
      </c>
      <c r="W102" s="921"/>
      <c r="X102" s="39" t="s">
        <v>50</v>
      </c>
      <c r="Y102" s="18">
        <f t="shared" ref="Y102:AA102" si="314">C102-O102</f>
        <v>0</v>
      </c>
      <c r="Z102" s="18">
        <f t="shared" si="314"/>
        <v>0</v>
      </c>
      <c r="AA102" s="18">
        <f t="shared" si="314"/>
        <v>0</v>
      </c>
      <c r="AB102" s="18">
        <f t="shared" ref="AB102:AC102" si="315">G102-R102</f>
        <v>0</v>
      </c>
      <c r="AC102" s="18">
        <f t="shared" si="315"/>
        <v>0</v>
      </c>
      <c r="AD102" s="18">
        <f t="shared" si="5"/>
        <v>0</v>
      </c>
      <c r="AE102" s="23" t="e">
        <f t="shared" si="6"/>
        <v>#DIV/0!</v>
      </c>
    </row>
    <row r="103" spans="1:31" ht="15.75">
      <c r="A103" s="921"/>
      <c r="B103" s="17" t="s">
        <v>24</v>
      </c>
      <c r="C103" s="18">
        <v>0</v>
      </c>
      <c r="D103" s="18">
        <v>0</v>
      </c>
      <c r="E103" s="18"/>
      <c r="F103" s="18">
        <v>600000</v>
      </c>
      <c r="G103" s="19">
        <v>820000</v>
      </c>
      <c r="H103" s="20">
        <v>657277</v>
      </c>
      <c r="I103" s="20">
        <f t="shared" si="293"/>
        <v>-162723</v>
      </c>
      <c r="J103" s="21">
        <f t="shared" ref="J103:J105" si="316">H103/G103*100</f>
        <v>80.155731707317074</v>
      </c>
      <c r="K103" s="18">
        <f t="shared" ref="K103:K105" si="317">F103-E103</f>
        <v>600000</v>
      </c>
      <c r="L103" s="18">
        <f t="shared" si="295"/>
        <v>600000</v>
      </c>
      <c r="M103" s="921"/>
      <c r="N103" s="17" t="s">
        <v>24</v>
      </c>
      <c r="O103" s="18">
        <v>0</v>
      </c>
      <c r="P103" s="18">
        <v>0</v>
      </c>
      <c r="Q103" s="18">
        <f>380+403419</f>
        <v>403799</v>
      </c>
      <c r="R103" s="19">
        <f>379+567905</f>
        <v>568284</v>
      </c>
      <c r="S103" s="18">
        <f>379+403400</f>
        <v>403779</v>
      </c>
      <c r="T103" s="18">
        <f t="shared" si="296"/>
        <v>-164505</v>
      </c>
      <c r="U103" s="23">
        <f t="shared" ref="U103:U105" si="318">S103/R103*100</f>
        <v>71.052325949701199</v>
      </c>
      <c r="V103" s="18">
        <f t="shared" si="297"/>
        <v>403799</v>
      </c>
      <c r="W103" s="921"/>
      <c r="X103" s="17" t="s">
        <v>24</v>
      </c>
      <c r="Y103" s="18">
        <f t="shared" ref="Y103:Z103" si="319">C103-O103</f>
        <v>0</v>
      </c>
      <c r="Z103" s="18">
        <f t="shared" si="319"/>
        <v>0</v>
      </c>
      <c r="AA103" s="18">
        <f t="shared" ref="AA103:AC103" si="320">F103-Q103</f>
        <v>196201</v>
      </c>
      <c r="AB103" s="18">
        <f t="shared" si="320"/>
        <v>251716</v>
      </c>
      <c r="AC103" s="18">
        <f t="shared" si="320"/>
        <v>253498</v>
      </c>
      <c r="AD103" s="18">
        <f t="shared" si="5"/>
        <v>1782</v>
      </c>
      <c r="AE103" s="23">
        <f t="shared" si="6"/>
        <v>100.70794069506906</v>
      </c>
    </row>
    <row r="104" spans="1:31" ht="15.75">
      <c r="A104" s="921"/>
      <c r="B104" s="39" t="s">
        <v>51</v>
      </c>
      <c r="C104" s="18">
        <v>0</v>
      </c>
      <c r="D104" s="18">
        <v>0</v>
      </c>
      <c r="E104" s="18">
        <v>26193</v>
      </c>
      <c r="F104" s="18">
        <v>40000</v>
      </c>
      <c r="G104" s="19">
        <v>18000</v>
      </c>
      <c r="H104" s="20">
        <v>3696</v>
      </c>
      <c r="I104" s="20">
        <f t="shared" si="293"/>
        <v>-14304</v>
      </c>
      <c r="J104" s="21">
        <f t="shared" si="316"/>
        <v>20.533333333333335</v>
      </c>
      <c r="K104" s="18">
        <f t="shared" si="317"/>
        <v>13807</v>
      </c>
      <c r="L104" s="18">
        <f t="shared" si="295"/>
        <v>40000</v>
      </c>
      <c r="M104" s="921"/>
      <c r="N104" s="39" t="s">
        <v>51</v>
      </c>
      <c r="O104" s="18">
        <v>0</v>
      </c>
      <c r="P104" s="18">
        <v>0</v>
      </c>
      <c r="Q104" s="18">
        <v>0</v>
      </c>
      <c r="R104" s="19">
        <v>0</v>
      </c>
      <c r="S104" s="18">
        <v>0</v>
      </c>
      <c r="T104" s="18">
        <f t="shared" si="296"/>
        <v>0</v>
      </c>
      <c r="U104" s="23" t="e">
        <f t="shared" si="318"/>
        <v>#DIV/0!</v>
      </c>
      <c r="V104" s="18">
        <f t="shared" si="297"/>
        <v>0</v>
      </c>
      <c r="W104" s="921"/>
      <c r="X104" s="39" t="s">
        <v>51</v>
      </c>
      <c r="Y104" s="18">
        <f t="shared" ref="Y104:Z104" si="321">C104-O104</f>
        <v>0</v>
      </c>
      <c r="Z104" s="18">
        <f t="shared" si="321"/>
        <v>0</v>
      </c>
      <c r="AA104" s="18">
        <f t="shared" ref="AA104:AC104" si="322">F104-Q104</f>
        <v>40000</v>
      </c>
      <c r="AB104" s="18">
        <f t="shared" si="322"/>
        <v>18000</v>
      </c>
      <c r="AC104" s="18">
        <f t="shared" si="322"/>
        <v>3696</v>
      </c>
      <c r="AD104" s="18">
        <f t="shared" si="5"/>
        <v>-14304</v>
      </c>
      <c r="AE104" s="23">
        <f t="shared" si="6"/>
        <v>20.533333333333335</v>
      </c>
    </row>
    <row r="105" spans="1:31" ht="15.75">
      <c r="A105" s="922"/>
      <c r="B105" s="25" t="s">
        <v>25</v>
      </c>
      <c r="C105" s="26">
        <f t="shared" ref="C105:I105" si="323">SUM(C95:C104)</f>
        <v>675000</v>
      </c>
      <c r="D105" s="26">
        <f t="shared" si="323"/>
        <v>548750</v>
      </c>
      <c r="E105" s="26">
        <f t="shared" si="323"/>
        <v>1982527</v>
      </c>
      <c r="F105" s="26">
        <f t="shared" si="323"/>
        <v>804177</v>
      </c>
      <c r="G105" s="27">
        <f t="shared" si="323"/>
        <v>1030798</v>
      </c>
      <c r="H105" s="28">
        <f t="shared" si="323"/>
        <v>864141</v>
      </c>
      <c r="I105" s="28">
        <f t="shared" si="323"/>
        <v>-166657</v>
      </c>
      <c r="J105" s="23">
        <f t="shared" si="316"/>
        <v>83.832234831654688</v>
      </c>
      <c r="K105" s="26">
        <f t="shared" si="317"/>
        <v>-1178350</v>
      </c>
      <c r="L105" s="26">
        <f t="shared" si="295"/>
        <v>255427</v>
      </c>
      <c r="M105" s="922"/>
      <c r="N105" s="25" t="s">
        <v>25</v>
      </c>
      <c r="O105" s="26">
        <f t="shared" ref="O105:T105" si="324">SUM(O95:O104)</f>
        <v>675000</v>
      </c>
      <c r="P105" s="26">
        <f t="shared" si="324"/>
        <v>548750</v>
      </c>
      <c r="Q105" s="26">
        <f t="shared" si="324"/>
        <v>521841</v>
      </c>
      <c r="R105" s="27">
        <f t="shared" si="324"/>
        <v>713577</v>
      </c>
      <c r="S105" s="26">
        <f t="shared" si="324"/>
        <v>564716</v>
      </c>
      <c r="T105" s="26">
        <f t="shared" si="324"/>
        <v>-148861</v>
      </c>
      <c r="U105" s="23">
        <f t="shared" si="318"/>
        <v>79.138761479139603</v>
      </c>
      <c r="V105" s="26">
        <f t="shared" si="297"/>
        <v>-26909</v>
      </c>
      <c r="W105" s="922"/>
      <c r="X105" s="25" t="s">
        <v>25</v>
      </c>
      <c r="Y105" s="26">
        <f t="shared" ref="Y105:AA105" si="325">SUM(Y95:Y104)</f>
        <v>0</v>
      </c>
      <c r="Z105" s="26">
        <f t="shared" si="325"/>
        <v>0</v>
      </c>
      <c r="AA105" s="26">
        <f t="shared" si="325"/>
        <v>282336</v>
      </c>
      <c r="AB105" s="18">
        <f t="shared" ref="AB105:AC105" si="326">G105-R105</f>
        <v>317221</v>
      </c>
      <c r="AC105" s="18">
        <f t="shared" si="326"/>
        <v>299425</v>
      </c>
      <c r="AD105" s="18">
        <f t="shared" si="5"/>
        <v>-17796</v>
      </c>
      <c r="AE105" s="23">
        <f t="shared" si="6"/>
        <v>94.390030924812677</v>
      </c>
    </row>
    <row r="106" spans="1:31" ht="15.75">
      <c r="A106" s="37"/>
      <c r="B106" s="31"/>
      <c r="C106" s="32"/>
      <c r="D106" s="32"/>
      <c r="E106" s="32"/>
      <c r="F106" s="32"/>
      <c r="G106" s="32"/>
      <c r="H106" s="40"/>
      <c r="I106" s="34"/>
      <c r="J106" s="49"/>
      <c r="K106" s="32"/>
      <c r="L106" s="32"/>
      <c r="M106" s="37"/>
      <c r="N106" s="31"/>
      <c r="O106" s="32"/>
      <c r="P106" s="32"/>
      <c r="Q106" s="32"/>
      <c r="R106" s="32"/>
      <c r="S106" s="32"/>
      <c r="T106" s="32"/>
      <c r="U106" s="50"/>
      <c r="V106" s="32"/>
      <c r="W106" s="37"/>
      <c r="X106" s="31"/>
      <c r="Y106" s="32"/>
      <c r="Z106" s="32"/>
      <c r="AA106" s="32"/>
      <c r="AB106" s="18">
        <f t="shared" ref="AB106:AC106" si="327">G106-R106</f>
        <v>0</v>
      </c>
      <c r="AC106" s="18">
        <f t="shared" si="327"/>
        <v>0</v>
      </c>
      <c r="AD106" s="18">
        <f t="shared" si="5"/>
        <v>0</v>
      </c>
      <c r="AE106" s="23" t="e">
        <f t="shared" si="6"/>
        <v>#DIV/0!</v>
      </c>
    </row>
    <row r="107" spans="1:31" ht="15.75">
      <c r="A107" s="920" t="s">
        <v>52</v>
      </c>
      <c r="B107" s="17" t="s">
        <v>21</v>
      </c>
      <c r="C107" s="18">
        <v>82923</v>
      </c>
      <c r="D107" s="18">
        <v>82923</v>
      </c>
      <c r="E107" s="18">
        <v>128128</v>
      </c>
      <c r="F107" s="18">
        <v>0</v>
      </c>
      <c r="G107" s="19">
        <v>0</v>
      </c>
      <c r="H107" s="20">
        <v>0</v>
      </c>
      <c r="I107" s="20">
        <f t="shared" ref="I107:I111" si="328">H107-G107</f>
        <v>0</v>
      </c>
      <c r="J107" s="21">
        <v>0</v>
      </c>
      <c r="K107" s="18">
        <f t="shared" ref="K107:K108" si="329">F107-E107</f>
        <v>-128128</v>
      </c>
      <c r="L107" s="18">
        <f t="shared" ref="L107:L112" si="330">F107-D107</f>
        <v>-82923</v>
      </c>
      <c r="M107" s="920" t="s">
        <v>52</v>
      </c>
      <c r="N107" s="17" t="s">
        <v>21</v>
      </c>
      <c r="O107" s="18">
        <v>82923</v>
      </c>
      <c r="P107" s="18">
        <v>82923</v>
      </c>
      <c r="Q107" s="18">
        <v>0</v>
      </c>
      <c r="R107" s="19">
        <v>0</v>
      </c>
      <c r="S107" s="18">
        <v>0</v>
      </c>
      <c r="T107" s="18">
        <f t="shared" ref="T107:T111" si="331">S107-R107</f>
        <v>0</v>
      </c>
      <c r="U107" s="23">
        <v>0</v>
      </c>
      <c r="V107" s="18">
        <f t="shared" ref="V107:V108" si="332">Q107-P107</f>
        <v>-82923</v>
      </c>
      <c r="W107" s="920" t="s">
        <v>52</v>
      </c>
      <c r="X107" s="17" t="s">
        <v>21</v>
      </c>
      <c r="Y107" s="18">
        <f t="shared" ref="Y107:Z107" si="333">C107-O107</f>
        <v>0</v>
      </c>
      <c r="Z107" s="18">
        <f t="shared" si="333"/>
        <v>0</v>
      </c>
      <c r="AA107" s="18">
        <f t="shared" ref="AA107:AC107" si="334">F107-Q107</f>
        <v>0</v>
      </c>
      <c r="AB107" s="18">
        <f t="shared" si="334"/>
        <v>0</v>
      </c>
      <c r="AC107" s="18">
        <f t="shared" si="334"/>
        <v>0</v>
      </c>
      <c r="AD107" s="18">
        <f t="shared" si="5"/>
        <v>0</v>
      </c>
      <c r="AE107" s="23" t="e">
        <f t="shared" si="6"/>
        <v>#DIV/0!</v>
      </c>
    </row>
    <row r="108" spans="1:31" ht="15.75">
      <c r="A108" s="921"/>
      <c r="B108" s="17" t="s">
        <v>28</v>
      </c>
      <c r="C108" s="18">
        <v>152077</v>
      </c>
      <c r="D108" s="18">
        <v>76039</v>
      </c>
      <c r="E108" s="18">
        <v>350353</v>
      </c>
      <c r="F108" s="18">
        <v>155300</v>
      </c>
      <c r="G108" s="19">
        <v>180000</v>
      </c>
      <c r="H108" s="20">
        <v>214969</v>
      </c>
      <c r="I108" s="20">
        <f t="shared" si="328"/>
        <v>34969</v>
      </c>
      <c r="J108" s="21">
        <f t="shared" ref="J108:J112" si="335">H108/G108*100</f>
        <v>119.42722222222221</v>
      </c>
      <c r="K108" s="18">
        <f t="shared" si="329"/>
        <v>-195053</v>
      </c>
      <c r="L108" s="18">
        <f t="shared" si="330"/>
        <v>79261</v>
      </c>
      <c r="M108" s="921"/>
      <c r="N108" s="17" t="s">
        <v>28</v>
      </c>
      <c r="O108" s="18">
        <v>152077</v>
      </c>
      <c r="P108" s="18">
        <v>76039</v>
      </c>
      <c r="Q108" s="18">
        <v>57700</v>
      </c>
      <c r="R108" s="19">
        <v>60000</v>
      </c>
      <c r="S108" s="18">
        <v>67175</v>
      </c>
      <c r="T108" s="18">
        <f t="shared" si="331"/>
        <v>7175</v>
      </c>
      <c r="U108" s="23">
        <f t="shared" ref="U108:U112" si="336">S108/R108*100</f>
        <v>111.95833333333334</v>
      </c>
      <c r="V108" s="18">
        <f t="shared" si="332"/>
        <v>-18339</v>
      </c>
      <c r="W108" s="921"/>
      <c r="X108" s="17" t="s">
        <v>28</v>
      </c>
      <c r="Y108" s="18">
        <f t="shared" ref="Y108:Z108" si="337">C108-O108</f>
        <v>0</v>
      </c>
      <c r="Z108" s="18">
        <f t="shared" si="337"/>
        <v>0</v>
      </c>
      <c r="AA108" s="18">
        <f t="shared" ref="AA108:AC108" si="338">F108-Q108</f>
        <v>97600</v>
      </c>
      <c r="AB108" s="18">
        <f t="shared" si="338"/>
        <v>120000</v>
      </c>
      <c r="AC108" s="18">
        <f t="shared" si="338"/>
        <v>147794</v>
      </c>
      <c r="AD108" s="18">
        <f t="shared" si="5"/>
        <v>27794</v>
      </c>
      <c r="AE108" s="23">
        <f t="shared" si="6"/>
        <v>123.16166666666666</v>
      </c>
    </row>
    <row r="109" spans="1:31" ht="15.75">
      <c r="A109" s="921"/>
      <c r="B109" s="17" t="s">
        <v>53</v>
      </c>
      <c r="C109" s="18">
        <v>0</v>
      </c>
      <c r="D109" s="18">
        <v>0</v>
      </c>
      <c r="E109" s="18"/>
      <c r="F109" s="18">
        <v>0</v>
      </c>
      <c r="G109" s="19">
        <v>2665</v>
      </c>
      <c r="H109" s="20">
        <v>2665</v>
      </c>
      <c r="I109" s="20">
        <f t="shared" si="328"/>
        <v>0</v>
      </c>
      <c r="J109" s="21">
        <f t="shared" si="335"/>
        <v>100</v>
      </c>
      <c r="K109" s="18"/>
      <c r="L109" s="18">
        <f t="shared" si="330"/>
        <v>0</v>
      </c>
      <c r="M109" s="921"/>
      <c r="N109" s="17" t="s">
        <v>53</v>
      </c>
      <c r="O109" s="18"/>
      <c r="P109" s="18"/>
      <c r="Q109" s="18"/>
      <c r="R109" s="19">
        <v>0</v>
      </c>
      <c r="S109" s="18">
        <v>0</v>
      </c>
      <c r="T109" s="18">
        <f t="shared" si="331"/>
        <v>0</v>
      </c>
      <c r="U109" s="23" t="e">
        <f t="shared" si="336"/>
        <v>#DIV/0!</v>
      </c>
      <c r="V109" s="18"/>
      <c r="W109" s="921"/>
      <c r="X109" s="17" t="s">
        <v>53</v>
      </c>
      <c r="Y109" s="18"/>
      <c r="Z109" s="18"/>
      <c r="AA109" s="18">
        <v>0</v>
      </c>
      <c r="AB109" s="18">
        <f t="shared" ref="AB109:AC109" si="339">G109-R109</f>
        <v>2665</v>
      </c>
      <c r="AC109" s="18">
        <f t="shared" si="339"/>
        <v>2665</v>
      </c>
      <c r="AD109" s="18">
        <f t="shared" si="5"/>
        <v>0</v>
      </c>
      <c r="AE109" s="23">
        <f t="shared" si="6"/>
        <v>100</v>
      </c>
    </row>
    <row r="110" spans="1:31" ht="15.75">
      <c r="A110" s="921"/>
      <c r="B110" s="17" t="s">
        <v>31</v>
      </c>
      <c r="C110" s="18">
        <v>53743</v>
      </c>
      <c r="D110" s="18">
        <v>26872</v>
      </c>
      <c r="E110" s="18">
        <v>100416</v>
      </c>
      <c r="F110" s="18">
        <v>40000</v>
      </c>
      <c r="G110" s="19">
        <v>40000</v>
      </c>
      <c r="H110" s="20">
        <v>43374</v>
      </c>
      <c r="I110" s="20">
        <f t="shared" si="328"/>
        <v>3374</v>
      </c>
      <c r="J110" s="21">
        <f t="shared" si="335"/>
        <v>108.43499999999999</v>
      </c>
      <c r="K110" s="18">
        <f t="shared" ref="K110:K112" si="340">F110-E110</f>
        <v>-60416</v>
      </c>
      <c r="L110" s="18">
        <f t="shared" si="330"/>
        <v>13128</v>
      </c>
      <c r="M110" s="921"/>
      <c r="N110" s="17" t="s">
        <v>31</v>
      </c>
      <c r="O110" s="18">
        <v>53743</v>
      </c>
      <c r="P110" s="18">
        <v>26872</v>
      </c>
      <c r="Q110" s="18">
        <v>3900</v>
      </c>
      <c r="R110" s="19">
        <v>5000</v>
      </c>
      <c r="S110" s="18">
        <v>6377</v>
      </c>
      <c r="T110" s="18">
        <f t="shared" si="331"/>
        <v>1377</v>
      </c>
      <c r="U110" s="23">
        <f t="shared" si="336"/>
        <v>127.54</v>
      </c>
      <c r="V110" s="18">
        <f t="shared" ref="V110:V112" si="341">Q110-P110</f>
        <v>-22972</v>
      </c>
      <c r="W110" s="921"/>
      <c r="X110" s="17" t="s">
        <v>31</v>
      </c>
      <c r="Y110" s="18">
        <f t="shared" ref="Y110:Z110" si="342">C110-O110</f>
        <v>0</v>
      </c>
      <c r="Z110" s="18">
        <f t="shared" si="342"/>
        <v>0</v>
      </c>
      <c r="AA110" s="18">
        <f t="shared" ref="AA110:AC110" si="343">F110-Q110</f>
        <v>36100</v>
      </c>
      <c r="AB110" s="18">
        <f t="shared" si="343"/>
        <v>35000</v>
      </c>
      <c r="AC110" s="18">
        <f t="shared" si="343"/>
        <v>36997</v>
      </c>
      <c r="AD110" s="18">
        <f t="shared" si="5"/>
        <v>1997</v>
      </c>
      <c r="AE110" s="23">
        <f t="shared" si="6"/>
        <v>105.70571428571429</v>
      </c>
    </row>
    <row r="111" spans="1:31" ht="15.75">
      <c r="A111" s="921"/>
      <c r="B111" s="17" t="s">
        <v>24</v>
      </c>
      <c r="C111" s="18">
        <v>0</v>
      </c>
      <c r="D111" s="18">
        <v>0</v>
      </c>
      <c r="E111" s="18">
        <v>0</v>
      </c>
      <c r="F111" s="18">
        <v>128100</v>
      </c>
      <c r="G111" s="19">
        <v>91654</v>
      </c>
      <c r="H111" s="20">
        <v>37536</v>
      </c>
      <c r="I111" s="20">
        <f t="shared" si="328"/>
        <v>-54118</v>
      </c>
      <c r="J111" s="21">
        <f t="shared" si="335"/>
        <v>40.954022737687389</v>
      </c>
      <c r="K111" s="18">
        <f t="shared" si="340"/>
        <v>128100</v>
      </c>
      <c r="L111" s="18">
        <f t="shared" si="330"/>
        <v>128100</v>
      </c>
      <c r="M111" s="921"/>
      <c r="N111" s="17" t="s">
        <v>24</v>
      </c>
      <c r="O111" s="18">
        <v>0</v>
      </c>
      <c r="P111" s="18">
        <v>0</v>
      </c>
      <c r="Q111" s="18">
        <v>12439</v>
      </c>
      <c r="R111" s="19">
        <v>14601</v>
      </c>
      <c r="S111" s="18">
        <v>6724</v>
      </c>
      <c r="T111" s="18">
        <f t="shared" si="331"/>
        <v>-7877</v>
      </c>
      <c r="U111" s="23">
        <f t="shared" si="336"/>
        <v>46.051640298609684</v>
      </c>
      <c r="V111" s="18">
        <f t="shared" si="341"/>
        <v>12439</v>
      </c>
      <c r="W111" s="921"/>
      <c r="X111" s="17" t="s">
        <v>24</v>
      </c>
      <c r="Y111" s="18">
        <f t="shared" ref="Y111:Z111" si="344">C111-O111</f>
        <v>0</v>
      </c>
      <c r="Z111" s="18">
        <f t="shared" si="344"/>
        <v>0</v>
      </c>
      <c r="AA111" s="18">
        <f t="shared" ref="AA111:AC111" si="345">F111-Q111</f>
        <v>115661</v>
      </c>
      <c r="AB111" s="18">
        <f t="shared" si="345"/>
        <v>77053</v>
      </c>
      <c r="AC111" s="18">
        <f t="shared" si="345"/>
        <v>30812</v>
      </c>
      <c r="AD111" s="18">
        <f t="shared" si="5"/>
        <v>-46241</v>
      </c>
      <c r="AE111" s="23">
        <f t="shared" si="6"/>
        <v>39.988060166378986</v>
      </c>
    </row>
    <row r="112" spans="1:31" ht="15.75">
      <c r="A112" s="922"/>
      <c r="B112" s="25" t="s">
        <v>25</v>
      </c>
      <c r="C112" s="26">
        <f t="shared" ref="C112:I112" si="346">SUM(C107:C111)</f>
        <v>288743</v>
      </c>
      <c r="D112" s="26">
        <f t="shared" si="346"/>
        <v>185834</v>
      </c>
      <c r="E112" s="26">
        <f t="shared" si="346"/>
        <v>578897</v>
      </c>
      <c r="F112" s="26">
        <f t="shared" si="346"/>
        <v>323400</v>
      </c>
      <c r="G112" s="27">
        <f t="shared" si="346"/>
        <v>314319</v>
      </c>
      <c r="H112" s="28">
        <f t="shared" si="346"/>
        <v>298544</v>
      </c>
      <c r="I112" s="28">
        <f t="shared" si="346"/>
        <v>-15775</v>
      </c>
      <c r="J112" s="23">
        <f t="shared" si="335"/>
        <v>94.981213353313038</v>
      </c>
      <c r="K112" s="26">
        <f t="shared" si="340"/>
        <v>-255497</v>
      </c>
      <c r="L112" s="26">
        <f t="shared" si="330"/>
        <v>137566</v>
      </c>
      <c r="M112" s="922"/>
      <c r="N112" s="25" t="s">
        <v>25</v>
      </c>
      <c r="O112" s="26">
        <f t="shared" ref="O112:T112" si="347">SUM(O107:O111)</f>
        <v>288743</v>
      </c>
      <c r="P112" s="26">
        <f t="shared" si="347"/>
        <v>185834</v>
      </c>
      <c r="Q112" s="26">
        <f t="shared" si="347"/>
        <v>74039</v>
      </c>
      <c r="R112" s="27">
        <f t="shared" si="347"/>
        <v>79601</v>
      </c>
      <c r="S112" s="26">
        <f t="shared" si="347"/>
        <v>80276</v>
      </c>
      <c r="T112" s="26">
        <f t="shared" si="347"/>
        <v>675</v>
      </c>
      <c r="U112" s="23">
        <f t="shared" si="336"/>
        <v>100.84797929674249</v>
      </c>
      <c r="V112" s="26">
        <f t="shared" si="341"/>
        <v>-111795</v>
      </c>
      <c r="W112" s="922"/>
      <c r="X112" s="25" t="s">
        <v>25</v>
      </c>
      <c r="Y112" s="26">
        <f t="shared" ref="Y112:AA112" si="348">SUM(Y107:Y111)</f>
        <v>0</v>
      </c>
      <c r="Z112" s="26">
        <f t="shared" si="348"/>
        <v>0</v>
      </c>
      <c r="AA112" s="26">
        <f t="shared" si="348"/>
        <v>249361</v>
      </c>
      <c r="AB112" s="18">
        <f t="shared" ref="AB112:AC112" si="349">G112-R112</f>
        <v>234718</v>
      </c>
      <c r="AC112" s="18">
        <f t="shared" si="349"/>
        <v>218268</v>
      </c>
      <c r="AD112" s="18">
        <f t="shared" si="5"/>
        <v>-16450</v>
      </c>
      <c r="AE112" s="23">
        <f t="shared" si="6"/>
        <v>92.991589907889477</v>
      </c>
    </row>
    <row r="113" spans="1:31" ht="15.75">
      <c r="A113" s="37"/>
      <c r="B113" s="31"/>
      <c r="C113" s="32"/>
      <c r="D113" s="32"/>
      <c r="E113" s="32"/>
      <c r="F113" s="32"/>
      <c r="G113" s="32"/>
      <c r="H113" s="34"/>
      <c r="I113" s="34"/>
      <c r="J113" s="49"/>
      <c r="K113" s="32"/>
      <c r="L113" s="32"/>
      <c r="M113" s="37"/>
      <c r="N113" s="31"/>
      <c r="O113" s="32"/>
      <c r="P113" s="32"/>
      <c r="Q113" s="32"/>
      <c r="R113" s="32"/>
      <c r="S113" s="32"/>
      <c r="T113" s="32"/>
      <c r="U113" s="50"/>
      <c r="V113" s="32"/>
      <c r="W113" s="37"/>
      <c r="X113" s="31"/>
      <c r="Y113" s="32"/>
      <c r="Z113" s="32"/>
      <c r="AA113" s="32"/>
      <c r="AB113" s="18">
        <f t="shared" ref="AB113:AC113" si="350">G113-R113</f>
        <v>0</v>
      </c>
      <c r="AC113" s="18">
        <f t="shared" si="350"/>
        <v>0</v>
      </c>
      <c r="AD113" s="18">
        <f t="shared" si="5"/>
        <v>0</v>
      </c>
      <c r="AE113" s="23" t="e">
        <f t="shared" si="6"/>
        <v>#DIV/0!</v>
      </c>
    </row>
    <row r="114" spans="1:31" ht="15.75">
      <c r="A114" s="920" t="s">
        <v>54</v>
      </c>
      <c r="B114" s="17" t="s">
        <v>21</v>
      </c>
      <c r="C114" s="18">
        <v>400000</v>
      </c>
      <c r="D114" s="18">
        <v>400000</v>
      </c>
      <c r="E114" s="18">
        <v>535727</v>
      </c>
      <c r="F114" s="18">
        <v>0</v>
      </c>
      <c r="G114" s="19">
        <v>0</v>
      </c>
      <c r="H114" s="20">
        <v>0</v>
      </c>
      <c r="I114" s="20">
        <f t="shared" ref="I114:I120" si="351">H114-G114</f>
        <v>0</v>
      </c>
      <c r="J114" s="21">
        <v>0</v>
      </c>
      <c r="K114" s="18">
        <f t="shared" ref="K114:K117" si="352">F114-E114</f>
        <v>-535727</v>
      </c>
      <c r="L114" s="18">
        <f t="shared" ref="L114:L117" si="353">F114-D114</f>
        <v>-400000</v>
      </c>
      <c r="M114" s="920" t="s">
        <v>54</v>
      </c>
      <c r="N114" s="17" t="s">
        <v>21</v>
      </c>
      <c r="O114" s="18">
        <v>400000</v>
      </c>
      <c r="P114" s="18">
        <v>400000</v>
      </c>
      <c r="Q114" s="18">
        <v>0</v>
      </c>
      <c r="R114" s="19">
        <v>0</v>
      </c>
      <c r="S114" s="18">
        <v>0</v>
      </c>
      <c r="T114" s="18">
        <f t="shared" ref="T114:T120" si="354">S114-R114</f>
        <v>0</v>
      </c>
      <c r="U114" s="23">
        <v>0</v>
      </c>
      <c r="V114" s="18">
        <f t="shared" ref="V114:V117" si="355">Q114-P114</f>
        <v>-400000</v>
      </c>
      <c r="W114" s="920" t="s">
        <v>54</v>
      </c>
      <c r="X114" s="17" t="s">
        <v>21</v>
      </c>
      <c r="Y114" s="18">
        <f t="shared" ref="Y114:Z114" si="356">C114-O114</f>
        <v>0</v>
      </c>
      <c r="Z114" s="18">
        <f t="shared" si="356"/>
        <v>0</v>
      </c>
      <c r="AA114" s="18">
        <f t="shared" ref="AA114:AC114" si="357">F114-Q114</f>
        <v>0</v>
      </c>
      <c r="AB114" s="18">
        <f t="shared" si="357"/>
        <v>0</v>
      </c>
      <c r="AC114" s="18">
        <f t="shared" si="357"/>
        <v>0</v>
      </c>
      <c r="AD114" s="18">
        <f t="shared" si="5"/>
        <v>0</v>
      </c>
      <c r="AE114" s="23" t="e">
        <f t="shared" si="6"/>
        <v>#DIV/0!</v>
      </c>
    </row>
    <row r="115" spans="1:31" ht="15.75">
      <c r="A115" s="921"/>
      <c r="B115" s="17" t="s">
        <v>28</v>
      </c>
      <c r="C115" s="18">
        <v>95007</v>
      </c>
      <c r="D115" s="18">
        <v>47504</v>
      </c>
      <c r="E115" s="18">
        <v>163734</v>
      </c>
      <c r="F115" s="18">
        <v>123734</v>
      </c>
      <c r="G115" s="19">
        <v>87305</v>
      </c>
      <c r="H115" s="20">
        <v>56952</v>
      </c>
      <c r="I115" s="20">
        <f t="shared" si="351"/>
        <v>-30353</v>
      </c>
      <c r="J115" s="21">
        <f t="shared" ref="J115:J119" si="358">H115/G115*100</f>
        <v>65.233377240707867</v>
      </c>
      <c r="K115" s="18">
        <f t="shared" si="352"/>
        <v>-40000</v>
      </c>
      <c r="L115" s="18">
        <f t="shared" si="353"/>
        <v>76230</v>
      </c>
      <c r="M115" s="921"/>
      <c r="N115" s="17" t="s">
        <v>28</v>
      </c>
      <c r="O115" s="18">
        <v>95007</v>
      </c>
      <c r="P115" s="18">
        <v>47504</v>
      </c>
      <c r="Q115" s="18">
        <v>0</v>
      </c>
      <c r="R115" s="19">
        <v>0</v>
      </c>
      <c r="S115" s="18">
        <v>0</v>
      </c>
      <c r="T115" s="18">
        <f t="shared" si="354"/>
        <v>0</v>
      </c>
      <c r="U115" s="23" t="e">
        <f t="shared" ref="U115:U119" si="359">S115/R115*100</f>
        <v>#DIV/0!</v>
      </c>
      <c r="V115" s="18">
        <f t="shared" si="355"/>
        <v>-47504</v>
      </c>
      <c r="W115" s="921"/>
      <c r="X115" s="17" t="s">
        <v>28</v>
      </c>
      <c r="Y115" s="18">
        <f t="shared" ref="Y115:Z115" si="360">C115-O115</f>
        <v>0</v>
      </c>
      <c r="Z115" s="18">
        <f t="shared" si="360"/>
        <v>0</v>
      </c>
      <c r="AA115" s="18">
        <f t="shared" ref="AA115:AC115" si="361">F115-Q115</f>
        <v>123734</v>
      </c>
      <c r="AB115" s="18">
        <f t="shared" si="361"/>
        <v>87305</v>
      </c>
      <c r="AC115" s="18">
        <f t="shared" si="361"/>
        <v>56952</v>
      </c>
      <c r="AD115" s="18">
        <f t="shared" si="5"/>
        <v>-30353</v>
      </c>
      <c r="AE115" s="23">
        <f t="shared" si="6"/>
        <v>65.233377240707867</v>
      </c>
    </row>
    <row r="116" spans="1:31" ht="15.75">
      <c r="A116" s="921"/>
      <c r="B116" s="17" t="s">
        <v>31</v>
      </c>
      <c r="C116" s="18">
        <v>411033</v>
      </c>
      <c r="D116" s="18">
        <v>205517</v>
      </c>
      <c r="E116" s="18">
        <v>807304</v>
      </c>
      <c r="F116" s="18">
        <v>290000</v>
      </c>
      <c r="G116" s="19">
        <v>327300</v>
      </c>
      <c r="H116" s="20">
        <v>352447</v>
      </c>
      <c r="I116" s="20">
        <f t="shared" si="351"/>
        <v>25147</v>
      </c>
      <c r="J116" s="21">
        <f t="shared" si="358"/>
        <v>107.68316529178124</v>
      </c>
      <c r="K116" s="18">
        <f t="shared" si="352"/>
        <v>-517304</v>
      </c>
      <c r="L116" s="18">
        <f t="shared" si="353"/>
        <v>84483</v>
      </c>
      <c r="M116" s="921"/>
      <c r="N116" s="17" t="s">
        <v>31</v>
      </c>
      <c r="O116" s="18">
        <v>411033</v>
      </c>
      <c r="P116" s="18">
        <v>205517</v>
      </c>
      <c r="Q116" s="18">
        <v>115200</v>
      </c>
      <c r="R116" s="19">
        <v>125614</v>
      </c>
      <c r="S116" s="18">
        <v>132013</v>
      </c>
      <c r="T116" s="18">
        <f t="shared" si="354"/>
        <v>6399</v>
      </c>
      <c r="U116" s="23">
        <f t="shared" si="359"/>
        <v>105.0941774006082</v>
      </c>
      <c r="V116" s="18">
        <f t="shared" si="355"/>
        <v>-90317</v>
      </c>
      <c r="W116" s="921"/>
      <c r="X116" s="17" t="s">
        <v>31</v>
      </c>
      <c r="Y116" s="18">
        <f t="shared" ref="Y116:Z116" si="362">C116-O116</f>
        <v>0</v>
      </c>
      <c r="Z116" s="18">
        <f t="shared" si="362"/>
        <v>0</v>
      </c>
      <c r="AA116" s="18">
        <f t="shared" ref="AA116:AC116" si="363">F116-Q116</f>
        <v>174800</v>
      </c>
      <c r="AB116" s="18">
        <f t="shared" si="363"/>
        <v>201686</v>
      </c>
      <c r="AC116" s="18">
        <f t="shared" si="363"/>
        <v>220434</v>
      </c>
      <c r="AD116" s="18">
        <f t="shared" si="5"/>
        <v>18748</v>
      </c>
      <c r="AE116" s="23">
        <f t="shared" si="6"/>
        <v>109.29563777356881</v>
      </c>
    </row>
    <row r="117" spans="1:31" ht="15.75">
      <c r="A117" s="921"/>
      <c r="B117" s="39" t="s">
        <v>32</v>
      </c>
      <c r="C117" s="18">
        <v>782654</v>
      </c>
      <c r="D117" s="18">
        <v>586991</v>
      </c>
      <c r="E117" s="18">
        <v>1236235</v>
      </c>
      <c r="F117" s="18">
        <v>880000</v>
      </c>
      <c r="G117" s="19">
        <v>938982</v>
      </c>
      <c r="H117" s="20">
        <v>808317</v>
      </c>
      <c r="I117" s="20">
        <f t="shared" si="351"/>
        <v>-130665</v>
      </c>
      <c r="J117" s="21">
        <f t="shared" si="358"/>
        <v>86.084397783983079</v>
      </c>
      <c r="K117" s="18">
        <f t="shared" si="352"/>
        <v>-356235</v>
      </c>
      <c r="L117" s="18">
        <f t="shared" si="353"/>
        <v>293009</v>
      </c>
      <c r="M117" s="921"/>
      <c r="N117" s="39" t="s">
        <v>32</v>
      </c>
      <c r="O117" s="18">
        <v>782654</v>
      </c>
      <c r="P117" s="18">
        <v>586991</v>
      </c>
      <c r="Q117" s="18">
        <v>0</v>
      </c>
      <c r="R117" s="19">
        <v>0</v>
      </c>
      <c r="S117" s="18">
        <v>0</v>
      </c>
      <c r="T117" s="18">
        <f t="shared" si="354"/>
        <v>0</v>
      </c>
      <c r="U117" s="23" t="e">
        <f t="shared" si="359"/>
        <v>#DIV/0!</v>
      </c>
      <c r="V117" s="18">
        <f t="shared" si="355"/>
        <v>-586991</v>
      </c>
      <c r="W117" s="921"/>
      <c r="X117" s="39" t="s">
        <v>32</v>
      </c>
      <c r="Y117" s="18">
        <f t="shared" ref="Y117:Z117" si="364">C117-O117</f>
        <v>0</v>
      </c>
      <c r="Z117" s="18">
        <f t="shared" si="364"/>
        <v>0</v>
      </c>
      <c r="AA117" s="18">
        <f t="shared" ref="AA117:AC117" si="365">F117-Q117</f>
        <v>880000</v>
      </c>
      <c r="AB117" s="18">
        <f t="shared" si="365"/>
        <v>938982</v>
      </c>
      <c r="AC117" s="18">
        <f t="shared" si="365"/>
        <v>808317</v>
      </c>
      <c r="AD117" s="18">
        <f t="shared" si="5"/>
        <v>-130665</v>
      </c>
      <c r="AE117" s="23">
        <f t="shared" si="6"/>
        <v>86.084397783983079</v>
      </c>
    </row>
    <row r="118" spans="1:31" ht="15.75">
      <c r="A118" s="921"/>
      <c r="B118" s="39" t="s">
        <v>33</v>
      </c>
      <c r="C118" s="18">
        <v>0</v>
      </c>
      <c r="D118" s="18"/>
      <c r="E118" s="18"/>
      <c r="F118" s="18">
        <v>0</v>
      </c>
      <c r="G118" s="19">
        <v>2065</v>
      </c>
      <c r="H118" s="20">
        <v>2065</v>
      </c>
      <c r="I118" s="20">
        <f t="shared" si="351"/>
        <v>0</v>
      </c>
      <c r="J118" s="21">
        <f t="shared" si="358"/>
        <v>100</v>
      </c>
      <c r="K118" s="18"/>
      <c r="L118" s="18"/>
      <c r="M118" s="921"/>
      <c r="N118" s="39"/>
      <c r="O118" s="18"/>
      <c r="P118" s="18"/>
      <c r="Q118" s="18"/>
      <c r="R118" s="19">
        <v>0</v>
      </c>
      <c r="S118" s="18"/>
      <c r="T118" s="18">
        <f t="shared" si="354"/>
        <v>0</v>
      </c>
      <c r="U118" s="23" t="e">
        <f t="shared" si="359"/>
        <v>#DIV/0!</v>
      </c>
      <c r="V118" s="18"/>
      <c r="W118" s="921"/>
      <c r="X118" s="39"/>
      <c r="Y118" s="18"/>
      <c r="Z118" s="18"/>
      <c r="AA118" s="18"/>
      <c r="AB118" s="18">
        <f t="shared" ref="AB118:AC118" si="366">G118-R118</f>
        <v>2065</v>
      </c>
      <c r="AC118" s="18">
        <f t="shared" si="366"/>
        <v>2065</v>
      </c>
      <c r="AD118" s="18">
        <f t="shared" si="5"/>
        <v>0</v>
      </c>
      <c r="AE118" s="23">
        <f t="shared" si="6"/>
        <v>100</v>
      </c>
    </row>
    <row r="119" spans="1:31" ht="15.75">
      <c r="A119" s="921"/>
      <c r="B119" s="17" t="s">
        <v>24</v>
      </c>
      <c r="C119" s="18">
        <v>0</v>
      </c>
      <c r="D119" s="18"/>
      <c r="E119" s="18"/>
      <c r="F119" s="18">
        <v>535700</v>
      </c>
      <c r="G119" s="19">
        <v>410000</v>
      </c>
      <c r="H119" s="20">
        <v>414284</v>
      </c>
      <c r="I119" s="20">
        <f t="shared" si="351"/>
        <v>4284</v>
      </c>
      <c r="J119" s="21">
        <f t="shared" si="358"/>
        <v>101.04487804878049</v>
      </c>
      <c r="K119" s="18">
        <f t="shared" ref="K119:K121" si="367">F119-E119</f>
        <v>535700</v>
      </c>
      <c r="L119" s="18">
        <f t="shared" ref="L119:L121" si="368">F119-D119</f>
        <v>535700</v>
      </c>
      <c r="M119" s="921"/>
      <c r="N119" s="17" t="s">
        <v>24</v>
      </c>
      <c r="O119" s="18">
        <v>0</v>
      </c>
      <c r="P119" s="18">
        <v>0</v>
      </c>
      <c r="Q119" s="18">
        <v>0</v>
      </c>
      <c r="R119" s="19">
        <v>0</v>
      </c>
      <c r="S119" s="18">
        <v>0</v>
      </c>
      <c r="T119" s="18">
        <f t="shared" si="354"/>
        <v>0</v>
      </c>
      <c r="U119" s="23" t="e">
        <f t="shared" si="359"/>
        <v>#DIV/0!</v>
      </c>
      <c r="V119" s="18">
        <f t="shared" ref="V119:V121" si="369">Q119-P119</f>
        <v>0</v>
      </c>
      <c r="W119" s="921"/>
      <c r="X119" s="17" t="s">
        <v>24</v>
      </c>
      <c r="Y119" s="18">
        <f t="shared" ref="Y119:Z119" si="370">C119-O119</f>
        <v>0</v>
      </c>
      <c r="Z119" s="18">
        <f t="shared" si="370"/>
        <v>0</v>
      </c>
      <c r="AA119" s="18">
        <f t="shared" ref="AA119:AC119" si="371">F119-Q119</f>
        <v>535700</v>
      </c>
      <c r="AB119" s="18">
        <f t="shared" si="371"/>
        <v>410000</v>
      </c>
      <c r="AC119" s="18">
        <f t="shared" si="371"/>
        <v>414284</v>
      </c>
      <c r="AD119" s="18">
        <f t="shared" si="5"/>
        <v>4284</v>
      </c>
      <c r="AE119" s="23">
        <f t="shared" si="6"/>
        <v>101.04487804878049</v>
      </c>
    </row>
    <row r="120" spans="1:31" ht="15.75">
      <c r="A120" s="921"/>
      <c r="B120" s="39" t="s">
        <v>55</v>
      </c>
      <c r="C120" s="18">
        <v>7500000</v>
      </c>
      <c r="D120" s="18">
        <v>7500000</v>
      </c>
      <c r="E120" s="18">
        <v>7500000</v>
      </c>
      <c r="F120" s="18">
        <v>0</v>
      </c>
      <c r="G120" s="19">
        <v>0</v>
      </c>
      <c r="H120" s="20">
        <v>0</v>
      </c>
      <c r="I120" s="20">
        <f t="shared" si="351"/>
        <v>0</v>
      </c>
      <c r="J120" s="21">
        <v>0</v>
      </c>
      <c r="K120" s="18">
        <f t="shared" si="367"/>
        <v>-7500000</v>
      </c>
      <c r="L120" s="18">
        <f t="shared" si="368"/>
        <v>-7500000</v>
      </c>
      <c r="M120" s="921"/>
      <c r="N120" s="39" t="s">
        <v>55</v>
      </c>
      <c r="O120" s="18">
        <v>0</v>
      </c>
      <c r="P120" s="18">
        <v>0</v>
      </c>
      <c r="Q120" s="18">
        <v>0</v>
      </c>
      <c r="R120" s="19">
        <v>0</v>
      </c>
      <c r="S120" s="18">
        <v>0</v>
      </c>
      <c r="T120" s="18">
        <f t="shared" si="354"/>
        <v>0</v>
      </c>
      <c r="U120" s="23">
        <v>0</v>
      </c>
      <c r="V120" s="18">
        <f t="shared" si="369"/>
        <v>0</v>
      </c>
      <c r="W120" s="921"/>
      <c r="X120" s="39" t="s">
        <v>55</v>
      </c>
      <c r="Y120" s="18">
        <f t="shared" ref="Y120:Z120" si="372">C120-O120</f>
        <v>7500000</v>
      </c>
      <c r="Z120" s="18">
        <f t="shared" si="372"/>
        <v>7500000</v>
      </c>
      <c r="AA120" s="18">
        <f t="shared" ref="AA120:AC120" si="373">F120-Q120</f>
        <v>0</v>
      </c>
      <c r="AB120" s="18">
        <f t="shared" si="373"/>
        <v>0</v>
      </c>
      <c r="AC120" s="18">
        <f t="shared" si="373"/>
        <v>0</v>
      </c>
      <c r="AD120" s="18">
        <f t="shared" si="5"/>
        <v>0</v>
      </c>
      <c r="AE120" s="23" t="e">
        <f t="shared" si="6"/>
        <v>#DIV/0!</v>
      </c>
    </row>
    <row r="121" spans="1:31" ht="15.75">
      <c r="A121" s="922"/>
      <c r="B121" s="25" t="s">
        <v>25</v>
      </c>
      <c r="C121" s="26">
        <f t="shared" ref="C121:I121" si="374">SUM(C114:C120)</f>
        <v>9188694</v>
      </c>
      <c r="D121" s="26">
        <f t="shared" si="374"/>
        <v>8740012</v>
      </c>
      <c r="E121" s="26">
        <f t="shared" si="374"/>
        <v>10243000</v>
      </c>
      <c r="F121" s="26">
        <f t="shared" si="374"/>
        <v>1829434</v>
      </c>
      <c r="G121" s="27">
        <f t="shared" si="374"/>
        <v>1765652</v>
      </c>
      <c r="H121" s="28">
        <f t="shared" si="374"/>
        <v>1634065</v>
      </c>
      <c r="I121" s="28">
        <f t="shared" si="374"/>
        <v>-131587</v>
      </c>
      <c r="J121" s="23">
        <f>H121/G121*100</f>
        <v>92.547398921191714</v>
      </c>
      <c r="K121" s="26">
        <f t="shared" si="367"/>
        <v>-8413566</v>
      </c>
      <c r="L121" s="26">
        <f t="shared" si="368"/>
        <v>-6910578</v>
      </c>
      <c r="M121" s="922"/>
      <c r="N121" s="25" t="s">
        <v>25</v>
      </c>
      <c r="O121" s="26">
        <f t="shared" ref="O121:T121" si="375">SUM(O114:O120)</f>
        <v>1688694</v>
      </c>
      <c r="P121" s="26">
        <f t="shared" si="375"/>
        <v>1240012</v>
      </c>
      <c r="Q121" s="26">
        <f t="shared" si="375"/>
        <v>115200</v>
      </c>
      <c r="R121" s="27">
        <f t="shared" si="375"/>
        <v>125614</v>
      </c>
      <c r="S121" s="26">
        <f t="shared" si="375"/>
        <v>132013</v>
      </c>
      <c r="T121" s="26">
        <f t="shared" si="375"/>
        <v>6399</v>
      </c>
      <c r="U121" s="23">
        <f>S121/R121*100</f>
        <v>105.0941774006082</v>
      </c>
      <c r="V121" s="26">
        <f t="shared" si="369"/>
        <v>-1124812</v>
      </c>
      <c r="W121" s="922"/>
      <c r="X121" s="25" t="s">
        <v>25</v>
      </c>
      <c r="Y121" s="26">
        <f t="shared" ref="Y121:AA121" si="376">SUM(Y114:Y120)</f>
        <v>7500000</v>
      </c>
      <c r="Z121" s="26">
        <f t="shared" si="376"/>
        <v>7500000</v>
      </c>
      <c r="AA121" s="26">
        <f t="shared" si="376"/>
        <v>1714234</v>
      </c>
      <c r="AB121" s="18">
        <f t="shared" ref="AB121:AC121" si="377">G121-R121</f>
        <v>1640038</v>
      </c>
      <c r="AC121" s="18">
        <f t="shared" si="377"/>
        <v>1502052</v>
      </c>
      <c r="AD121" s="18">
        <f t="shared" si="5"/>
        <v>-137986</v>
      </c>
      <c r="AE121" s="23">
        <f t="shared" si="6"/>
        <v>91.586414461128342</v>
      </c>
    </row>
    <row r="122" spans="1:31" ht="15.75">
      <c r="A122" s="37"/>
      <c r="B122" s="31"/>
      <c r="C122" s="32"/>
      <c r="D122" s="32"/>
      <c r="E122" s="32"/>
      <c r="F122" s="32"/>
      <c r="G122" s="32"/>
      <c r="H122" s="40"/>
      <c r="I122" s="34"/>
      <c r="J122" s="49"/>
      <c r="K122" s="32"/>
      <c r="L122" s="32"/>
      <c r="M122" s="37"/>
      <c r="N122" s="31"/>
      <c r="O122" s="32"/>
      <c r="P122" s="32"/>
      <c r="Q122" s="32"/>
      <c r="R122" s="32"/>
      <c r="S122" s="32"/>
      <c r="T122" s="32"/>
      <c r="U122" s="50"/>
      <c r="V122" s="32"/>
      <c r="W122" s="37"/>
      <c r="X122" s="31"/>
      <c r="Y122" s="32"/>
      <c r="Z122" s="32"/>
      <c r="AA122" s="32"/>
      <c r="AB122" s="18">
        <f t="shared" ref="AB122:AC122" si="378">G122-R122</f>
        <v>0</v>
      </c>
      <c r="AC122" s="18">
        <f t="shared" si="378"/>
        <v>0</v>
      </c>
      <c r="AD122" s="18">
        <f t="shared" si="5"/>
        <v>0</v>
      </c>
      <c r="AE122" s="23" t="e">
        <f t="shared" si="6"/>
        <v>#DIV/0!</v>
      </c>
    </row>
    <row r="123" spans="1:31" ht="15.75">
      <c r="A123" s="920" t="s">
        <v>56</v>
      </c>
      <c r="B123" s="17" t="s">
        <v>21</v>
      </c>
      <c r="C123" s="18">
        <v>29885</v>
      </c>
      <c r="D123" s="18">
        <v>29885</v>
      </c>
      <c r="E123" s="18">
        <v>46206</v>
      </c>
      <c r="F123" s="18">
        <v>0</v>
      </c>
      <c r="G123" s="19">
        <v>0</v>
      </c>
      <c r="H123" s="20">
        <v>0</v>
      </c>
      <c r="I123" s="20">
        <f t="shared" ref="I123:I129" si="379">H123-G123</f>
        <v>0</v>
      </c>
      <c r="J123" s="21">
        <v>0</v>
      </c>
      <c r="K123" s="18">
        <f t="shared" ref="K123:K126" si="380">F123-E123</f>
        <v>-46206</v>
      </c>
      <c r="L123" s="18">
        <f t="shared" ref="L123:L126" si="381">F123-D123</f>
        <v>-29885</v>
      </c>
      <c r="M123" s="920" t="s">
        <v>56</v>
      </c>
      <c r="N123" s="17" t="s">
        <v>21</v>
      </c>
      <c r="O123" s="18">
        <v>29885</v>
      </c>
      <c r="P123" s="18">
        <v>29885</v>
      </c>
      <c r="Q123" s="18">
        <v>0</v>
      </c>
      <c r="R123" s="19">
        <v>0</v>
      </c>
      <c r="S123" s="18">
        <v>0</v>
      </c>
      <c r="T123" s="18">
        <f t="shared" ref="T123:T129" si="382">S123-R123</f>
        <v>0</v>
      </c>
      <c r="U123" s="23">
        <v>0</v>
      </c>
      <c r="V123" s="18">
        <f t="shared" ref="V123:V126" si="383">Q123-P123</f>
        <v>-29885</v>
      </c>
      <c r="W123" s="920" t="s">
        <v>56</v>
      </c>
      <c r="X123" s="17" t="s">
        <v>21</v>
      </c>
      <c r="Y123" s="18">
        <f t="shared" ref="Y123:Z123" si="384">C123-O123</f>
        <v>0</v>
      </c>
      <c r="Z123" s="18">
        <f t="shared" si="384"/>
        <v>0</v>
      </c>
      <c r="AA123" s="18">
        <f t="shared" ref="AA123:AC123" si="385">F123-Q123</f>
        <v>0</v>
      </c>
      <c r="AB123" s="18">
        <f t="shared" si="385"/>
        <v>0</v>
      </c>
      <c r="AC123" s="18">
        <f t="shared" si="385"/>
        <v>0</v>
      </c>
      <c r="AD123" s="18">
        <f t="shared" si="5"/>
        <v>0</v>
      </c>
      <c r="AE123" s="23" t="e">
        <f t="shared" si="6"/>
        <v>#DIV/0!</v>
      </c>
    </row>
    <row r="124" spans="1:31" ht="15.75">
      <c r="A124" s="921"/>
      <c r="B124" s="17" t="s">
        <v>57</v>
      </c>
      <c r="C124" s="18">
        <v>62500</v>
      </c>
      <c r="D124" s="18">
        <v>62500</v>
      </c>
      <c r="E124" s="18">
        <v>22665</v>
      </c>
      <c r="F124" s="18">
        <v>62500</v>
      </c>
      <c r="G124" s="19">
        <v>221</v>
      </c>
      <c r="H124" s="20">
        <v>0</v>
      </c>
      <c r="I124" s="20">
        <f t="shared" si="379"/>
        <v>-221</v>
      </c>
      <c r="J124" s="21">
        <f t="shared" ref="J124:J127" si="386">H124/G124*100</f>
        <v>0</v>
      </c>
      <c r="K124" s="18">
        <f t="shared" si="380"/>
        <v>39835</v>
      </c>
      <c r="L124" s="18">
        <f t="shared" si="381"/>
        <v>0</v>
      </c>
      <c r="M124" s="921"/>
      <c r="N124" s="17" t="s">
        <v>57</v>
      </c>
      <c r="O124" s="18">
        <v>62500</v>
      </c>
      <c r="P124" s="18">
        <v>62500</v>
      </c>
      <c r="Q124" s="18">
        <v>0</v>
      </c>
      <c r="R124" s="19">
        <v>0</v>
      </c>
      <c r="S124" s="18">
        <v>0</v>
      </c>
      <c r="T124" s="18">
        <f t="shared" si="382"/>
        <v>0</v>
      </c>
      <c r="U124" s="23" t="e">
        <f t="shared" ref="U124:U127" si="387">S124/R124*100</f>
        <v>#DIV/0!</v>
      </c>
      <c r="V124" s="18">
        <f t="shared" si="383"/>
        <v>-62500</v>
      </c>
      <c r="W124" s="921"/>
      <c r="X124" s="17" t="s">
        <v>57</v>
      </c>
      <c r="Y124" s="18">
        <f t="shared" ref="Y124:Z124" si="388">C124-O124</f>
        <v>0</v>
      </c>
      <c r="Z124" s="18">
        <f t="shared" si="388"/>
        <v>0</v>
      </c>
      <c r="AA124" s="18">
        <f t="shared" ref="AA124:AC124" si="389">F124-Q124</f>
        <v>62500</v>
      </c>
      <c r="AB124" s="18">
        <f t="shared" si="389"/>
        <v>221</v>
      </c>
      <c r="AC124" s="18">
        <f t="shared" si="389"/>
        <v>0</v>
      </c>
      <c r="AD124" s="18">
        <f t="shared" si="5"/>
        <v>-221</v>
      </c>
      <c r="AE124" s="23">
        <f t="shared" si="6"/>
        <v>0</v>
      </c>
    </row>
    <row r="125" spans="1:31" ht="15.75">
      <c r="A125" s="921"/>
      <c r="B125" s="17" t="s">
        <v>28</v>
      </c>
      <c r="C125" s="18">
        <v>20569</v>
      </c>
      <c r="D125" s="18">
        <v>10285</v>
      </c>
      <c r="E125" s="18">
        <v>50979</v>
      </c>
      <c r="F125" s="18">
        <v>10000</v>
      </c>
      <c r="G125" s="19">
        <v>8509</v>
      </c>
      <c r="H125" s="20">
        <v>669</v>
      </c>
      <c r="I125" s="20">
        <f t="shared" si="379"/>
        <v>-7840</v>
      </c>
      <c r="J125" s="21">
        <f t="shared" si="386"/>
        <v>7.8622634857210008</v>
      </c>
      <c r="K125" s="18">
        <f t="shared" si="380"/>
        <v>-40979</v>
      </c>
      <c r="L125" s="18">
        <f t="shared" si="381"/>
        <v>-285</v>
      </c>
      <c r="M125" s="921"/>
      <c r="N125" s="17" t="s">
        <v>28</v>
      </c>
      <c r="O125" s="18">
        <v>20569</v>
      </c>
      <c r="P125" s="18">
        <v>10285</v>
      </c>
      <c r="Q125" s="18">
        <v>500</v>
      </c>
      <c r="R125" s="19">
        <v>0</v>
      </c>
      <c r="S125" s="18">
        <v>0</v>
      </c>
      <c r="T125" s="18">
        <f t="shared" si="382"/>
        <v>0</v>
      </c>
      <c r="U125" s="23" t="e">
        <f t="shared" si="387"/>
        <v>#DIV/0!</v>
      </c>
      <c r="V125" s="18">
        <f t="shared" si="383"/>
        <v>-9785</v>
      </c>
      <c r="W125" s="921"/>
      <c r="X125" s="17" t="s">
        <v>28</v>
      </c>
      <c r="Y125" s="18">
        <f t="shared" ref="Y125:Z125" si="390">C125-O125</f>
        <v>0</v>
      </c>
      <c r="Z125" s="18">
        <f t="shared" si="390"/>
        <v>0</v>
      </c>
      <c r="AA125" s="18">
        <f t="shared" ref="AA125:AC125" si="391">F125-Q125</f>
        <v>9500</v>
      </c>
      <c r="AB125" s="18">
        <f t="shared" si="391"/>
        <v>8509</v>
      </c>
      <c r="AC125" s="18">
        <f t="shared" si="391"/>
        <v>669</v>
      </c>
      <c r="AD125" s="18">
        <f t="shared" si="5"/>
        <v>-7840</v>
      </c>
      <c r="AE125" s="23">
        <f t="shared" si="6"/>
        <v>7.8622634857210008</v>
      </c>
    </row>
    <row r="126" spans="1:31" ht="15.75">
      <c r="A126" s="921"/>
      <c r="B126" s="17" t="s">
        <v>31</v>
      </c>
      <c r="C126" s="18">
        <v>99293</v>
      </c>
      <c r="D126" s="18">
        <v>49647</v>
      </c>
      <c r="E126" s="18">
        <f>1036+62631+286104+2000</f>
        <v>351771</v>
      </c>
      <c r="F126" s="18">
        <v>170050</v>
      </c>
      <c r="G126" s="19">
        <v>190000</v>
      </c>
      <c r="H126" s="20">
        <v>180581</v>
      </c>
      <c r="I126" s="20">
        <f t="shared" si="379"/>
        <v>-9419</v>
      </c>
      <c r="J126" s="21">
        <f t="shared" si="386"/>
        <v>95.042631578947365</v>
      </c>
      <c r="K126" s="18">
        <f t="shared" si="380"/>
        <v>-181721</v>
      </c>
      <c r="L126" s="18">
        <f t="shared" si="381"/>
        <v>120403</v>
      </c>
      <c r="M126" s="921"/>
      <c r="N126" s="17" t="s">
        <v>31</v>
      </c>
      <c r="O126" s="18">
        <v>99293</v>
      </c>
      <c r="P126" s="18">
        <v>49647</v>
      </c>
      <c r="Q126" s="18">
        <v>9000</v>
      </c>
      <c r="R126" s="19">
        <v>20000</v>
      </c>
      <c r="S126" s="18">
        <v>15713</v>
      </c>
      <c r="T126" s="18">
        <f t="shared" si="382"/>
        <v>-4287</v>
      </c>
      <c r="U126" s="23">
        <f t="shared" si="387"/>
        <v>78.564999999999998</v>
      </c>
      <c r="V126" s="18">
        <f t="shared" si="383"/>
        <v>-40647</v>
      </c>
      <c r="W126" s="921"/>
      <c r="X126" s="17" t="s">
        <v>31</v>
      </c>
      <c r="Y126" s="18">
        <f t="shared" ref="Y126:Z126" si="392">C126-O126</f>
        <v>0</v>
      </c>
      <c r="Z126" s="18">
        <f t="shared" si="392"/>
        <v>0</v>
      </c>
      <c r="AA126" s="18">
        <f t="shared" ref="AA126:AC126" si="393">F126-Q126</f>
        <v>161050</v>
      </c>
      <c r="AB126" s="18">
        <f t="shared" si="393"/>
        <v>170000</v>
      </c>
      <c r="AC126" s="18">
        <f t="shared" si="393"/>
        <v>164868</v>
      </c>
      <c r="AD126" s="18">
        <f t="shared" si="5"/>
        <v>-5132</v>
      </c>
      <c r="AE126" s="23">
        <f t="shared" si="6"/>
        <v>96.981176470588238</v>
      </c>
    </row>
    <row r="127" spans="1:31" ht="15.75">
      <c r="A127" s="921"/>
      <c r="B127" s="17" t="s">
        <v>58</v>
      </c>
      <c r="C127" s="18">
        <v>0</v>
      </c>
      <c r="D127" s="18"/>
      <c r="E127" s="18"/>
      <c r="F127" s="18">
        <v>0</v>
      </c>
      <c r="G127" s="19">
        <v>29</v>
      </c>
      <c r="H127" s="20">
        <v>29</v>
      </c>
      <c r="I127" s="20">
        <f t="shared" si="379"/>
        <v>0</v>
      </c>
      <c r="J127" s="21">
        <f t="shared" si="386"/>
        <v>100</v>
      </c>
      <c r="K127" s="18"/>
      <c r="L127" s="18"/>
      <c r="M127" s="921"/>
      <c r="N127" s="17" t="s">
        <v>58</v>
      </c>
      <c r="O127" s="18"/>
      <c r="P127" s="18"/>
      <c r="Q127" s="18"/>
      <c r="R127" s="19">
        <v>0</v>
      </c>
      <c r="S127" s="18"/>
      <c r="T127" s="18">
        <f t="shared" si="382"/>
        <v>0</v>
      </c>
      <c r="U127" s="23" t="e">
        <f t="shared" si="387"/>
        <v>#DIV/0!</v>
      </c>
      <c r="V127" s="18"/>
      <c r="W127" s="921"/>
      <c r="X127" s="17" t="s">
        <v>58</v>
      </c>
      <c r="Y127" s="18"/>
      <c r="Z127" s="18"/>
      <c r="AA127" s="18">
        <v>0</v>
      </c>
      <c r="AB127" s="18">
        <f t="shared" ref="AB127:AC127" si="394">G127-R127</f>
        <v>29</v>
      </c>
      <c r="AC127" s="18">
        <f t="shared" si="394"/>
        <v>29</v>
      </c>
      <c r="AD127" s="18">
        <f t="shared" si="5"/>
        <v>0</v>
      </c>
      <c r="AE127" s="23">
        <f t="shared" si="6"/>
        <v>100</v>
      </c>
    </row>
    <row r="128" spans="1:31" ht="15.75">
      <c r="A128" s="921"/>
      <c r="B128" s="39" t="s">
        <v>32</v>
      </c>
      <c r="C128" s="18">
        <v>405239</v>
      </c>
      <c r="D128" s="18">
        <v>303929</v>
      </c>
      <c r="E128" s="18">
        <v>994647</v>
      </c>
      <c r="F128" s="18">
        <v>0</v>
      </c>
      <c r="G128" s="19">
        <v>0</v>
      </c>
      <c r="H128" s="20">
        <v>0</v>
      </c>
      <c r="I128" s="20">
        <f t="shared" si="379"/>
        <v>0</v>
      </c>
      <c r="J128" s="21">
        <v>0</v>
      </c>
      <c r="K128" s="18">
        <f t="shared" ref="K128:K130" si="395">F128-E128</f>
        <v>-994647</v>
      </c>
      <c r="L128" s="18">
        <f t="shared" ref="L128:L130" si="396">F128-D128</f>
        <v>-303929</v>
      </c>
      <c r="M128" s="921"/>
      <c r="N128" s="39" t="s">
        <v>32</v>
      </c>
      <c r="O128" s="18">
        <v>405239</v>
      </c>
      <c r="P128" s="18">
        <v>303929</v>
      </c>
      <c r="Q128" s="18">
        <v>0</v>
      </c>
      <c r="R128" s="19">
        <v>0</v>
      </c>
      <c r="S128" s="18">
        <v>0</v>
      </c>
      <c r="T128" s="18">
        <f t="shared" si="382"/>
        <v>0</v>
      </c>
      <c r="U128" s="23">
        <v>0</v>
      </c>
      <c r="V128" s="18">
        <f t="shared" ref="V128:V130" si="397">Q128-P128</f>
        <v>-303929</v>
      </c>
      <c r="W128" s="921"/>
      <c r="X128" s="39" t="s">
        <v>32</v>
      </c>
      <c r="Y128" s="18">
        <f t="shared" ref="Y128:Z128" si="398">C128-O128</f>
        <v>0</v>
      </c>
      <c r="Z128" s="18">
        <f t="shared" si="398"/>
        <v>0</v>
      </c>
      <c r="AA128" s="18">
        <f t="shared" ref="AA128:AC128" si="399">F128-Q128</f>
        <v>0</v>
      </c>
      <c r="AB128" s="18">
        <f t="shared" si="399"/>
        <v>0</v>
      </c>
      <c r="AC128" s="18">
        <f t="shared" si="399"/>
        <v>0</v>
      </c>
      <c r="AD128" s="18">
        <f t="shared" si="5"/>
        <v>0</v>
      </c>
      <c r="AE128" s="23" t="e">
        <f t="shared" si="6"/>
        <v>#DIV/0!</v>
      </c>
    </row>
    <row r="129" spans="1:31" ht="15.75">
      <c r="A129" s="921"/>
      <c r="B129" s="17" t="s">
        <v>24</v>
      </c>
      <c r="C129" s="18">
        <v>0</v>
      </c>
      <c r="D129" s="18"/>
      <c r="E129" s="18"/>
      <c r="F129" s="18">
        <v>400800</v>
      </c>
      <c r="G129" s="19">
        <v>427895</v>
      </c>
      <c r="H129" s="20">
        <v>470413</v>
      </c>
      <c r="I129" s="20">
        <f t="shared" si="379"/>
        <v>42518</v>
      </c>
      <c r="J129" s="21">
        <f t="shared" ref="J129:J130" si="400">H129/G129*100</f>
        <v>109.93654985452039</v>
      </c>
      <c r="K129" s="18">
        <f t="shared" si="395"/>
        <v>400800</v>
      </c>
      <c r="L129" s="18">
        <f t="shared" si="396"/>
        <v>400800</v>
      </c>
      <c r="M129" s="921"/>
      <c r="N129" s="17" t="s">
        <v>24</v>
      </c>
      <c r="O129" s="18"/>
      <c r="P129" s="18"/>
      <c r="Q129" s="18">
        <v>4800</v>
      </c>
      <c r="R129" s="19">
        <v>0</v>
      </c>
      <c r="S129" s="18">
        <v>0</v>
      </c>
      <c r="T129" s="18">
        <f t="shared" si="382"/>
        <v>0</v>
      </c>
      <c r="U129" s="23" t="e">
        <f t="shared" ref="U129:U130" si="401">S129/R129*100</f>
        <v>#DIV/0!</v>
      </c>
      <c r="V129" s="18">
        <f t="shared" si="397"/>
        <v>4800</v>
      </c>
      <c r="W129" s="921"/>
      <c r="X129" s="17" t="s">
        <v>24</v>
      </c>
      <c r="Y129" s="18">
        <f t="shared" ref="Y129:Z129" si="402">C129-O129</f>
        <v>0</v>
      </c>
      <c r="Z129" s="18">
        <f t="shared" si="402"/>
        <v>0</v>
      </c>
      <c r="AA129" s="18">
        <f t="shared" ref="AA129:AC129" si="403">F129-Q129</f>
        <v>396000</v>
      </c>
      <c r="AB129" s="18">
        <f t="shared" si="403"/>
        <v>427895</v>
      </c>
      <c r="AC129" s="18">
        <f t="shared" si="403"/>
        <v>470413</v>
      </c>
      <c r="AD129" s="18">
        <f t="shared" si="5"/>
        <v>42518</v>
      </c>
      <c r="AE129" s="23">
        <f t="shared" si="6"/>
        <v>109.93654985452039</v>
      </c>
    </row>
    <row r="130" spans="1:31" ht="15.75">
      <c r="A130" s="922"/>
      <c r="B130" s="25" t="s">
        <v>25</v>
      </c>
      <c r="C130" s="26">
        <f t="shared" ref="C130:I130" si="404">SUM(C123:C129)</f>
        <v>617486</v>
      </c>
      <c r="D130" s="26">
        <f t="shared" si="404"/>
        <v>456246</v>
      </c>
      <c r="E130" s="26">
        <f t="shared" si="404"/>
        <v>1466268</v>
      </c>
      <c r="F130" s="26">
        <f t="shared" si="404"/>
        <v>643350</v>
      </c>
      <c r="G130" s="27">
        <f t="shared" si="404"/>
        <v>626654</v>
      </c>
      <c r="H130" s="28">
        <f t="shared" si="404"/>
        <v>651692</v>
      </c>
      <c r="I130" s="28">
        <f t="shared" si="404"/>
        <v>25038</v>
      </c>
      <c r="J130" s="23">
        <f t="shared" si="400"/>
        <v>103.99550629214846</v>
      </c>
      <c r="K130" s="26">
        <f t="shared" si="395"/>
        <v>-822918</v>
      </c>
      <c r="L130" s="26">
        <f t="shared" si="396"/>
        <v>187104</v>
      </c>
      <c r="M130" s="922"/>
      <c r="N130" s="25" t="s">
        <v>25</v>
      </c>
      <c r="O130" s="26">
        <f t="shared" ref="O130:T130" si="405">SUM(O123:O129)</f>
        <v>617486</v>
      </c>
      <c r="P130" s="26">
        <f t="shared" si="405"/>
        <v>456246</v>
      </c>
      <c r="Q130" s="26">
        <f t="shared" si="405"/>
        <v>14300</v>
      </c>
      <c r="R130" s="27">
        <f t="shared" si="405"/>
        <v>20000</v>
      </c>
      <c r="S130" s="26">
        <f t="shared" si="405"/>
        <v>15713</v>
      </c>
      <c r="T130" s="26">
        <f t="shared" si="405"/>
        <v>-4287</v>
      </c>
      <c r="U130" s="23">
        <f t="shared" si="401"/>
        <v>78.564999999999998</v>
      </c>
      <c r="V130" s="26">
        <f t="shared" si="397"/>
        <v>-441946</v>
      </c>
      <c r="W130" s="922"/>
      <c r="X130" s="25" t="s">
        <v>25</v>
      </c>
      <c r="Y130" s="26">
        <f t="shared" ref="Y130:AA130" si="406">SUM(Y123:Y129)</f>
        <v>0</v>
      </c>
      <c r="Z130" s="26">
        <f t="shared" si="406"/>
        <v>0</v>
      </c>
      <c r="AA130" s="26">
        <f t="shared" si="406"/>
        <v>629050</v>
      </c>
      <c r="AB130" s="18">
        <f t="shared" ref="AB130:AC130" si="407">G130-R130</f>
        <v>606654</v>
      </c>
      <c r="AC130" s="18">
        <f t="shared" si="407"/>
        <v>635979</v>
      </c>
      <c r="AD130" s="18">
        <f t="shared" si="5"/>
        <v>29325</v>
      </c>
      <c r="AE130" s="23">
        <f t="shared" si="6"/>
        <v>104.83389213620944</v>
      </c>
    </row>
    <row r="131" spans="1:31" ht="15.75">
      <c r="A131" s="51"/>
      <c r="B131" s="52"/>
      <c r="C131" s="32"/>
      <c r="D131" s="32"/>
      <c r="E131" s="32"/>
      <c r="F131" s="32"/>
      <c r="G131" s="32"/>
      <c r="H131" s="34"/>
      <c r="I131" s="34"/>
      <c r="J131" s="49"/>
      <c r="K131" s="32"/>
      <c r="L131" s="32"/>
      <c r="M131" s="51"/>
      <c r="N131" s="52"/>
      <c r="O131" s="32"/>
      <c r="P131" s="32"/>
      <c r="Q131" s="32"/>
      <c r="R131" s="32"/>
      <c r="S131" s="32"/>
      <c r="T131" s="32"/>
      <c r="U131" s="50"/>
      <c r="V131" s="32"/>
      <c r="W131" s="51"/>
      <c r="X131" s="52"/>
      <c r="Y131" s="32"/>
      <c r="Z131" s="32"/>
      <c r="AA131" s="32"/>
      <c r="AB131" s="18">
        <f t="shared" ref="AB131:AC131" si="408">G131-R131</f>
        <v>0</v>
      </c>
      <c r="AC131" s="18">
        <f t="shared" si="408"/>
        <v>0</v>
      </c>
      <c r="AD131" s="18">
        <f t="shared" si="5"/>
        <v>0</v>
      </c>
      <c r="AE131" s="23" t="e">
        <f t="shared" si="6"/>
        <v>#DIV/0!</v>
      </c>
    </row>
    <row r="132" spans="1:31" ht="15.75">
      <c r="A132" s="920" t="s">
        <v>59</v>
      </c>
      <c r="B132" s="17" t="s">
        <v>31</v>
      </c>
      <c r="C132" s="18">
        <v>28500</v>
      </c>
      <c r="D132" s="18">
        <v>14250</v>
      </c>
      <c r="E132" s="18">
        <v>19295</v>
      </c>
      <c r="F132" s="18">
        <v>3000</v>
      </c>
      <c r="G132" s="19">
        <v>2500</v>
      </c>
      <c r="H132" s="20">
        <v>2177</v>
      </c>
      <c r="I132" s="20">
        <f t="shared" ref="I132:I134" si="409">H132-G132</f>
        <v>-323</v>
      </c>
      <c r="J132" s="21">
        <f>H132/G132*100</f>
        <v>87.08</v>
      </c>
      <c r="K132" s="18">
        <f t="shared" ref="K132:K135" si="410">F132-E132</f>
        <v>-16295</v>
      </c>
      <c r="L132" s="18">
        <f t="shared" ref="L132:L135" si="411">F132-D132</f>
        <v>-11250</v>
      </c>
      <c r="M132" s="920" t="s">
        <v>59</v>
      </c>
      <c r="N132" s="17" t="s">
        <v>31</v>
      </c>
      <c r="O132" s="18">
        <v>28500</v>
      </c>
      <c r="P132" s="18">
        <v>14250</v>
      </c>
      <c r="Q132" s="18">
        <v>500</v>
      </c>
      <c r="R132" s="19">
        <v>1</v>
      </c>
      <c r="S132" s="18">
        <v>0</v>
      </c>
      <c r="T132" s="18">
        <f t="shared" ref="T132:T134" si="412">S132-R132</f>
        <v>-1</v>
      </c>
      <c r="U132" s="23">
        <f>S132/R132*100</f>
        <v>0</v>
      </c>
      <c r="V132" s="18">
        <f t="shared" ref="V132:V135" si="413">Q132-P132</f>
        <v>-13750</v>
      </c>
      <c r="W132" s="920" t="s">
        <v>59</v>
      </c>
      <c r="X132" s="17" t="s">
        <v>31</v>
      </c>
      <c r="Y132" s="18">
        <f t="shared" ref="Y132:Z132" si="414">C132-O132</f>
        <v>0</v>
      </c>
      <c r="Z132" s="18">
        <f t="shared" si="414"/>
        <v>0</v>
      </c>
      <c r="AA132" s="18">
        <f t="shared" ref="AA132:AC132" si="415">F132-Q132</f>
        <v>2500</v>
      </c>
      <c r="AB132" s="18">
        <f t="shared" si="415"/>
        <v>2499</v>
      </c>
      <c r="AC132" s="18">
        <f t="shared" si="415"/>
        <v>2177</v>
      </c>
      <c r="AD132" s="18">
        <f t="shared" si="5"/>
        <v>-322</v>
      </c>
      <c r="AE132" s="23">
        <f t="shared" si="6"/>
        <v>87.114845938375353</v>
      </c>
    </row>
    <row r="133" spans="1:31" ht="15.75">
      <c r="A133" s="921"/>
      <c r="B133" s="17" t="s">
        <v>32</v>
      </c>
      <c r="C133" s="18">
        <v>20000</v>
      </c>
      <c r="D133" s="18">
        <v>15000</v>
      </c>
      <c r="E133" s="18">
        <v>16680</v>
      </c>
      <c r="F133" s="18">
        <v>0</v>
      </c>
      <c r="G133" s="19">
        <v>0</v>
      </c>
      <c r="H133" s="20">
        <v>0</v>
      </c>
      <c r="I133" s="20">
        <f t="shared" si="409"/>
        <v>0</v>
      </c>
      <c r="J133" s="21">
        <v>0</v>
      </c>
      <c r="K133" s="18">
        <f t="shared" si="410"/>
        <v>-16680</v>
      </c>
      <c r="L133" s="18">
        <f t="shared" si="411"/>
        <v>-15000</v>
      </c>
      <c r="M133" s="921"/>
      <c r="N133" s="17" t="s">
        <v>32</v>
      </c>
      <c r="O133" s="18">
        <v>20000</v>
      </c>
      <c r="P133" s="18">
        <v>15000</v>
      </c>
      <c r="Q133" s="18">
        <v>0</v>
      </c>
      <c r="R133" s="19">
        <v>0</v>
      </c>
      <c r="S133" s="18">
        <v>0</v>
      </c>
      <c r="T133" s="18">
        <f t="shared" si="412"/>
        <v>0</v>
      </c>
      <c r="U133" s="23">
        <v>0</v>
      </c>
      <c r="V133" s="18">
        <f t="shared" si="413"/>
        <v>-15000</v>
      </c>
      <c r="W133" s="921"/>
      <c r="X133" s="17" t="s">
        <v>32</v>
      </c>
      <c r="Y133" s="18">
        <f t="shared" ref="Y133:Z133" si="416">C133-O133</f>
        <v>0</v>
      </c>
      <c r="Z133" s="18">
        <f t="shared" si="416"/>
        <v>0</v>
      </c>
      <c r="AA133" s="18">
        <f t="shared" ref="AA133:AC133" si="417">F133-Q133</f>
        <v>0</v>
      </c>
      <c r="AB133" s="18">
        <f t="shared" si="417"/>
        <v>0</v>
      </c>
      <c r="AC133" s="18">
        <f t="shared" si="417"/>
        <v>0</v>
      </c>
      <c r="AD133" s="18">
        <f t="shared" si="5"/>
        <v>0</v>
      </c>
      <c r="AE133" s="23" t="e">
        <f t="shared" si="6"/>
        <v>#DIV/0!</v>
      </c>
    </row>
    <row r="134" spans="1:31" ht="15.75">
      <c r="A134" s="921"/>
      <c r="B134" s="17" t="s">
        <v>24</v>
      </c>
      <c r="C134" s="18">
        <v>0</v>
      </c>
      <c r="D134" s="18">
        <v>0</v>
      </c>
      <c r="E134" s="18">
        <v>0</v>
      </c>
      <c r="F134" s="18">
        <v>16700</v>
      </c>
      <c r="G134" s="19">
        <v>1000</v>
      </c>
      <c r="H134" s="20">
        <v>0</v>
      </c>
      <c r="I134" s="20">
        <f t="shared" si="409"/>
        <v>-1000</v>
      </c>
      <c r="J134" s="21">
        <f t="shared" ref="J134:J135" si="418">H134/G134*100</f>
        <v>0</v>
      </c>
      <c r="K134" s="18">
        <f t="shared" si="410"/>
        <v>16700</v>
      </c>
      <c r="L134" s="18">
        <f t="shared" si="411"/>
        <v>16700</v>
      </c>
      <c r="M134" s="921"/>
      <c r="N134" s="17" t="s">
        <v>24</v>
      </c>
      <c r="O134" s="18">
        <v>0</v>
      </c>
      <c r="P134" s="18">
        <v>0</v>
      </c>
      <c r="Q134" s="18">
        <v>0</v>
      </c>
      <c r="R134" s="19">
        <v>0</v>
      </c>
      <c r="S134" s="18">
        <v>0</v>
      </c>
      <c r="T134" s="18">
        <f t="shared" si="412"/>
        <v>0</v>
      </c>
      <c r="U134" s="23" t="e">
        <f t="shared" ref="U134:U135" si="419">S134/R134*100</f>
        <v>#DIV/0!</v>
      </c>
      <c r="V134" s="18">
        <f t="shared" si="413"/>
        <v>0</v>
      </c>
      <c r="W134" s="921"/>
      <c r="X134" s="17" t="s">
        <v>24</v>
      </c>
      <c r="Y134" s="18">
        <f t="shared" ref="Y134:Z134" si="420">C134-O134</f>
        <v>0</v>
      </c>
      <c r="Z134" s="18">
        <f t="shared" si="420"/>
        <v>0</v>
      </c>
      <c r="AA134" s="18">
        <f t="shared" ref="AA134:AC134" si="421">F134-Q134</f>
        <v>16700</v>
      </c>
      <c r="AB134" s="18">
        <f t="shared" si="421"/>
        <v>1000</v>
      </c>
      <c r="AC134" s="18">
        <f t="shared" si="421"/>
        <v>0</v>
      </c>
      <c r="AD134" s="18">
        <f t="shared" si="5"/>
        <v>-1000</v>
      </c>
      <c r="AE134" s="23">
        <f t="shared" si="6"/>
        <v>0</v>
      </c>
    </row>
    <row r="135" spans="1:31" ht="15.75">
      <c r="A135" s="922"/>
      <c r="B135" s="25" t="s">
        <v>25</v>
      </c>
      <c r="C135" s="26">
        <f t="shared" ref="C135:I135" si="422">SUM(C132:C134)</f>
        <v>48500</v>
      </c>
      <c r="D135" s="26">
        <f t="shared" si="422"/>
        <v>29250</v>
      </c>
      <c r="E135" s="26">
        <f t="shared" si="422"/>
        <v>35975</v>
      </c>
      <c r="F135" s="26">
        <f t="shared" si="422"/>
        <v>19700</v>
      </c>
      <c r="G135" s="27">
        <f t="shared" si="422"/>
        <v>3500</v>
      </c>
      <c r="H135" s="28">
        <f t="shared" si="422"/>
        <v>2177</v>
      </c>
      <c r="I135" s="28">
        <f t="shared" si="422"/>
        <v>-1323</v>
      </c>
      <c r="J135" s="23">
        <f t="shared" si="418"/>
        <v>62.2</v>
      </c>
      <c r="K135" s="26">
        <f t="shared" si="410"/>
        <v>-16275</v>
      </c>
      <c r="L135" s="26">
        <f t="shared" si="411"/>
        <v>-9550</v>
      </c>
      <c r="M135" s="922"/>
      <c r="N135" s="25" t="s">
        <v>25</v>
      </c>
      <c r="O135" s="26">
        <f t="shared" ref="O135:T135" si="423">SUM(O132:O134)</f>
        <v>48500</v>
      </c>
      <c r="P135" s="26">
        <f t="shared" si="423"/>
        <v>29250</v>
      </c>
      <c r="Q135" s="26">
        <f t="shared" si="423"/>
        <v>500</v>
      </c>
      <c r="R135" s="27">
        <f t="shared" si="423"/>
        <v>1</v>
      </c>
      <c r="S135" s="26">
        <f t="shared" si="423"/>
        <v>0</v>
      </c>
      <c r="T135" s="26">
        <f t="shared" si="423"/>
        <v>-1</v>
      </c>
      <c r="U135" s="23">
        <f t="shared" si="419"/>
        <v>0</v>
      </c>
      <c r="V135" s="26">
        <f t="shared" si="413"/>
        <v>-28750</v>
      </c>
      <c r="W135" s="922"/>
      <c r="X135" s="25" t="s">
        <v>25</v>
      </c>
      <c r="Y135" s="26">
        <f t="shared" ref="Y135:AA135" si="424">SUM(Y132:Y134)</f>
        <v>0</v>
      </c>
      <c r="Z135" s="26">
        <f t="shared" si="424"/>
        <v>0</v>
      </c>
      <c r="AA135" s="26">
        <f t="shared" si="424"/>
        <v>19200</v>
      </c>
      <c r="AB135" s="18">
        <f t="shared" ref="AB135:AC135" si="425">G135-R135</f>
        <v>3499</v>
      </c>
      <c r="AC135" s="18">
        <f t="shared" si="425"/>
        <v>2177</v>
      </c>
      <c r="AD135" s="18">
        <f t="shared" si="5"/>
        <v>-1322</v>
      </c>
      <c r="AE135" s="23">
        <f t="shared" si="6"/>
        <v>62.217776507573596</v>
      </c>
    </row>
    <row r="136" spans="1:31" ht="15.75">
      <c r="A136" s="37"/>
      <c r="B136" s="31"/>
      <c r="C136" s="32"/>
      <c r="D136" s="32"/>
      <c r="E136" s="32"/>
      <c r="F136" s="32"/>
      <c r="G136" s="32"/>
      <c r="H136" s="40"/>
      <c r="I136" s="34"/>
      <c r="J136" s="49"/>
      <c r="K136" s="32"/>
      <c r="L136" s="32"/>
      <c r="M136" s="37"/>
      <c r="N136" s="31"/>
      <c r="O136" s="32"/>
      <c r="P136" s="32"/>
      <c r="Q136" s="32"/>
      <c r="R136" s="32"/>
      <c r="S136" s="32"/>
      <c r="T136" s="32"/>
      <c r="U136" s="50"/>
      <c r="V136" s="32"/>
      <c r="W136" s="37"/>
      <c r="X136" s="31"/>
      <c r="Y136" s="32"/>
      <c r="Z136" s="32"/>
      <c r="AA136" s="32"/>
      <c r="AB136" s="18">
        <f t="shared" ref="AB136:AC136" si="426">G136-R136</f>
        <v>0</v>
      </c>
      <c r="AC136" s="18">
        <f t="shared" si="426"/>
        <v>0</v>
      </c>
      <c r="AD136" s="18">
        <f t="shared" si="5"/>
        <v>0</v>
      </c>
      <c r="AE136" s="23" t="e">
        <f t="shared" si="6"/>
        <v>#DIV/0!</v>
      </c>
    </row>
    <row r="137" spans="1:31" ht="15.75">
      <c r="A137" s="929" t="s">
        <v>60</v>
      </c>
      <c r="B137" s="53" t="s">
        <v>21</v>
      </c>
      <c r="C137" s="54">
        <f t="shared" ref="C137:H137" si="427">C5+C11+C15+C21+C31+C37+C44+C65+C72+C79+C87+C95+C107+C114+C123</f>
        <v>9253311</v>
      </c>
      <c r="D137" s="54">
        <f t="shared" si="427"/>
        <v>9253311</v>
      </c>
      <c r="E137" s="54">
        <f t="shared" si="427"/>
        <v>12698020</v>
      </c>
      <c r="F137" s="54">
        <f t="shared" si="427"/>
        <v>5292600</v>
      </c>
      <c r="G137" s="55">
        <f t="shared" si="427"/>
        <v>5282600</v>
      </c>
      <c r="H137" s="56">
        <f t="shared" si="427"/>
        <v>5708103</v>
      </c>
      <c r="I137" s="56">
        <f t="shared" ref="I137:I150" si="428">H137-G137</f>
        <v>425503</v>
      </c>
      <c r="J137" s="57">
        <f t="shared" ref="J137:J138" si="429">H137/G137*100</f>
        <v>108.05480255934579</v>
      </c>
      <c r="K137" s="18">
        <f t="shared" ref="K137:K151" si="430">F137-E137</f>
        <v>-7405420</v>
      </c>
      <c r="L137" s="18">
        <f t="shared" ref="L137:L151" si="431">F137-D137</f>
        <v>-3960711</v>
      </c>
      <c r="M137" s="926" t="s">
        <v>60</v>
      </c>
      <c r="N137" s="17" t="s">
        <v>21</v>
      </c>
      <c r="O137" s="18">
        <f t="shared" ref="O137:S137" si="432">O5+O11+O15+O21+O31+O37+O44+O65+O72+O79+O87+O95+O107+O114+O123</f>
        <v>9253311</v>
      </c>
      <c r="P137" s="18">
        <f t="shared" si="432"/>
        <v>9253311</v>
      </c>
      <c r="Q137" s="18">
        <f t="shared" si="432"/>
        <v>10000</v>
      </c>
      <c r="R137" s="55">
        <f t="shared" si="432"/>
        <v>0</v>
      </c>
      <c r="S137" s="18">
        <f t="shared" si="432"/>
        <v>425465</v>
      </c>
      <c r="T137" s="18">
        <f t="shared" ref="T137:T150" si="433">S137-R137</f>
        <v>425465</v>
      </c>
      <c r="U137" s="23" t="e">
        <f t="shared" ref="U137:U138" si="434">S137/R137*100</f>
        <v>#DIV/0!</v>
      </c>
      <c r="V137" s="18">
        <f t="shared" ref="V137:V151" si="435">Q137-P137</f>
        <v>-9243311</v>
      </c>
      <c r="W137" s="926" t="s">
        <v>60</v>
      </c>
      <c r="X137" s="17" t="s">
        <v>21</v>
      </c>
      <c r="Y137" s="18">
        <f t="shared" ref="Y137:AA137" si="436">Y5+Y11+Y15+Y21+Y31+Y37+Y44+Y65+Y72+Y79+Y87+Y95+Y107+Y114+Y123</f>
        <v>0</v>
      </c>
      <c r="Z137" s="18">
        <f t="shared" si="436"/>
        <v>0</v>
      </c>
      <c r="AA137" s="18">
        <f t="shared" si="436"/>
        <v>5282600</v>
      </c>
      <c r="AB137" s="18">
        <f t="shared" ref="AB137:AC137" si="437">G137-R137</f>
        <v>5282600</v>
      </c>
      <c r="AC137" s="18">
        <f t="shared" si="437"/>
        <v>5282638</v>
      </c>
      <c r="AD137" s="18">
        <f t="shared" si="5"/>
        <v>38</v>
      </c>
      <c r="AE137" s="23">
        <f t="shared" si="6"/>
        <v>100.00071934274789</v>
      </c>
    </row>
    <row r="138" spans="1:31" ht="15.75">
      <c r="A138" s="921"/>
      <c r="B138" s="53" t="s">
        <v>22</v>
      </c>
      <c r="C138" s="54">
        <f t="shared" ref="C138:H138" si="438">C6+C96</f>
        <v>20000</v>
      </c>
      <c r="D138" s="54">
        <f t="shared" si="438"/>
        <v>20000</v>
      </c>
      <c r="E138" s="54">
        <f t="shared" si="438"/>
        <v>17769</v>
      </c>
      <c r="F138" s="54">
        <f t="shared" si="438"/>
        <v>17769</v>
      </c>
      <c r="G138" s="55">
        <f t="shared" si="438"/>
        <v>21774</v>
      </c>
      <c r="H138" s="56">
        <f t="shared" si="438"/>
        <v>11774</v>
      </c>
      <c r="I138" s="56">
        <f t="shared" si="428"/>
        <v>-10000</v>
      </c>
      <c r="J138" s="57">
        <f t="shared" si="429"/>
        <v>54.073665839992657</v>
      </c>
      <c r="K138" s="18">
        <f t="shared" si="430"/>
        <v>0</v>
      </c>
      <c r="L138" s="18">
        <f t="shared" si="431"/>
        <v>-2231</v>
      </c>
      <c r="M138" s="921"/>
      <c r="N138" s="17" t="s">
        <v>22</v>
      </c>
      <c r="O138" s="18">
        <f t="shared" ref="O138:S138" si="439">O6+O96</f>
        <v>20000</v>
      </c>
      <c r="P138" s="18">
        <f t="shared" si="439"/>
        <v>20000</v>
      </c>
      <c r="Q138" s="18">
        <f t="shared" si="439"/>
        <v>15000</v>
      </c>
      <c r="R138" s="55">
        <f t="shared" si="439"/>
        <v>21774</v>
      </c>
      <c r="S138" s="18">
        <f t="shared" si="439"/>
        <v>11774</v>
      </c>
      <c r="T138" s="18">
        <f t="shared" si="433"/>
        <v>-10000</v>
      </c>
      <c r="U138" s="23">
        <f t="shared" si="434"/>
        <v>54.073665839992657</v>
      </c>
      <c r="V138" s="18">
        <f t="shared" si="435"/>
        <v>-5000</v>
      </c>
      <c r="W138" s="921"/>
      <c r="X138" s="17" t="s">
        <v>22</v>
      </c>
      <c r="Y138" s="18">
        <f t="shared" ref="Y138:AA138" si="440">Y6+Y96</f>
        <v>0</v>
      </c>
      <c r="Z138" s="18">
        <f t="shared" si="440"/>
        <v>0</v>
      </c>
      <c r="AA138" s="18">
        <f t="shared" si="440"/>
        <v>2769</v>
      </c>
      <c r="AB138" s="18">
        <f t="shared" ref="AB138:AC138" si="441">G138-R138</f>
        <v>0</v>
      </c>
      <c r="AC138" s="18">
        <f t="shared" si="441"/>
        <v>0</v>
      </c>
      <c r="AD138" s="18">
        <f t="shared" si="5"/>
        <v>0</v>
      </c>
      <c r="AE138" s="23" t="e">
        <f t="shared" si="6"/>
        <v>#DIV/0!</v>
      </c>
    </row>
    <row r="139" spans="1:31" ht="15.75">
      <c r="A139" s="921"/>
      <c r="B139" s="53" t="s">
        <v>46</v>
      </c>
      <c r="C139" s="54">
        <f t="shared" ref="C139:H139" si="442">C88</f>
        <v>0</v>
      </c>
      <c r="D139" s="54">
        <f t="shared" si="442"/>
        <v>0</v>
      </c>
      <c r="E139" s="54">
        <f t="shared" si="442"/>
        <v>0</v>
      </c>
      <c r="F139" s="54">
        <f t="shared" si="442"/>
        <v>40000</v>
      </c>
      <c r="G139" s="55">
        <f t="shared" si="442"/>
        <v>0</v>
      </c>
      <c r="H139" s="56">
        <f t="shared" si="442"/>
        <v>0</v>
      </c>
      <c r="I139" s="56">
        <f t="shared" si="428"/>
        <v>0</v>
      </c>
      <c r="J139" s="57">
        <v>0</v>
      </c>
      <c r="K139" s="18">
        <f t="shared" si="430"/>
        <v>40000</v>
      </c>
      <c r="L139" s="18">
        <f t="shared" si="431"/>
        <v>40000</v>
      </c>
      <c r="M139" s="921"/>
      <c r="N139" s="17" t="s">
        <v>46</v>
      </c>
      <c r="O139" s="18">
        <f t="shared" ref="O139:S139" si="443">O88</f>
        <v>0</v>
      </c>
      <c r="P139" s="18">
        <f t="shared" si="443"/>
        <v>0</v>
      </c>
      <c r="Q139" s="18">
        <f t="shared" si="443"/>
        <v>0</v>
      </c>
      <c r="R139" s="55">
        <f t="shared" si="443"/>
        <v>0</v>
      </c>
      <c r="S139" s="18">
        <f t="shared" si="443"/>
        <v>0</v>
      </c>
      <c r="T139" s="18">
        <f t="shared" si="433"/>
        <v>0</v>
      </c>
      <c r="U139" s="23">
        <v>0</v>
      </c>
      <c r="V139" s="18">
        <f t="shared" si="435"/>
        <v>0</v>
      </c>
      <c r="W139" s="921"/>
      <c r="X139" s="17" t="s">
        <v>46</v>
      </c>
      <c r="Y139" s="18">
        <f t="shared" ref="Y139:AA139" si="444">Y88</f>
        <v>0</v>
      </c>
      <c r="Z139" s="18">
        <f t="shared" si="444"/>
        <v>0</v>
      </c>
      <c r="AA139" s="18">
        <f t="shared" si="444"/>
        <v>40000</v>
      </c>
      <c r="AB139" s="18">
        <f t="shared" ref="AB139:AC139" si="445">G139-R139</f>
        <v>0</v>
      </c>
      <c r="AC139" s="18">
        <f t="shared" si="445"/>
        <v>0</v>
      </c>
      <c r="AD139" s="18">
        <f t="shared" si="5"/>
        <v>0</v>
      </c>
      <c r="AE139" s="23" t="e">
        <f t="shared" si="6"/>
        <v>#DIV/0!</v>
      </c>
    </row>
    <row r="140" spans="1:31" ht="15.75">
      <c r="A140" s="921"/>
      <c r="B140" s="53" t="s">
        <v>57</v>
      </c>
      <c r="C140" s="54">
        <f t="shared" ref="C140:H140" si="446">C124</f>
        <v>62500</v>
      </c>
      <c r="D140" s="54">
        <f t="shared" si="446"/>
        <v>62500</v>
      </c>
      <c r="E140" s="54">
        <f t="shared" si="446"/>
        <v>22665</v>
      </c>
      <c r="F140" s="54">
        <f t="shared" si="446"/>
        <v>62500</v>
      </c>
      <c r="G140" s="55">
        <f t="shared" si="446"/>
        <v>221</v>
      </c>
      <c r="H140" s="56">
        <f t="shared" si="446"/>
        <v>0</v>
      </c>
      <c r="I140" s="56">
        <f t="shared" si="428"/>
        <v>-221</v>
      </c>
      <c r="J140" s="57">
        <f t="shared" ref="J140:J144" si="447">H140/G140*100</f>
        <v>0</v>
      </c>
      <c r="K140" s="18">
        <f t="shared" si="430"/>
        <v>39835</v>
      </c>
      <c r="L140" s="18">
        <f t="shared" si="431"/>
        <v>0</v>
      </c>
      <c r="M140" s="921"/>
      <c r="N140" s="17" t="s">
        <v>57</v>
      </c>
      <c r="O140" s="18">
        <f t="shared" ref="O140:S140" si="448">O124</f>
        <v>62500</v>
      </c>
      <c r="P140" s="18">
        <f t="shared" si="448"/>
        <v>62500</v>
      </c>
      <c r="Q140" s="18">
        <f t="shared" si="448"/>
        <v>0</v>
      </c>
      <c r="R140" s="55">
        <f t="shared" si="448"/>
        <v>0</v>
      </c>
      <c r="S140" s="18">
        <f t="shared" si="448"/>
        <v>0</v>
      </c>
      <c r="T140" s="18">
        <f t="shared" si="433"/>
        <v>0</v>
      </c>
      <c r="U140" s="23" t="e">
        <f t="shared" ref="U140:U144" si="449">S140/R140*100</f>
        <v>#DIV/0!</v>
      </c>
      <c r="V140" s="18">
        <f t="shared" si="435"/>
        <v>-62500</v>
      </c>
      <c r="W140" s="921"/>
      <c r="X140" s="17" t="s">
        <v>57</v>
      </c>
      <c r="Y140" s="18">
        <f t="shared" ref="Y140:AA140" si="450">Y124</f>
        <v>0</v>
      </c>
      <c r="Z140" s="18">
        <f t="shared" si="450"/>
        <v>0</v>
      </c>
      <c r="AA140" s="18">
        <f t="shared" si="450"/>
        <v>62500</v>
      </c>
      <c r="AB140" s="18">
        <f t="shared" ref="AB140:AC140" si="451">G140-R140</f>
        <v>221</v>
      </c>
      <c r="AC140" s="18">
        <f t="shared" si="451"/>
        <v>0</v>
      </c>
      <c r="AD140" s="18">
        <f t="shared" si="5"/>
        <v>-221</v>
      </c>
      <c r="AE140" s="23">
        <f t="shared" si="6"/>
        <v>0</v>
      </c>
    </row>
    <row r="141" spans="1:31" ht="15.75">
      <c r="A141" s="921"/>
      <c r="B141" s="53" t="s">
        <v>28</v>
      </c>
      <c r="C141" s="54">
        <f t="shared" ref="C141:H141" si="452">C16+C22+C32+C38+C61+C66+C73+C80+C89+C97+C108+C115+C125</f>
        <v>417676</v>
      </c>
      <c r="D141" s="54">
        <f t="shared" si="452"/>
        <v>208840</v>
      </c>
      <c r="E141" s="54">
        <f t="shared" si="452"/>
        <v>914039</v>
      </c>
      <c r="F141" s="54">
        <f t="shared" si="452"/>
        <v>450851</v>
      </c>
      <c r="G141" s="55">
        <f t="shared" si="452"/>
        <v>444984</v>
      </c>
      <c r="H141" s="56">
        <f t="shared" si="452"/>
        <v>402084</v>
      </c>
      <c r="I141" s="56">
        <f t="shared" si="428"/>
        <v>-42900</v>
      </c>
      <c r="J141" s="57">
        <f t="shared" si="447"/>
        <v>90.35920392643331</v>
      </c>
      <c r="K141" s="18">
        <f t="shared" si="430"/>
        <v>-463188</v>
      </c>
      <c r="L141" s="18">
        <f t="shared" si="431"/>
        <v>242011</v>
      </c>
      <c r="M141" s="921"/>
      <c r="N141" s="17" t="s">
        <v>28</v>
      </c>
      <c r="O141" s="18">
        <f t="shared" ref="O141:S141" si="453">O16+O22+O32+O38+O61+O66+O73+O80+O89+O97+O108+O115+O125</f>
        <v>417676</v>
      </c>
      <c r="P141" s="18">
        <f t="shared" si="453"/>
        <v>208840</v>
      </c>
      <c r="Q141" s="18">
        <f t="shared" si="453"/>
        <v>74700</v>
      </c>
      <c r="R141" s="55">
        <f t="shared" si="453"/>
        <v>79800</v>
      </c>
      <c r="S141" s="18">
        <f t="shared" si="453"/>
        <v>82886</v>
      </c>
      <c r="T141" s="18">
        <f t="shared" si="433"/>
        <v>3086</v>
      </c>
      <c r="U141" s="23">
        <f t="shared" si="449"/>
        <v>103.86716791979951</v>
      </c>
      <c r="V141" s="18">
        <f t="shared" si="435"/>
        <v>-134140</v>
      </c>
      <c r="W141" s="921"/>
      <c r="X141" s="17" t="s">
        <v>28</v>
      </c>
      <c r="Y141" s="18">
        <f t="shared" ref="Y141:AA141" si="454">Y16+Y22+Y32+Y38+Y61+Y66+Y73+Y80+Y89+Y97+Y108+Y115+Y125</f>
        <v>0</v>
      </c>
      <c r="Z141" s="18">
        <f t="shared" si="454"/>
        <v>0</v>
      </c>
      <c r="AA141" s="18">
        <f t="shared" si="454"/>
        <v>376151</v>
      </c>
      <c r="AB141" s="18">
        <f t="shared" ref="AB141:AC141" si="455">G141-R141</f>
        <v>365184</v>
      </c>
      <c r="AC141" s="18">
        <f t="shared" si="455"/>
        <v>319198</v>
      </c>
      <c r="AD141" s="18">
        <f t="shared" si="5"/>
        <v>-45986</v>
      </c>
      <c r="AE141" s="23">
        <f t="shared" si="6"/>
        <v>87.407443918682091</v>
      </c>
    </row>
    <row r="142" spans="1:31" ht="15.75">
      <c r="A142" s="921"/>
      <c r="B142" s="53" t="s">
        <v>48</v>
      </c>
      <c r="C142" s="54">
        <f t="shared" ref="C142:F142" si="456">C98</f>
        <v>0</v>
      </c>
      <c r="D142" s="54">
        <f t="shared" si="456"/>
        <v>0</v>
      </c>
      <c r="E142" s="54">
        <f t="shared" si="456"/>
        <v>9102</v>
      </c>
      <c r="F142" s="54">
        <f t="shared" si="456"/>
        <v>9102</v>
      </c>
      <c r="G142" s="55">
        <f>G98+G109</f>
        <v>13078</v>
      </c>
      <c r="H142" s="56">
        <f>H109</f>
        <v>2665</v>
      </c>
      <c r="I142" s="56">
        <f t="shared" si="428"/>
        <v>-10413</v>
      </c>
      <c r="J142" s="57">
        <f t="shared" si="447"/>
        <v>20.377733598409542</v>
      </c>
      <c r="K142" s="18">
        <f t="shared" si="430"/>
        <v>0</v>
      </c>
      <c r="L142" s="18">
        <f t="shared" si="431"/>
        <v>9102</v>
      </c>
      <c r="M142" s="921"/>
      <c r="N142" s="17" t="s">
        <v>48</v>
      </c>
      <c r="O142" s="18">
        <f t="shared" ref="O142:Q142" si="457">O98</f>
        <v>0</v>
      </c>
      <c r="P142" s="18">
        <f t="shared" si="457"/>
        <v>0</v>
      </c>
      <c r="Q142" s="18">
        <f t="shared" si="457"/>
        <v>0</v>
      </c>
      <c r="R142" s="55">
        <f>R98+R109</f>
        <v>0</v>
      </c>
      <c r="S142" s="18">
        <f>S54</f>
        <v>3982</v>
      </c>
      <c r="T142" s="18">
        <f t="shared" si="433"/>
        <v>3982</v>
      </c>
      <c r="U142" s="23" t="e">
        <f t="shared" si="449"/>
        <v>#DIV/0!</v>
      </c>
      <c r="V142" s="18">
        <f t="shared" si="435"/>
        <v>0</v>
      </c>
      <c r="W142" s="921"/>
      <c r="X142" s="17" t="s">
        <v>48</v>
      </c>
      <c r="Y142" s="18">
        <f t="shared" ref="Y142:AA142" si="458">Y98</f>
        <v>0</v>
      </c>
      <c r="Z142" s="18">
        <f t="shared" si="458"/>
        <v>0</v>
      </c>
      <c r="AA142" s="18">
        <f t="shared" si="458"/>
        <v>9102</v>
      </c>
      <c r="AB142" s="18">
        <f t="shared" ref="AB142:AC142" si="459">G142-R142</f>
        <v>13078</v>
      </c>
      <c r="AC142" s="18">
        <f t="shared" si="459"/>
        <v>-1317</v>
      </c>
      <c r="AD142" s="18">
        <f t="shared" si="5"/>
        <v>-14395</v>
      </c>
      <c r="AE142" s="23">
        <f t="shared" si="6"/>
        <v>-10.07034714788194</v>
      </c>
    </row>
    <row r="143" spans="1:31" ht="15.75">
      <c r="A143" s="921"/>
      <c r="B143" s="53" t="s">
        <v>31</v>
      </c>
      <c r="C143" s="54">
        <f t="shared" ref="C143:H143" si="460">C23+C33+C39+C68+C74+C81+C90+C99+C110+C116+C126+C132</f>
        <v>977522</v>
      </c>
      <c r="D143" s="54">
        <f t="shared" si="460"/>
        <v>488764</v>
      </c>
      <c r="E143" s="54">
        <f t="shared" si="460"/>
        <v>2067261</v>
      </c>
      <c r="F143" s="54">
        <f t="shared" si="460"/>
        <v>779606</v>
      </c>
      <c r="G143" s="55">
        <f t="shared" si="460"/>
        <v>889444</v>
      </c>
      <c r="H143" s="56">
        <f t="shared" si="460"/>
        <v>871549</v>
      </c>
      <c r="I143" s="56">
        <f t="shared" si="428"/>
        <v>-17895</v>
      </c>
      <c r="J143" s="57">
        <f t="shared" si="447"/>
        <v>97.988068950940132</v>
      </c>
      <c r="K143" s="18">
        <f t="shared" si="430"/>
        <v>-1287655</v>
      </c>
      <c r="L143" s="18">
        <f t="shared" si="431"/>
        <v>290842</v>
      </c>
      <c r="M143" s="921"/>
      <c r="N143" s="17" t="s">
        <v>31</v>
      </c>
      <c r="O143" s="18">
        <f t="shared" ref="O143:S143" si="461">O23+O33+O39+O68+O74+O81+O90+O99+O110+O116+O126+O132</f>
        <v>977522</v>
      </c>
      <c r="P143" s="18">
        <f t="shared" si="461"/>
        <v>488764</v>
      </c>
      <c r="Q143" s="18">
        <f t="shared" si="461"/>
        <v>271642</v>
      </c>
      <c r="R143" s="55">
        <f t="shared" si="461"/>
        <v>311496</v>
      </c>
      <c r="S143" s="18">
        <f t="shared" si="461"/>
        <v>330723</v>
      </c>
      <c r="T143" s="18">
        <f t="shared" si="433"/>
        <v>19227</v>
      </c>
      <c r="U143" s="23">
        <f t="shared" si="449"/>
        <v>106.17247091455428</v>
      </c>
      <c r="V143" s="18">
        <f t="shared" si="435"/>
        <v>-217122</v>
      </c>
      <c r="W143" s="921"/>
      <c r="X143" s="17" t="s">
        <v>31</v>
      </c>
      <c r="Y143" s="18">
        <f t="shared" ref="Y143:AA143" si="462">Y23+Y33+Y39+Y68+Y74+Y81+Y90+Y99+Y110+Y116+Y126+Y132</f>
        <v>0</v>
      </c>
      <c r="Z143" s="18">
        <f t="shared" si="462"/>
        <v>0</v>
      </c>
      <c r="AA143" s="18">
        <f t="shared" si="462"/>
        <v>507964</v>
      </c>
      <c r="AB143" s="18">
        <f t="shared" ref="AB143:AC143" si="463">G143-R143</f>
        <v>577948</v>
      </c>
      <c r="AC143" s="18">
        <f t="shared" si="463"/>
        <v>540826</v>
      </c>
      <c r="AD143" s="18">
        <f t="shared" si="5"/>
        <v>-37122</v>
      </c>
      <c r="AE143" s="23">
        <f t="shared" si="6"/>
        <v>93.576930796542243</v>
      </c>
    </row>
    <row r="144" spans="1:31" ht="15.75">
      <c r="A144" s="921"/>
      <c r="B144" s="53" t="s">
        <v>49</v>
      </c>
      <c r="C144" s="54">
        <f t="shared" ref="C144:F144" si="464">C100</f>
        <v>0</v>
      </c>
      <c r="D144" s="54">
        <f t="shared" si="464"/>
        <v>0</v>
      </c>
      <c r="E144" s="54">
        <f t="shared" si="464"/>
        <v>0</v>
      </c>
      <c r="F144" s="54">
        <f t="shared" si="464"/>
        <v>1794</v>
      </c>
      <c r="G144" s="55">
        <f>G100+G127</f>
        <v>1823</v>
      </c>
      <c r="H144" s="56">
        <f>H127</f>
        <v>29</v>
      </c>
      <c r="I144" s="56">
        <f t="shared" si="428"/>
        <v>-1794</v>
      </c>
      <c r="J144" s="57">
        <f t="shared" si="447"/>
        <v>1.5907844212835986</v>
      </c>
      <c r="K144" s="18">
        <f t="shared" si="430"/>
        <v>1794</v>
      </c>
      <c r="L144" s="18">
        <f t="shared" si="431"/>
        <v>1794</v>
      </c>
      <c r="M144" s="921"/>
      <c r="N144" s="17" t="s">
        <v>49</v>
      </c>
      <c r="O144" s="18">
        <f t="shared" ref="O144:Q144" si="465">O100</f>
        <v>0</v>
      </c>
      <c r="P144" s="18">
        <f t="shared" si="465"/>
        <v>0</v>
      </c>
      <c r="Q144" s="18">
        <f t="shared" si="465"/>
        <v>0</v>
      </c>
      <c r="R144" s="55">
        <f>R100+R127</f>
        <v>0</v>
      </c>
      <c r="S144" s="18">
        <f>S100</f>
        <v>0</v>
      </c>
      <c r="T144" s="18">
        <f t="shared" si="433"/>
        <v>0</v>
      </c>
      <c r="U144" s="23" t="e">
        <f t="shared" si="449"/>
        <v>#DIV/0!</v>
      </c>
      <c r="V144" s="18">
        <f t="shared" si="435"/>
        <v>0</v>
      </c>
      <c r="W144" s="921"/>
      <c r="X144" s="17" t="s">
        <v>49</v>
      </c>
      <c r="Y144" s="18">
        <f t="shared" ref="Y144:AA144" si="466">Y100</f>
        <v>0</v>
      </c>
      <c r="Z144" s="18">
        <f t="shared" si="466"/>
        <v>0</v>
      </c>
      <c r="AA144" s="18">
        <f t="shared" si="466"/>
        <v>1794</v>
      </c>
      <c r="AB144" s="18">
        <f t="shared" ref="AB144:AC144" si="467">G144-R144</f>
        <v>1823</v>
      </c>
      <c r="AC144" s="18">
        <f t="shared" si="467"/>
        <v>29</v>
      </c>
      <c r="AD144" s="18">
        <f t="shared" si="5"/>
        <v>-1794</v>
      </c>
      <c r="AE144" s="23">
        <f t="shared" si="6"/>
        <v>1.5907844212835986</v>
      </c>
    </row>
    <row r="145" spans="1:31" ht="15.75">
      <c r="A145" s="921"/>
      <c r="B145" s="53" t="s">
        <v>40</v>
      </c>
      <c r="C145" s="54">
        <f t="shared" ref="C145:H145" si="468">C52</f>
        <v>1597624</v>
      </c>
      <c r="D145" s="54">
        <f t="shared" si="468"/>
        <v>1597624</v>
      </c>
      <c r="E145" s="54">
        <f t="shared" si="468"/>
        <v>848277</v>
      </c>
      <c r="F145" s="54">
        <f t="shared" si="468"/>
        <v>0</v>
      </c>
      <c r="G145" s="55">
        <f t="shared" si="468"/>
        <v>0</v>
      </c>
      <c r="H145" s="56">
        <f t="shared" si="468"/>
        <v>0</v>
      </c>
      <c r="I145" s="56">
        <f t="shared" si="428"/>
        <v>0</v>
      </c>
      <c r="J145" s="57">
        <v>0</v>
      </c>
      <c r="K145" s="18">
        <f t="shared" si="430"/>
        <v>-848277</v>
      </c>
      <c r="L145" s="18">
        <f t="shared" si="431"/>
        <v>-1597624</v>
      </c>
      <c r="M145" s="921"/>
      <c r="N145" s="17" t="s">
        <v>40</v>
      </c>
      <c r="O145" s="18">
        <f t="shared" ref="O145:S145" si="469">O52</f>
        <v>1597624</v>
      </c>
      <c r="P145" s="18">
        <f t="shared" si="469"/>
        <v>1597624</v>
      </c>
      <c r="Q145" s="18">
        <f t="shared" si="469"/>
        <v>0</v>
      </c>
      <c r="R145" s="55">
        <f t="shared" si="469"/>
        <v>0</v>
      </c>
      <c r="S145" s="18">
        <f t="shared" si="469"/>
        <v>0</v>
      </c>
      <c r="T145" s="18">
        <f t="shared" si="433"/>
        <v>0</v>
      </c>
      <c r="U145" s="23">
        <v>0</v>
      </c>
      <c r="V145" s="18">
        <f t="shared" si="435"/>
        <v>-1597624</v>
      </c>
      <c r="W145" s="921"/>
      <c r="X145" s="17" t="s">
        <v>40</v>
      </c>
      <c r="Y145" s="18">
        <f t="shared" ref="Y145:AA145" si="470">Y52</f>
        <v>0</v>
      </c>
      <c r="Z145" s="18">
        <f t="shared" si="470"/>
        <v>0</v>
      </c>
      <c r="AA145" s="18">
        <f t="shared" si="470"/>
        <v>0</v>
      </c>
      <c r="AB145" s="18">
        <f t="shared" ref="AB145:AC145" si="471">G145-R145</f>
        <v>0</v>
      </c>
      <c r="AC145" s="18">
        <f t="shared" si="471"/>
        <v>0</v>
      </c>
      <c r="AD145" s="18">
        <f t="shared" si="5"/>
        <v>0</v>
      </c>
      <c r="AE145" s="23" t="e">
        <f t="shared" si="6"/>
        <v>#DIV/0!</v>
      </c>
    </row>
    <row r="146" spans="1:31" ht="15.75">
      <c r="A146" s="921"/>
      <c r="B146" s="58" t="s">
        <v>32</v>
      </c>
      <c r="C146" s="54">
        <f t="shared" ref="C146:H146" si="472">C24+C40+C48+C53+C59+C67+C75+C82+C91+C101+C117+C128+C133</f>
        <v>13850757</v>
      </c>
      <c r="D146" s="54">
        <f t="shared" si="472"/>
        <v>10388069</v>
      </c>
      <c r="E146" s="54">
        <f t="shared" si="472"/>
        <v>17469675</v>
      </c>
      <c r="F146" s="54">
        <f t="shared" si="472"/>
        <v>880000</v>
      </c>
      <c r="G146" s="55">
        <f t="shared" si="472"/>
        <v>938982</v>
      </c>
      <c r="H146" s="56">
        <f t="shared" si="472"/>
        <v>1029446</v>
      </c>
      <c r="I146" s="56">
        <f t="shared" si="428"/>
        <v>90464</v>
      </c>
      <c r="J146" s="57">
        <f t="shared" ref="J146:J151" si="473">H146/G146*100</f>
        <v>109.63426348960897</v>
      </c>
      <c r="K146" s="18">
        <f t="shared" si="430"/>
        <v>-16589675</v>
      </c>
      <c r="L146" s="18">
        <f t="shared" si="431"/>
        <v>-9508069</v>
      </c>
      <c r="M146" s="921"/>
      <c r="N146" s="39" t="s">
        <v>32</v>
      </c>
      <c r="O146" s="18">
        <f t="shared" ref="O146:S146" si="474">O24+O40+O48+O53+O59+O67+O75+O82+O91+O101+O117+O128+O133</f>
        <v>13850757</v>
      </c>
      <c r="P146" s="18">
        <f t="shared" si="474"/>
        <v>10388069</v>
      </c>
      <c r="Q146" s="18">
        <f t="shared" si="474"/>
        <v>0</v>
      </c>
      <c r="R146" s="55">
        <f t="shared" si="474"/>
        <v>0</v>
      </c>
      <c r="S146" s="18">
        <f t="shared" si="474"/>
        <v>0</v>
      </c>
      <c r="T146" s="18">
        <f t="shared" si="433"/>
        <v>0</v>
      </c>
      <c r="U146" s="23" t="e">
        <f t="shared" ref="U146:U151" si="475">S146/R146*100</f>
        <v>#DIV/0!</v>
      </c>
      <c r="V146" s="18">
        <f t="shared" si="435"/>
        <v>-10388069</v>
      </c>
      <c r="W146" s="921"/>
      <c r="X146" s="39" t="s">
        <v>32</v>
      </c>
      <c r="Y146" s="18">
        <f t="shared" ref="Y146:AA146" si="476">Y24+Y40+Y48+Y53+Y59+Y67+Y75+Y82+Y91+Y101+Y117+Y128+Y133</f>
        <v>0</v>
      </c>
      <c r="Z146" s="18">
        <f t="shared" si="476"/>
        <v>0</v>
      </c>
      <c r="AA146" s="18">
        <f t="shared" si="476"/>
        <v>880000</v>
      </c>
      <c r="AB146" s="18">
        <f t="shared" ref="AB146:AC146" si="477">G146-R146</f>
        <v>938982</v>
      </c>
      <c r="AC146" s="18">
        <f t="shared" si="477"/>
        <v>1029446</v>
      </c>
      <c r="AD146" s="18">
        <f t="shared" si="5"/>
        <v>90464</v>
      </c>
      <c r="AE146" s="23">
        <f t="shared" si="6"/>
        <v>109.63426348960897</v>
      </c>
    </row>
    <row r="147" spans="1:31" ht="15.75">
      <c r="A147" s="921"/>
      <c r="B147" s="58" t="s">
        <v>33</v>
      </c>
      <c r="C147" s="54">
        <f t="shared" ref="C147:F147" si="478">C60</f>
        <v>0</v>
      </c>
      <c r="D147" s="54">
        <f t="shared" si="478"/>
        <v>0</v>
      </c>
      <c r="E147" s="54">
        <f t="shared" si="478"/>
        <v>116</v>
      </c>
      <c r="F147" s="54">
        <f t="shared" si="478"/>
        <v>116</v>
      </c>
      <c r="G147" s="55">
        <f>G60+G118+G54</f>
        <v>6163</v>
      </c>
      <c r="H147" s="56">
        <f>H118+H54</f>
        <v>6047</v>
      </c>
      <c r="I147" s="56">
        <f t="shared" si="428"/>
        <v>-116</v>
      </c>
      <c r="J147" s="57">
        <f t="shared" si="473"/>
        <v>98.117799772837898</v>
      </c>
      <c r="K147" s="18">
        <f t="shared" si="430"/>
        <v>0</v>
      </c>
      <c r="L147" s="18">
        <f t="shared" si="431"/>
        <v>116</v>
      </c>
      <c r="M147" s="921"/>
      <c r="N147" s="39" t="s">
        <v>33</v>
      </c>
      <c r="O147" s="18">
        <f t="shared" ref="O147:Q147" si="479">O60</f>
        <v>0</v>
      </c>
      <c r="P147" s="18">
        <f t="shared" si="479"/>
        <v>0</v>
      </c>
      <c r="Q147" s="18">
        <f t="shared" si="479"/>
        <v>0</v>
      </c>
      <c r="R147" s="55">
        <f>R60+R118+R54</f>
        <v>3982</v>
      </c>
      <c r="S147" s="18">
        <f>S60</f>
        <v>0</v>
      </c>
      <c r="T147" s="18">
        <f t="shared" si="433"/>
        <v>-3982</v>
      </c>
      <c r="U147" s="23">
        <f t="shared" si="475"/>
        <v>0</v>
      </c>
      <c r="V147" s="18">
        <f t="shared" si="435"/>
        <v>0</v>
      </c>
      <c r="W147" s="921"/>
      <c r="X147" s="39" t="s">
        <v>33</v>
      </c>
      <c r="Y147" s="18">
        <f t="shared" ref="Y147:AA147" si="480">Y60</f>
        <v>0</v>
      </c>
      <c r="Z147" s="18">
        <f t="shared" si="480"/>
        <v>0</v>
      </c>
      <c r="AA147" s="18">
        <f t="shared" si="480"/>
        <v>116</v>
      </c>
      <c r="AB147" s="18">
        <f t="shared" ref="AB147:AC147" si="481">G147-R147</f>
        <v>2181</v>
      </c>
      <c r="AC147" s="18">
        <f t="shared" si="481"/>
        <v>6047</v>
      </c>
      <c r="AD147" s="18">
        <f t="shared" si="5"/>
        <v>3866</v>
      </c>
      <c r="AE147" s="23">
        <f t="shared" si="6"/>
        <v>277.25813846859239</v>
      </c>
    </row>
    <row r="148" spans="1:31" ht="15.75">
      <c r="A148" s="921"/>
      <c r="B148" s="53" t="s">
        <v>24</v>
      </c>
      <c r="C148" s="54">
        <f t="shared" ref="C148:H148" si="482">C8+C12+C17+C26+C34+C41+C49+C55+C62+C69+C76+C83+C92+C103+C111+C119+C129+C134</f>
        <v>0</v>
      </c>
      <c r="D148" s="54">
        <f t="shared" si="482"/>
        <v>0</v>
      </c>
      <c r="E148" s="54">
        <f t="shared" si="482"/>
        <v>0</v>
      </c>
      <c r="F148" s="54">
        <f t="shared" si="482"/>
        <v>18882748</v>
      </c>
      <c r="G148" s="55">
        <f t="shared" si="482"/>
        <v>20742232</v>
      </c>
      <c r="H148" s="56">
        <f t="shared" si="482"/>
        <v>20588659</v>
      </c>
      <c r="I148" s="56">
        <f t="shared" si="428"/>
        <v>-153573</v>
      </c>
      <c r="J148" s="57">
        <f t="shared" si="473"/>
        <v>99.259611983898353</v>
      </c>
      <c r="K148" s="18">
        <f t="shared" si="430"/>
        <v>18882748</v>
      </c>
      <c r="L148" s="18">
        <f t="shared" si="431"/>
        <v>18882748</v>
      </c>
      <c r="M148" s="921"/>
      <c r="N148" s="17" t="s">
        <v>24</v>
      </c>
      <c r="O148" s="18">
        <f t="shared" ref="O148:S148" si="483">O8+O12+O17+O26+O34+O41+O49+O55+O62+O69+O76+O83+O92+O103+O111+O119+O129+O134</f>
        <v>0</v>
      </c>
      <c r="P148" s="18">
        <f t="shared" si="483"/>
        <v>0</v>
      </c>
      <c r="Q148" s="18">
        <f t="shared" si="483"/>
        <v>5652310</v>
      </c>
      <c r="R148" s="55">
        <f t="shared" si="483"/>
        <v>4910402</v>
      </c>
      <c r="S148" s="18">
        <f t="shared" si="483"/>
        <v>4482187</v>
      </c>
      <c r="T148" s="18">
        <f t="shared" si="433"/>
        <v>-428215</v>
      </c>
      <c r="U148" s="23">
        <f t="shared" si="475"/>
        <v>91.279430889772357</v>
      </c>
      <c r="V148" s="18">
        <f t="shared" si="435"/>
        <v>5652310</v>
      </c>
      <c r="W148" s="921"/>
      <c r="X148" s="17" t="s">
        <v>24</v>
      </c>
      <c r="Y148" s="18">
        <f t="shared" ref="Y148:AA148" si="484">Y8+Y12+Y17+Y26+Y34+Y41+Y49+Y55+Y62+Y69+Y76+Y83+Y92+Y103+Y111+Y119+Y129+Y134</f>
        <v>0</v>
      </c>
      <c r="Z148" s="18">
        <f t="shared" si="484"/>
        <v>0</v>
      </c>
      <c r="AA148" s="18">
        <f t="shared" si="484"/>
        <v>13230438</v>
      </c>
      <c r="AB148" s="18">
        <f t="shared" ref="AB148:AC148" si="485">G148-R148</f>
        <v>15831830</v>
      </c>
      <c r="AC148" s="18">
        <f t="shared" si="485"/>
        <v>16106472</v>
      </c>
      <c r="AD148" s="18">
        <f t="shared" si="5"/>
        <v>274642</v>
      </c>
      <c r="AE148" s="23">
        <f t="shared" si="6"/>
        <v>101.73474576217659</v>
      </c>
    </row>
    <row r="149" spans="1:31" ht="15.75">
      <c r="A149" s="921"/>
      <c r="B149" s="58" t="s">
        <v>29</v>
      </c>
      <c r="C149" s="54">
        <f t="shared" ref="C149:H149" si="486">C18+C27+C104</f>
        <v>15976090</v>
      </c>
      <c r="D149" s="54">
        <f t="shared" si="486"/>
        <v>15976090</v>
      </c>
      <c r="E149" s="54">
        <f t="shared" si="486"/>
        <v>17108896</v>
      </c>
      <c r="F149" s="54">
        <f t="shared" si="486"/>
        <v>13120000</v>
      </c>
      <c r="G149" s="55">
        <f t="shared" si="486"/>
        <v>15203901</v>
      </c>
      <c r="H149" s="56">
        <f t="shared" si="486"/>
        <v>13416972</v>
      </c>
      <c r="I149" s="56">
        <f t="shared" si="428"/>
        <v>-1786929</v>
      </c>
      <c r="J149" s="57">
        <f t="shared" si="473"/>
        <v>88.24690452798923</v>
      </c>
      <c r="K149" s="18">
        <f t="shared" si="430"/>
        <v>-3988896</v>
      </c>
      <c r="L149" s="18">
        <f t="shared" si="431"/>
        <v>-2856090</v>
      </c>
      <c r="M149" s="921"/>
      <c r="N149" s="39" t="s">
        <v>29</v>
      </c>
      <c r="O149" s="18">
        <f t="shared" ref="O149:S149" si="487">O18+O27+O104</f>
        <v>15976090</v>
      </c>
      <c r="P149" s="18">
        <f t="shared" si="487"/>
        <v>15976090</v>
      </c>
      <c r="Q149" s="18">
        <f t="shared" si="487"/>
        <v>12590000</v>
      </c>
      <c r="R149" s="55">
        <f t="shared" si="487"/>
        <v>15090000</v>
      </c>
      <c r="S149" s="18">
        <f t="shared" si="487"/>
        <v>13311620</v>
      </c>
      <c r="T149" s="18">
        <f t="shared" si="433"/>
        <v>-1778380</v>
      </c>
      <c r="U149" s="23">
        <f t="shared" si="475"/>
        <v>88.21484426772696</v>
      </c>
      <c r="V149" s="18">
        <f t="shared" si="435"/>
        <v>-3386090</v>
      </c>
      <c r="W149" s="921"/>
      <c r="X149" s="39" t="s">
        <v>29</v>
      </c>
      <c r="Y149" s="18">
        <f t="shared" ref="Y149:AA149" si="488">Y18+Y27+Y104</f>
        <v>0</v>
      </c>
      <c r="Z149" s="18">
        <f t="shared" si="488"/>
        <v>0</v>
      </c>
      <c r="AA149" s="18">
        <f t="shared" si="488"/>
        <v>530000</v>
      </c>
      <c r="AB149" s="18">
        <f t="shared" ref="AB149:AC149" si="489">G149-R149</f>
        <v>113901</v>
      </c>
      <c r="AC149" s="18">
        <f t="shared" si="489"/>
        <v>105352</v>
      </c>
      <c r="AD149" s="18">
        <f t="shared" si="5"/>
        <v>-8549</v>
      </c>
      <c r="AE149" s="23">
        <f t="shared" si="6"/>
        <v>92.494359136443052</v>
      </c>
    </row>
    <row r="150" spans="1:31" ht="15.75">
      <c r="A150" s="921"/>
      <c r="B150" s="59" t="s">
        <v>23</v>
      </c>
      <c r="C150" s="60">
        <f t="shared" ref="C150:H150" si="490">C7+C28+C56+C84+C120</f>
        <v>8812500</v>
      </c>
      <c r="D150" s="60">
        <f t="shared" si="490"/>
        <v>8812500</v>
      </c>
      <c r="E150" s="60">
        <f t="shared" si="490"/>
        <v>8812500</v>
      </c>
      <c r="F150" s="60">
        <f t="shared" si="490"/>
        <v>560000</v>
      </c>
      <c r="G150" s="61">
        <f t="shared" si="490"/>
        <v>560000</v>
      </c>
      <c r="H150" s="62">
        <f t="shared" si="490"/>
        <v>0</v>
      </c>
      <c r="I150" s="56">
        <f t="shared" si="428"/>
        <v>-560000</v>
      </c>
      <c r="J150" s="57">
        <f t="shared" si="473"/>
        <v>0</v>
      </c>
      <c r="K150" s="18">
        <f t="shared" si="430"/>
        <v>-8252500</v>
      </c>
      <c r="L150" s="18">
        <f t="shared" si="431"/>
        <v>-8252500</v>
      </c>
      <c r="M150" s="921"/>
      <c r="N150" s="39" t="s">
        <v>23</v>
      </c>
      <c r="O150" s="18">
        <f t="shared" ref="O150:S150" si="491">O7+O28+O56+O84+O120</f>
        <v>0</v>
      </c>
      <c r="P150" s="18">
        <f t="shared" si="491"/>
        <v>0</v>
      </c>
      <c r="Q150" s="18">
        <f t="shared" si="491"/>
        <v>0</v>
      </c>
      <c r="R150" s="61">
        <f t="shared" si="491"/>
        <v>0</v>
      </c>
      <c r="S150" s="18">
        <f t="shared" si="491"/>
        <v>0</v>
      </c>
      <c r="T150" s="18">
        <f t="shared" si="433"/>
        <v>0</v>
      </c>
      <c r="U150" s="23" t="e">
        <f t="shared" si="475"/>
        <v>#DIV/0!</v>
      </c>
      <c r="V150" s="18">
        <f t="shared" si="435"/>
        <v>0</v>
      </c>
      <c r="W150" s="921"/>
      <c r="X150" s="39" t="s">
        <v>23</v>
      </c>
      <c r="Y150" s="18">
        <f t="shared" ref="Y150:AA150" si="492">Y7+Y28+Y56+Y84+Y120</f>
        <v>8812500</v>
      </c>
      <c r="Z150" s="18">
        <f t="shared" si="492"/>
        <v>8812500</v>
      </c>
      <c r="AA150" s="18">
        <f t="shared" si="492"/>
        <v>560000</v>
      </c>
      <c r="AB150" s="18">
        <f t="shared" ref="AB150:AC150" si="493">G150-R150</f>
        <v>560000</v>
      </c>
      <c r="AC150" s="18">
        <f t="shared" si="493"/>
        <v>0</v>
      </c>
      <c r="AD150" s="18">
        <f t="shared" si="5"/>
        <v>-560000</v>
      </c>
      <c r="AE150" s="23">
        <f t="shared" si="6"/>
        <v>0</v>
      </c>
    </row>
    <row r="151" spans="1:31" ht="15.75">
      <c r="A151" s="922"/>
      <c r="B151" s="54" t="s">
        <v>25</v>
      </c>
      <c r="C151" s="54">
        <f t="shared" ref="C151:I151" si="494">SUM(C137:C150)</f>
        <v>50967980</v>
      </c>
      <c r="D151" s="54">
        <f t="shared" si="494"/>
        <v>46807698</v>
      </c>
      <c r="E151" s="54">
        <f t="shared" si="494"/>
        <v>59968320</v>
      </c>
      <c r="F151" s="54">
        <f t="shared" si="494"/>
        <v>40097086</v>
      </c>
      <c r="G151" s="55">
        <f t="shared" si="494"/>
        <v>44105202</v>
      </c>
      <c r="H151" s="56">
        <f t="shared" si="494"/>
        <v>42037328</v>
      </c>
      <c r="I151" s="56">
        <f t="shared" si="494"/>
        <v>-2067874</v>
      </c>
      <c r="J151" s="57">
        <f t="shared" si="473"/>
        <v>95.311496362719296</v>
      </c>
      <c r="K151" s="29">
        <f t="shared" si="430"/>
        <v>-19871234</v>
      </c>
      <c r="L151" s="26">
        <f t="shared" si="431"/>
        <v>-6710612</v>
      </c>
      <c r="M151" s="922"/>
      <c r="N151" s="25" t="s">
        <v>25</v>
      </c>
      <c r="O151" s="26">
        <f t="shared" ref="O151:T151" si="495">SUM(O137:O150)</f>
        <v>42155480</v>
      </c>
      <c r="P151" s="26">
        <f t="shared" si="495"/>
        <v>37995198</v>
      </c>
      <c r="Q151" s="26">
        <f t="shared" si="495"/>
        <v>18613652</v>
      </c>
      <c r="R151" s="55">
        <f t="shared" si="495"/>
        <v>20417454</v>
      </c>
      <c r="S151" s="26">
        <f t="shared" si="495"/>
        <v>18648637</v>
      </c>
      <c r="T151" s="26">
        <f t="shared" si="495"/>
        <v>-1768817</v>
      </c>
      <c r="U151" s="23">
        <f t="shared" si="475"/>
        <v>91.336740614182361</v>
      </c>
      <c r="V151" s="26">
        <f t="shared" si="435"/>
        <v>-19381546</v>
      </c>
      <c r="W151" s="922"/>
      <c r="X151" s="25" t="s">
        <v>25</v>
      </c>
      <c r="Y151" s="26">
        <f t="shared" ref="Y151:AA151" si="496">SUM(Y137:Y150)</f>
        <v>8812500</v>
      </c>
      <c r="Z151" s="26">
        <f t="shared" si="496"/>
        <v>8812500</v>
      </c>
      <c r="AA151" s="26">
        <f t="shared" si="496"/>
        <v>21483434</v>
      </c>
      <c r="AB151" s="18">
        <f t="shared" ref="AB151:AC151" si="497">G151-R151</f>
        <v>23687748</v>
      </c>
      <c r="AC151" s="18">
        <f t="shared" si="497"/>
        <v>23388691</v>
      </c>
      <c r="AD151" s="18">
        <f t="shared" si="5"/>
        <v>-299057</v>
      </c>
      <c r="AE151" s="23">
        <f t="shared" si="6"/>
        <v>98.737503455372803</v>
      </c>
    </row>
    <row r="152" spans="1:31" ht="15.75">
      <c r="A152" s="63"/>
      <c r="B152" s="64"/>
      <c r="C152" s="64"/>
      <c r="D152" s="64"/>
      <c r="E152" s="64"/>
      <c r="F152" s="64"/>
      <c r="G152" s="64"/>
      <c r="H152" s="65"/>
      <c r="I152" s="64"/>
      <c r="J152" s="64"/>
      <c r="K152" s="66"/>
      <c r="L152" s="67"/>
      <c r="M152" s="63"/>
      <c r="N152" s="66"/>
      <c r="O152" s="66"/>
      <c r="P152" s="66"/>
      <c r="Q152" s="66"/>
      <c r="R152" s="64"/>
      <c r="S152" s="66"/>
      <c r="T152" s="66"/>
      <c r="U152" s="68"/>
      <c r="V152" s="67"/>
      <c r="W152" s="63"/>
      <c r="X152" s="66"/>
      <c r="Y152" s="66"/>
      <c r="Z152" s="66"/>
      <c r="AA152" s="66"/>
      <c r="AB152" s="64"/>
      <c r="AC152" s="66"/>
      <c r="AD152" s="66"/>
      <c r="AE152" s="66"/>
    </row>
    <row r="153" spans="1:31" ht="15.75">
      <c r="A153" s="927" t="s">
        <v>61</v>
      </c>
      <c r="B153" s="928"/>
      <c r="C153" s="928"/>
      <c r="D153" s="928"/>
      <c r="E153" s="928"/>
      <c r="F153" s="928"/>
      <c r="G153" s="928"/>
      <c r="H153" s="928"/>
      <c r="I153" s="928"/>
      <c r="J153" s="928"/>
      <c r="K153" s="928"/>
      <c r="L153" s="928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</row>
    <row r="154" spans="1:31" ht="15.75">
      <c r="A154" s="14" t="s">
        <v>62</v>
      </c>
      <c r="B154" s="14"/>
      <c r="C154" s="14" t="s">
        <v>63</v>
      </c>
      <c r="D154" s="14"/>
      <c r="E154" s="14"/>
      <c r="F154" s="14" t="s">
        <v>64</v>
      </c>
      <c r="G154" s="14" t="s">
        <v>65</v>
      </c>
      <c r="H154" s="14" t="s">
        <v>66</v>
      </c>
      <c r="I154" s="14" t="s">
        <v>67</v>
      </c>
      <c r="J154" s="14" t="s">
        <v>68</v>
      </c>
      <c r="K154" s="70"/>
      <c r="L154" s="70"/>
      <c r="M154" s="71"/>
      <c r="N154" s="71"/>
      <c r="O154" s="71"/>
      <c r="P154" s="71"/>
      <c r="Q154" s="71"/>
      <c r="R154" s="71"/>
      <c r="S154" s="71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</row>
    <row r="155" spans="1:31">
      <c r="A155" s="72" t="s">
        <v>69</v>
      </c>
      <c r="B155" s="924" t="s">
        <v>19</v>
      </c>
      <c r="C155" s="20">
        <v>9244097</v>
      </c>
      <c r="D155" s="20">
        <v>6933073</v>
      </c>
      <c r="E155" s="20">
        <v>6378645</v>
      </c>
      <c r="F155" s="20">
        <v>6378645</v>
      </c>
      <c r="G155" s="20">
        <v>6397775</v>
      </c>
      <c r="H155" s="20">
        <v>1987645</v>
      </c>
      <c r="I155" s="20">
        <f t="shared" ref="I155:I157" si="498">H155-F155</f>
        <v>-4391000</v>
      </c>
      <c r="J155" s="20"/>
      <c r="K155" s="73">
        <f t="shared" ref="K155:K157" si="499">F155-E155</f>
        <v>0</v>
      </c>
      <c r="L155" s="74">
        <f t="shared" ref="L155:L157" si="500">F155-D155</f>
        <v>-554428</v>
      </c>
      <c r="M155" s="75"/>
      <c r="N155" s="76"/>
      <c r="O155" s="77"/>
      <c r="P155" s="77"/>
      <c r="Q155" s="20" t="s">
        <v>70</v>
      </c>
      <c r="R155" s="20" t="s">
        <v>71</v>
      </c>
      <c r="S155" s="20">
        <v>210315</v>
      </c>
      <c r="T155" s="64"/>
      <c r="U155" s="78"/>
      <c r="V155" s="64"/>
      <c r="W155" s="79"/>
      <c r="X155" s="80"/>
      <c r="Y155" s="80"/>
      <c r="Z155" s="80"/>
      <c r="AA155" s="80"/>
      <c r="AB155" s="80"/>
      <c r="AC155" s="80"/>
      <c r="AD155" s="64"/>
      <c r="AE155" s="64"/>
    </row>
    <row r="156" spans="1:31">
      <c r="A156" s="72" t="s">
        <v>72</v>
      </c>
      <c r="B156" s="921"/>
      <c r="C156" s="20">
        <v>6830990</v>
      </c>
      <c r="D156" s="20">
        <v>6830990</v>
      </c>
      <c r="E156" s="20">
        <v>6539996</v>
      </c>
      <c r="F156" s="20">
        <v>6539996</v>
      </c>
      <c r="G156" s="20">
        <v>6028669</v>
      </c>
      <c r="H156" s="20">
        <v>5767392</v>
      </c>
      <c r="I156" s="20">
        <f t="shared" si="498"/>
        <v>-772604</v>
      </c>
      <c r="J156" s="20"/>
      <c r="K156" s="81">
        <f t="shared" si="499"/>
        <v>0</v>
      </c>
      <c r="L156" s="82">
        <f t="shared" si="500"/>
        <v>-290994</v>
      </c>
      <c r="M156" s="75"/>
      <c r="N156" s="76"/>
      <c r="O156" s="77"/>
      <c r="P156" s="77"/>
      <c r="Q156" s="925" t="s">
        <v>73</v>
      </c>
      <c r="R156" s="20" t="s">
        <v>74</v>
      </c>
      <c r="S156" s="20">
        <v>31256</v>
      </c>
      <c r="T156" s="64"/>
      <c r="U156" s="78"/>
      <c r="V156" s="64"/>
      <c r="W156" s="79"/>
      <c r="X156" s="80"/>
      <c r="Y156" s="80"/>
      <c r="Z156" s="80"/>
      <c r="AA156" s="80"/>
      <c r="AB156" s="80"/>
      <c r="AC156" s="80"/>
      <c r="AD156" s="64"/>
      <c r="AE156" s="64"/>
    </row>
    <row r="157" spans="1:31">
      <c r="A157" s="72" t="s">
        <v>75</v>
      </c>
      <c r="B157" s="922"/>
      <c r="C157" s="20">
        <v>20000</v>
      </c>
      <c r="D157" s="20">
        <v>20000</v>
      </c>
      <c r="E157" s="20">
        <v>20000</v>
      </c>
      <c r="F157" s="20">
        <v>20000</v>
      </c>
      <c r="G157" s="20">
        <v>20000</v>
      </c>
      <c r="H157" s="20">
        <v>0</v>
      </c>
      <c r="I157" s="20">
        <f t="shared" si="498"/>
        <v>-20000</v>
      </c>
      <c r="J157" s="20"/>
      <c r="K157" s="81">
        <f t="shared" si="499"/>
        <v>0</v>
      </c>
      <c r="L157" s="82">
        <f t="shared" si="500"/>
        <v>0</v>
      </c>
      <c r="M157" s="75"/>
      <c r="N157" s="76"/>
      <c r="O157" s="76"/>
      <c r="P157" s="76">
        <f>+I151-T151</f>
        <v>-299057</v>
      </c>
      <c r="Q157" s="921"/>
      <c r="R157" s="20" t="s">
        <v>76</v>
      </c>
      <c r="S157" s="20">
        <v>18224</v>
      </c>
      <c r="T157" s="64"/>
      <c r="U157" s="78"/>
      <c r="V157" s="64"/>
      <c r="W157" s="79"/>
      <c r="X157" s="80"/>
      <c r="Y157" s="80"/>
      <c r="Z157" s="80"/>
      <c r="AA157" s="80"/>
      <c r="AB157" s="80"/>
      <c r="AC157" s="80"/>
      <c r="AD157" s="64"/>
      <c r="AE157" s="64"/>
    </row>
    <row r="158" spans="1:31" ht="15.75">
      <c r="A158" s="72"/>
      <c r="B158" s="83" t="s">
        <v>25</v>
      </c>
      <c r="C158" s="28">
        <f t="shared" ref="C158:I158" si="501">SUM(C155:C157)</f>
        <v>16095087</v>
      </c>
      <c r="D158" s="28">
        <f t="shared" si="501"/>
        <v>13784063</v>
      </c>
      <c r="E158" s="28">
        <f t="shared" si="501"/>
        <v>12938641</v>
      </c>
      <c r="F158" s="28">
        <f t="shared" si="501"/>
        <v>12938641</v>
      </c>
      <c r="G158" s="28">
        <f t="shared" si="501"/>
        <v>12446444</v>
      </c>
      <c r="H158" s="28">
        <f t="shared" si="501"/>
        <v>7755037</v>
      </c>
      <c r="I158" s="28">
        <f t="shared" si="501"/>
        <v>-5183604</v>
      </c>
      <c r="J158" s="20"/>
      <c r="K158" s="81"/>
      <c r="L158" s="82"/>
      <c r="M158" s="75"/>
      <c r="N158" s="84"/>
      <c r="O158" s="77"/>
      <c r="P158" s="77"/>
      <c r="Q158" s="921"/>
      <c r="R158" s="20" t="s">
        <v>77</v>
      </c>
      <c r="S158" s="20">
        <v>160835</v>
      </c>
      <c r="T158" s="64"/>
      <c r="U158" s="78"/>
      <c r="V158" s="64"/>
      <c r="W158" s="79"/>
      <c r="X158" s="80"/>
      <c r="Y158" s="80"/>
      <c r="Z158" s="80"/>
      <c r="AA158" s="80"/>
      <c r="AB158" s="80"/>
      <c r="AC158" s="80"/>
      <c r="AD158" s="64"/>
      <c r="AE158" s="64"/>
    </row>
    <row r="159" spans="1:31" ht="15.75">
      <c r="A159" s="72" t="s">
        <v>78</v>
      </c>
      <c r="B159" s="924" t="s">
        <v>79</v>
      </c>
      <c r="C159" s="20">
        <v>9384466</v>
      </c>
      <c r="D159" s="20">
        <v>7038350</v>
      </c>
      <c r="E159" s="20">
        <v>6759758</v>
      </c>
      <c r="F159" s="20">
        <v>6759758</v>
      </c>
      <c r="G159" s="20">
        <v>6855311</v>
      </c>
      <c r="H159" s="20">
        <v>3223080</v>
      </c>
      <c r="I159" s="20">
        <f t="shared" ref="I159:I161" si="502">H159-F159</f>
        <v>-3536678</v>
      </c>
      <c r="J159" s="20"/>
      <c r="K159" s="81">
        <f t="shared" ref="K159:K161" si="503">F159-E159</f>
        <v>0</v>
      </c>
      <c r="L159" s="82">
        <f t="shared" ref="L159:L161" si="504">F159-D159</f>
        <v>-278592</v>
      </c>
      <c r="M159" s="75"/>
      <c r="N159" s="76"/>
      <c r="O159" s="77"/>
      <c r="P159" s="77"/>
      <c r="Q159" s="922"/>
      <c r="R159" s="20" t="s">
        <v>80</v>
      </c>
      <c r="S159" s="28">
        <f>SUM(S156:S158)</f>
        <v>210315</v>
      </c>
      <c r="T159" s="64"/>
      <c r="U159" s="78"/>
      <c r="V159" s="64"/>
      <c r="W159" s="79"/>
      <c r="X159" s="80"/>
      <c r="Y159" s="80"/>
      <c r="Z159" s="80"/>
      <c r="AA159" s="80"/>
      <c r="AB159" s="80"/>
      <c r="AC159" s="80"/>
      <c r="AD159" s="64"/>
      <c r="AE159" s="64"/>
    </row>
    <row r="160" spans="1:31">
      <c r="A160" s="72" t="s">
        <v>72</v>
      </c>
      <c r="B160" s="921"/>
      <c r="C160" s="20">
        <v>6800513</v>
      </c>
      <c r="D160" s="20">
        <v>6800513</v>
      </c>
      <c r="E160" s="20">
        <v>6606971</v>
      </c>
      <c r="F160" s="20">
        <v>6606971</v>
      </c>
      <c r="G160" s="20">
        <v>5978244</v>
      </c>
      <c r="H160" s="20">
        <v>5441453</v>
      </c>
      <c r="I160" s="20">
        <f t="shared" si="502"/>
        <v>-1165518</v>
      </c>
      <c r="J160" s="20"/>
      <c r="K160" s="81">
        <f t="shared" si="503"/>
        <v>0</v>
      </c>
      <c r="L160" s="82">
        <f t="shared" si="504"/>
        <v>-193542</v>
      </c>
      <c r="M160" s="75"/>
      <c r="N160" s="76"/>
      <c r="O160" s="77"/>
      <c r="P160" s="77"/>
      <c r="Q160" s="77"/>
      <c r="R160" s="77"/>
      <c r="S160" s="77"/>
      <c r="T160" s="64"/>
      <c r="U160" s="78"/>
      <c r="V160" s="64"/>
      <c r="W160" s="79"/>
      <c r="X160" s="80"/>
      <c r="Y160" s="80"/>
      <c r="Z160" s="80"/>
      <c r="AA160" s="80"/>
      <c r="AB160" s="80"/>
      <c r="AC160" s="80"/>
      <c r="AD160" s="64"/>
      <c r="AE160" s="64"/>
    </row>
    <row r="161" spans="1:31">
      <c r="A161" s="72" t="s">
        <v>75</v>
      </c>
      <c r="B161" s="922"/>
      <c r="C161" s="20">
        <v>20000</v>
      </c>
      <c r="D161" s="20">
        <v>20000</v>
      </c>
      <c r="E161" s="20">
        <v>20000</v>
      </c>
      <c r="F161" s="20">
        <v>20000</v>
      </c>
      <c r="G161" s="20">
        <v>20000</v>
      </c>
      <c r="H161" s="20">
        <v>0</v>
      </c>
      <c r="I161" s="20">
        <f t="shared" si="502"/>
        <v>-20000</v>
      </c>
      <c r="J161" s="20"/>
      <c r="K161" s="81">
        <f t="shared" si="503"/>
        <v>0</v>
      </c>
      <c r="L161" s="82">
        <f t="shared" si="504"/>
        <v>0</v>
      </c>
      <c r="M161" s="75"/>
      <c r="N161" s="76"/>
      <c r="O161" s="77"/>
      <c r="P161" s="77"/>
      <c r="Q161" s="77"/>
      <c r="R161" s="77"/>
      <c r="S161" s="77"/>
      <c r="T161" s="64"/>
      <c r="U161" s="78"/>
      <c r="V161" s="64"/>
      <c r="W161" s="79"/>
      <c r="X161" s="80"/>
      <c r="Y161" s="80"/>
      <c r="Z161" s="80"/>
      <c r="AA161" s="80"/>
      <c r="AB161" s="80"/>
      <c r="AC161" s="80"/>
      <c r="AD161" s="64"/>
      <c r="AE161" s="64"/>
    </row>
    <row r="162" spans="1:31" ht="15.75">
      <c r="A162" s="72"/>
      <c r="B162" s="85" t="s">
        <v>25</v>
      </c>
      <c r="C162" s="28">
        <f t="shared" ref="C162:J162" si="505">SUM(C159:C161)</f>
        <v>16204979</v>
      </c>
      <c r="D162" s="28">
        <f t="shared" si="505"/>
        <v>13858863</v>
      </c>
      <c r="E162" s="28">
        <f t="shared" si="505"/>
        <v>13386729</v>
      </c>
      <c r="F162" s="28">
        <f t="shared" si="505"/>
        <v>13386729</v>
      </c>
      <c r="G162" s="28">
        <f t="shared" si="505"/>
        <v>12853555</v>
      </c>
      <c r="H162" s="28">
        <f t="shared" si="505"/>
        <v>8664533</v>
      </c>
      <c r="I162" s="28">
        <f t="shared" si="505"/>
        <v>-4722196</v>
      </c>
      <c r="J162" s="28">
        <f t="shared" si="505"/>
        <v>0</v>
      </c>
      <c r="K162" s="77"/>
      <c r="L162" s="77"/>
      <c r="M162" s="75"/>
      <c r="N162" s="86"/>
      <c r="O162" s="77"/>
      <c r="P162" s="77"/>
      <c r="Q162" s="77"/>
      <c r="R162" s="71"/>
      <c r="S162" s="77"/>
      <c r="T162" s="64"/>
      <c r="U162" s="78"/>
      <c r="V162" s="64"/>
      <c r="W162" s="79"/>
      <c r="X162" s="80"/>
      <c r="Y162" s="80"/>
      <c r="Z162" s="80"/>
      <c r="AA162" s="80"/>
      <c r="AB162" s="80"/>
      <c r="AC162" s="80"/>
      <c r="AD162" s="64"/>
      <c r="AE162" s="64"/>
    </row>
    <row r="163" spans="1:31" ht="15.75">
      <c r="A163" s="72"/>
      <c r="B163" s="85"/>
      <c r="C163" s="28"/>
      <c r="D163" s="28"/>
      <c r="E163" s="28"/>
      <c r="F163" s="28"/>
      <c r="G163" s="28"/>
      <c r="H163" s="28"/>
      <c r="I163" s="28"/>
      <c r="J163" s="28"/>
      <c r="K163" s="77"/>
      <c r="L163" s="77"/>
      <c r="M163" s="75"/>
      <c r="N163" s="86"/>
      <c r="O163" s="77"/>
      <c r="P163" s="77"/>
      <c r="Q163" s="77"/>
      <c r="R163" s="71"/>
      <c r="S163" s="77"/>
      <c r="T163" s="64"/>
      <c r="U163" s="78"/>
      <c r="V163" s="64"/>
      <c r="W163" s="79"/>
      <c r="X163" s="80"/>
      <c r="Y163" s="80"/>
      <c r="Z163" s="80"/>
      <c r="AA163" s="80"/>
      <c r="AB163" s="80"/>
      <c r="AC163" s="80"/>
      <c r="AD163" s="64"/>
      <c r="AE163" s="64"/>
    </row>
    <row r="164" spans="1:31">
      <c r="A164" s="72" t="s">
        <v>78</v>
      </c>
      <c r="B164" s="924" t="s">
        <v>81</v>
      </c>
      <c r="C164" s="20">
        <f t="shared" ref="C164:I164" si="506">C155-C159</f>
        <v>-140369</v>
      </c>
      <c r="D164" s="20">
        <f t="shared" si="506"/>
        <v>-105277</v>
      </c>
      <c r="E164" s="20">
        <f t="shared" si="506"/>
        <v>-381113</v>
      </c>
      <c r="F164" s="20">
        <f t="shared" si="506"/>
        <v>-381113</v>
      </c>
      <c r="G164" s="20">
        <f t="shared" si="506"/>
        <v>-457536</v>
      </c>
      <c r="H164" s="20">
        <f t="shared" si="506"/>
        <v>-1235435</v>
      </c>
      <c r="I164" s="20">
        <f t="shared" si="506"/>
        <v>-854322</v>
      </c>
      <c r="J164" s="20"/>
      <c r="K164" s="77"/>
      <c r="L164" s="77"/>
      <c r="M164" s="75"/>
      <c r="N164" s="77"/>
      <c r="O164" s="77"/>
      <c r="P164" s="77"/>
      <c r="Q164" s="77">
        <f>363744-210315</f>
        <v>153429</v>
      </c>
      <c r="R164" s="77"/>
      <c r="S164" s="77"/>
      <c r="T164" s="64"/>
      <c r="U164" s="78"/>
      <c r="V164" s="64"/>
      <c r="W164" s="79"/>
      <c r="X164" s="80"/>
      <c r="Y164" s="80"/>
      <c r="Z164" s="80"/>
      <c r="AA164" s="80"/>
      <c r="AB164" s="80"/>
      <c r="AC164" s="80"/>
      <c r="AD164" s="64"/>
      <c r="AE164" s="64"/>
    </row>
    <row r="165" spans="1:31">
      <c r="A165" s="72" t="s">
        <v>72</v>
      </c>
      <c r="B165" s="921"/>
      <c r="C165" s="20">
        <f t="shared" ref="C165:C166" si="507">C156-C160</f>
        <v>30477</v>
      </c>
      <c r="D165" s="20">
        <v>6800513</v>
      </c>
      <c r="E165" s="20">
        <v>6606971</v>
      </c>
      <c r="F165" s="20">
        <f t="shared" ref="F165:I165" si="508">F156-F160</f>
        <v>-66975</v>
      </c>
      <c r="G165" s="20">
        <f t="shared" si="508"/>
        <v>50425</v>
      </c>
      <c r="H165" s="20">
        <f t="shared" si="508"/>
        <v>325939</v>
      </c>
      <c r="I165" s="20">
        <f t="shared" si="508"/>
        <v>392914</v>
      </c>
      <c r="J165" s="20"/>
      <c r="K165" s="77"/>
      <c r="L165" s="77"/>
      <c r="M165" s="75"/>
      <c r="N165" s="77"/>
      <c r="O165" s="77"/>
      <c r="P165" s="77"/>
      <c r="Q165" s="77"/>
      <c r="R165" s="77"/>
      <c r="S165" s="77"/>
      <c r="T165" s="64"/>
      <c r="U165" s="78"/>
      <c r="V165" s="64"/>
      <c r="W165" s="79"/>
      <c r="X165" s="80"/>
      <c r="Y165" s="80"/>
      <c r="Z165" s="80"/>
      <c r="AA165" s="80"/>
      <c r="AB165" s="80"/>
      <c r="AC165" s="80"/>
      <c r="AD165" s="64"/>
      <c r="AE165" s="64"/>
    </row>
    <row r="166" spans="1:31">
      <c r="A166" s="72" t="s">
        <v>75</v>
      </c>
      <c r="B166" s="922"/>
      <c r="C166" s="20">
        <f t="shared" si="507"/>
        <v>0</v>
      </c>
      <c r="D166" s="20">
        <v>20000</v>
      </c>
      <c r="E166" s="20">
        <v>20000</v>
      </c>
      <c r="F166" s="20">
        <f t="shared" ref="F166:I166" si="509">F157-F161</f>
        <v>0</v>
      </c>
      <c r="G166" s="20">
        <f t="shared" si="509"/>
        <v>0</v>
      </c>
      <c r="H166" s="20">
        <f t="shared" si="509"/>
        <v>0</v>
      </c>
      <c r="I166" s="20">
        <f t="shared" si="509"/>
        <v>0</v>
      </c>
      <c r="J166" s="20"/>
      <c r="K166" s="77"/>
      <c r="L166" s="77"/>
      <c r="M166" s="75"/>
      <c r="N166" s="77"/>
      <c r="O166" s="77"/>
      <c r="P166" s="77"/>
      <c r="Q166" s="77"/>
      <c r="R166" s="77"/>
      <c r="S166" s="77"/>
      <c r="T166" s="64"/>
      <c r="U166" s="78"/>
      <c r="V166" s="64"/>
      <c r="W166" s="79"/>
      <c r="X166" s="80"/>
      <c r="Y166" s="80"/>
      <c r="Z166" s="80"/>
      <c r="AA166" s="80"/>
      <c r="AB166" s="80"/>
      <c r="AC166" s="80"/>
      <c r="AD166" s="64"/>
      <c r="AE166" s="64"/>
    </row>
    <row r="167" spans="1:31" ht="15.75">
      <c r="A167" s="72"/>
      <c r="B167" s="85" t="s">
        <v>25</v>
      </c>
      <c r="C167" s="28">
        <f t="shared" ref="C167:J167" si="510">SUM(C164:C166)</f>
        <v>-109892</v>
      </c>
      <c r="D167" s="28">
        <f t="shared" si="510"/>
        <v>6715236</v>
      </c>
      <c r="E167" s="28">
        <f t="shared" si="510"/>
        <v>6245858</v>
      </c>
      <c r="F167" s="28">
        <f t="shared" si="510"/>
        <v>-448088</v>
      </c>
      <c r="G167" s="28">
        <f t="shared" si="510"/>
        <v>-407111</v>
      </c>
      <c r="H167" s="28">
        <f t="shared" si="510"/>
        <v>-909496</v>
      </c>
      <c r="I167" s="28">
        <f t="shared" si="510"/>
        <v>-461408</v>
      </c>
      <c r="J167" s="28">
        <f t="shared" si="510"/>
        <v>0</v>
      </c>
      <c r="K167" s="77"/>
      <c r="L167" s="77"/>
      <c r="M167" s="75"/>
      <c r="N167" s="77"/>
      <c r="O167" s="77"/>
      <c r="P167" s="77"/>
      <c r="Q167" s="77"/>
      <c r="R167" s="77"/>
      <c r="S167" s="77"/>
      <c r="T167" s="64"/>
      <c r="U167" s="78"/>
      <c r="V167" s="64"/>
      <c r="W167" s="79"/>
      <c r="X167" s="80"/>
      <c r="Y167" s="80"/>
      <c r="Z167" s="80"/>
      <c r="AA167" s="80"/>
      <c r="AB167" s="80"/>
      <c r="AC167" s="80"/>
      <c r="AD167" s="64"/>
      <c r="AE167" s="64"/>
    </row>
    <row r="168" spans="1:31">
      <c r="A168" s="72"/>
      <c r="B168" s="20"/>
      <c r="C168" s="20"/>
      <c r="D168" s="20"/>
      <c r="E168" s="20"/>
      <c r="F168" s="20" t="s">
        <v>82</v>
      </c>
      <c r="G168" s="20" t="s">
        <v>82</v>
      </c>
      <c r="H168" s="20">
        <f>H137+H155+H156+H157</f>
        <v>13463140</v>
      </c>
      <c r="I168" s="20"/>
      <c r="J168" s="20"/>
      <c r="K168" s="77"/>
      <c r="L168" s="77"/>
      <c r="M168" s="75"/>
      <c r="N168" s="77"/>
      <c r="O168" s="77"/>
      <c r="P168" s="77"/>
      <c r="Q168" s="77"/>
      <c r="R168" s="77"/>
      <c r="S168" s="77"/>
      <c r="T168" s="64"/>
      <c r="U168" s="78"/>
      <c r="V168" s="64"/>
      <c r="W168" s="79"/>
      <c r="X168" s="80"/>
      <c r="Y168" s="80"/>
      <c r="Z168" s="80"/>
      <c r="AA168" s="80"/>
      <c r="AB168" s="80"/>
      <c r="AC168" s="80"/>
      <c r="AD168" s="64"/>
      <c r="AE168" s="64"/>
    </row>
    <row r="169" spans="1:31">
      <c r="A169" s="72"/>
      <c r="B169" s="20"/>
      <c r="C169" s="20"/>
      <c r="D169" s="20"/>
      <c r="E169" s="20"/>
      <c r="F169" s="20" t="s">
        <v>79</v>
      </c>
      <c r="G169" s="20" t="s">
        <v>79</v>
      </c>
      <c r="H169" s="20">
        <f>H159+H160+H161</f>
        <v>8664533</v>
      </c>
      <c r="I169" s="20"/>
      <c r="J169" s="20"/>
      <c r="K169" s="77"/>
      <c r="L169" s="77"/>
      <c r="M169" s="75"/>
      <c r="N169" s="77"/>
      <c r="O169" s="77"/>
      <c r="P169" s="77"/>
      <c r="Q169" s="77"/>
      <c r="R169" s="77"/>
      <c r="S169" s="77"/>
      <c r="T169" s="64"/>
      <c r="U169" s="78"/>
      <c r="V169" s="64"/>
      <c r="W169" s="79"/>
      <c r="X169" s="80"/>
      <c r="Y169" s="80"/>
      <c r="Z169" s="80"/>
      <c r="AA169" s="80"/>
      <c r="AB169" s="80"/>
      <c r="AC169" s="80"/>
      <c r="AD169" s="64"/>
      <c r="AE169" s="64"/>
    </row>
    <row r="170" spans="1:31">
      <c r="A170" s="72"/>
      <c r="B170" s="20"/>
      <c r="C170" s="20"/>
      <c r="D170" s="20"/>
      <c r="E170" s="20"/>
      <c r="F170" s="20" t="s">
        <v>83</v>
      </c>
      <c r="G170" s="20" t="s">
        <v>83</v>
      </c>
      <c r="H170" s="20">
        <f>H168-H169</f>
        <v>4798607</v>
      </c>
      <c r="I170" s="20"/>
      <c r="J170" s="20"/>
      <c r="K170" s="77"/>
      <c r="L170" s="77"/>
      <c r="M170" s="75"/>
      <c r="N170" s="77"/>
      <c r="O170" s="77"/>
      <c r="P170" s="77"/>
      <c r="Q170" s="77"/>
      <c r="R170" s="77"/>
      <c r="S170" s="77"/>
      <c r="T170" s="64"/>
      <c r="U170" s="78"/>
      <c r="V170" s="64"/>
      <c r="W170" s="79"/>
      <c r="X170" s="80"/>
      <c r="Y170" s="80"/>
      <c r="Z170" s="80"/>
      <c r="AA170" s="80"/>
      <c r="AB170" s="80"/>
      <c r="AC170" s="80"/>
      <c r="AD170" s="64"/>
      <c r="AE170" s="64"/>
    </row>
    <row r="171" spans="1:31">
      <c r="A171" s="72"/>
      <c r="B171" s="20"/>
      <c r="C171" s="20"/>
      <c r="D171" s="20"/>
      <c r="E171" s="20"/>
      <c r="F171" s="20" t="s">
        <v>84</v>
      </c>
      <c r="G171" s="20" t="s">
        <v>84</v>
      </c>
      <c r="H171" s="20">
        <f>H138</f>
        <v>11774</v>
      </c>
      <c r="I171" s="20"/>
      <c r="J171" s="20"/>
      <c r="K171" s="77"/>
      <c r="L171" s="77"/>
      <c r="M171" s="75"/>
      <c r="N171" s="77"/>
      <c r="O171" s="77"/>
      <c r="P171" s="77"/>
      <c r="Q171" s="77"/>
      <c r="R171" s="77"/>
      <c r="S171" s="77"/>
      <c r="T171" s="64"/>
      <c r="U171" s="78"/>
      <c r="V171" s="64"/>
      <c r="W171" s="79"/>
      <c r="X171" s="64"/>
      <c r="Y171" s="64"/>
      <c r="Z171" s="64"/>
      <c r="AA171" s="64"/>
      <c r="AB171" s="64"/>
      <c r="AC171" s="64"/>
      <c r="AD171" s="64"/>
      <c r="AE171" s="64"/>
    </row>
    <row r="172" spans="1:31">
      <c r="A172" s="72"/>
      <c r="B172" s="20"/>
      <c r="C172" s="20"/>
      <c r="D172" s="20"/>
      <c r="E172" s="20"/>
      <c r="F172" s="20" t="s">
        <v>70</v>
      </c>
      <c r="G172" s="20" t="s">
        <v>85</v>
      </c>
      <c r="H172" s="20">
        <v>210315</v>
      </c>
      <c r="I172" s="20"/>
      <c r="J172" s="20"/>
      <c r="K172" s="77"/>
      <c r="L172" s="77"/>
      <c r="M172" s="75"/>
      <c r="N172" s="77"/>
      <c r="O172" s="77"/>
      <c r="P172" s="77"/>
      <c r="Q172" s="77"/>
      <c r="R172" s="77"/>
      <c r="S172" s="77"/>
      <c r="T172" s="64"/>
      <c r="U172" s="78"/>
      <c r="V172" s="64"/>
      <c r="W172" s="79"/>
      <c r="X172" s="64"/>
      <c r="Y172" s="64"/>
      <c r="Z172" s="64"/>
      <c r="AA172" s="64"/>
      <c r="AB172" s="64"/>
      <c r="AC172" s="64"/>
      <c r="AD172" s="64"/>
      <c r="AE172" s="64"/>
    </row>
    <row r="173" spans="1:31">
      <c r="A173" s="75"/>
      <c r="B173" s="77"/>
      <c r="C173" s="77"/>
      <c r="D173" s="77"/>
      <c r="E173" s="77"/>
      <c r="F173" s="925" t="s">
        <v>73</v>
      </c>
      <c r="G173" s="20" t="s">
        <v>74</v>
      </c>
      <c r="H173" s="20">
        <v>31256</v>
      </c>
      <c r="I173" s="77"/>
      <c r="J173" s="77"/>
      <c r="K173" s="77"/>
      <c r="L173" s="77"/>
      <c r="M173" s="75"/>
      <c r="N173" s="77"/>
      <c r="O173" s="77"/>
      <c r="P173" s="77"/>
      <c r="Q173" s="77"/>
      <c r="R173" s="77"/>
      <c r="S173" s="77"/>
      <c r="T173" s="64"/>
      <c r="U173" s="78"/>
      <c r="V173" s="64"/>
      <c r="W173" s="79"/>
      <c r="X173" s="64"/>
      <c r="Y173" s="64"/>
      <c r="Z173" s="64"/>
      <c r="AA173" s="64"/>
      <c r="AB173" s="64"/>
      <c r="AC173" s="64"/>
      <c r="AD173" s="64"/>
      <c r="AE173" s="64"/>
    </row>
    <row r="174" spans="1:31">
      <c r="A174" s="75"/>
      <c r="B174" s="77"/>
      <c r="C174" s="77"/>
      <c r="D174" s="77"/>
      <c r="E174" s="77"/>
      <c r="F174" s="921"/>
      <c r="G174" s="20" t="s">
        <v>76</v>
      </c>
      <c r="H174" s="20">
        <v>18224</v>
      </c>
      <c r="I174" s="77"/>
      <c r="J174" s="77"/>
      <c r="K174" s="77"/>
      <c r="L174" s="77"/>
      <c r="M174" s="75"/>
      <c r="N174" s="77"/>
      <c r="O174" s="77"/>
      <c r="P174" s="77"/>
      <c r="Q174" s="77"/>
      <c r="R174" s="77"/>
      <c r="S174" s="77"/>
      <c r="T174" s="64"/>
      <c r="U174" s="78"/>
      <c r="V174" s="64"/>
      <c r="W174" s="79"/>
      <c r="X174" s="64"/>
      <c r="Y174" s="64"/>
      <c r="Z174" s="64"/>
      <c r="AA174" s="64"/>
      <c r="AB174" s="64"/>
      <c r="AC174" s="64"/>
      <c r="AD174" s="64"/>
      <c r="AE174" s="64"/>
    </row>
    <row r="175" spans="1:31">
      <c r="A175" s="75"/>
      <c r="B175" s="77"/>
      <c r="C175" s="77"/>
      <c r="D175" s="77"/>
      <c r="E175" s="77"/>
      <c r="F175" s="921"/>
      <c r="G175" s="20" t="s">
        <v>77</v>
      </c>
      <c r="H175" s="20">
        <v>160835</v>
      </c>
      <c r="I175" s="77"/>
      <c r="J175" s="77"/>
      <c r="K175" s="77"/>
      <c r="L175" s="77"/>
      <c r="M175" s="75"/>
      <c r="N175" s="77"/>
      <c r="O175" s="77"/>
      <c r="P175" s="77"/>
      <c r="Q175" s="77"/>
      <c r="R175" s="77"/>
      <c r="S175" s="77"/>
      <c r="T175" s="64"/>
      <c r="U175" s="78"/>
      <c r="V175" s="64"/>
      <c r="W175" s="79"/>
      <c r="X175" s="64"/>
      <c r="Y175" s="64"/>
      <c r="Z175" s="64"/>
      <c r="AA175" s="64"/>
      <c r="AB175" s="64"/>
      <c r="AC175" s="64"/>
      <c r="AD175" s="64"/>
      <c r="AE175" s="64"/>
    </row>
    <row r="176" spans="1:31" ht="15.75">
      <c r="A176" s="75"/>
      <c r="B176" s="77"/>
      <c r="C176" s="77"/>
      <c r="D176" s="77"/>
      <c r="E176" s="77"/>
      <c r="F176" s="922"/>
      <c r="G176" s="20" t="s">
        <v>80</v>
      </c>
      <c r="H176" s="28">
        <f>SUM(H173:H175)</f>
        <v>210315</v>
      </c>
      <c r="I176" s="77"/>
      <c r="J176" s="77"/>
      <c r="K176" s="77"/>
      <c r="L176" s="77"/>
      <c r="M176" s="75"/>
      <c r="N176" s="77"/>
      <c r="O176" s="77"/>
      <c r="P176" s="77"/>
      <c r="Q176" s="77"/>
      <c r="R176" s="77"/>
      <c r="S176" s="77"/>
      <c r="T176" s="64"/>
      <c r="U176" s="78"/>
      <c r="V176" s="64"/>
      <c r="W176" s="79"/>
      <c r="X176" s="64"/>
      <c r="Y176" s="64"/>
      <c r="Z176" s="64"/>
      <c r="AA176" s="64"/>
      <c r="AB176" s="64"/>
      <c r="AC176" s="64"/>
      <c r="AD176" s="64"/>
      <c r="AE176" s="64"/>
    </row>
  </sheetData>
  <mergeCells count="81">
    <mergeCell ref="Q156:Q159"/>
    <mergeCell ref="W3:W4"/>
    <mergeCell ref="W5:W9"/>
    <mergeCell ref="W15:W19"/>
    <mergeCell ref="W21:W29"/>
    <mergeCell ref="W31:W35"/>
    <mergeCell ref="W37:W42"/>
    <mergeCell ref="W44:W46"/>
    <mergeCell ref="W48:W50"/>
    <mergeCell ref="W52:W57"/>
    <mergeCell ref="W59:W63"/>
    <mergeCell ref="W65:W70"/>
    <mergeCell ref="W72:W77"/>
    <mergeCell ref="W79:W85"/>
    <mergeCell ref="M87:M93"/>
    <mergeCell ref="W114:W121"/>
    <mergeCell ref="W123:W130"/>
    <mergeCell ref="W132:W135"/>
    <mergeCell ref="W137:W151"/>
    <mergeCell ref="W95:W105"/>
    <mergeCell ref="W107:W112"/>
    <mergeCell ref="W87:W93"/>
    <mergeCell ref="M52:M57"/>
    <mergeCell ref="M59:M63"/>
    <mergeCell ref="M65:M70"/>
    <mergeCell ref="M72:M77"/>
    <mergeCell ref="M79:M85"/>
    <mergeCell ref="M21:M29"/>
    <mergeCell ref="M31:M35"/>
    <mergeCell ref="M37:M42"/>
    <mergeCell ref="M44:M46"/>
    <mergeCell ref="M48:M50"/>
    <mergeCell ref="A5:A9"/>
    <mergeCell ref="W11:W13"/>
    <mergeCell ref="M5:M9"/>
    <mergeCell ref="M11:M13"/>
    <mergeCell ref="M15:M19"/>
    <mergeCell ref="A11:A13"/>
    <mergeCell ref="A15:A19"/>
    <mergeCell ref="A3:A4"/>
    <mergeCell ref="B3:B4"/>
    <mergeCell ref="M3:M4"/>
    <mergeCell ref="N3:N4"/>
    <mergeCell ref="X3:X4"/>
    <mergeCell ref="W2:AC2"/>
    <mergeCell ref="AD2:AE2"/>
    <mergeCell ref="A1:J1"/>
    <mergeCell ref="M1:V1"/>
    <mergeCell ref="W1:AE1"/>
    <mergeCell ref="A2:H2"/>
    <mergeCell ref="I2:J2"/>
    <mergeCell ref="M2:S2"/>
    <mergeCell ref="T2:U2"/>
    <mergeCell ref="B155:B157"/>
    <mergeCell ref="B159:B161"/>
    <mergeCell ref="B164:B166"/>
    <mergeCell ref="F173:F176"/>
    <mergeCell ref="M95:M105"/>
    <mergeCell ref="M107:M112"/>
    <mergeCell ref="M114:M121"/>
    <mergeCell ref="M123:M130"/>
    <mergeCell ref="M132:M135"/>
    <mergeCell ref="M137:M151"/>
    <mergeCell ref="A153:L153"/>
    <mergeCell ref="A132:A135"/>
    <mergeCell ref="A137:A151"/>
    <mergeCell ref="A114:A121"/>
    <mergeCell ref="A123:A130"/>
    <mergeCell ref="A107:A112"/>
    <mergeCell ref="A52:A57"/>
    <mergeCell ref="A59:A63"/>
    <mergeCell ref="A65:A70"/>
    <mergeCell ref="A72:A77"/>
    <mergeCell ref="A79:A85"/>
    <mergeCell ref="A21:A29"/>
    <mergeCell ref="A31:A35"/>
    <mergeCell ref="A37:A42"/>
    <mergeCell ref="A87:A93"/>
    <mergeCell ref="A95:A105"/>
    <mergeCell ref="A44:A46"/>
    <mergeCell ref="A48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sqref="A1:F1"/>
    </sheetView>
  </sheetViews>
  <sheetFormatPr defaultColWidth="12.625" defaultRowHeight="15" customHeight="1"/>
  <cols>
    <col min="1" max="1" width="22.625" customWidth="1"/>
    <col min="2" max="2" width="13.625" customWidth="1"/>
    <col min="3" max="3" width="16.625" customWidth="1"/>
    <col min="4" max="4" width="13.25" hidden="1" customWidth="1"/>
    <col min="5" max="5" width="16.5" customWidth="1"/>
    <col min="6" max="6" width="13.375" customWidth="1"/>
    <col min="7" max="7" width="17.75" customWidth="1"/>
    <col min="8" max="8" width="13.5" customWidth="1"/>
    <col min="9" max="9" width="14.75" customWidth="1"/>
    <col min="10" max="10" width="13.375" hidden="1" customWidth="1"/>
    <col min="11" max="11" width="16" customWidth="1"/>
    <col min="12" max="12" width="15.375" customWidth="1"/>
    <col min="13" max="13" width="19.125" customWidth="1"/>
    <col min="14" max="14" width="13.625" customWidth="1"/>
    <col min="15" max="15" width="15.375" customWidth="1"/>
    <col min="16" max="16" width="13.625" hidden="1" customWidth="1"/>
    <col min="17" max="17" width="15.875" customWidth="1"/>
    <col min="18" max="18" width="14.25" customWidth="1"/>
    <col min="19" max="26" width="7.875" customWidth="1"/>
  </cols>
  <sheetData>
    <row r="1" spans="1:18" ht="21" customHeight="1">
      <c r="A1" s="962" t="s">
        <v>88</v>
      </c>
      <c r="B1" s="928"/>
      <c r="C1" s="928"/>
      <c r="D1" s="928"/>
      <c r="E1" s="928"/>
      <c r="F1" s="928"/>
      <c r="G1" s="963" t="str">
        <f>A1</f>
        <v xml:space="preserve">Capex review on OBG 2021-22 </v>
      </c>
      <c r="H1" s="957"/>
      <c r="I1" s="957"/>
      <c r="J1" s="957"/>
      <c r="K1" s="957"/>
      <c r="L1" s="957"/>
      <c r="M1" s="964" t="str">
        <f>G1</f>
        <v xml:space="preserve">Capex review on OBG 2021-22 </v>
      </c>
      <c r="N1" s="957"/>
      <c r="O1" s="957"/>
      <c r="P1" s="957"/>
      <c r="Q1" s="957"/>
      <c r="R1" s="957"/>
    </row>
    <row r="2" spans="1:18">
      <c r="A2" s="965" t="s">
        <v>1</v>
      </c>
      <c r="B2" s="966"/>
      <c r="C2" s="966"/>
      <c r="D2" s="966"/>
      <c r="E2" s="966"/>
      <c r="F2" s="967"/>
      <c r="G2" s="965" t="s">
        <v>89</v>
      </c>
      <c r="H2" s="966"/>
      <c r="I2" s="966"/>
      <c r="J2" s="966"/>
      <c r="K2" s="966"/>
      <c r="L2" s="967"/>
      <c r="M2" s="965" t="s">
        <v>90</v>
      </c>
      <c r="N2" s="966"/>
      <c r="O2" s="966"/>
      <c r="P2" s="966"/>
      <c r="Q2" s="966"/>
      <c r="R2" s="967"/>
    </row>
    <row r="3" spans="1:18" ht="15.75">
      <c r="A3" s="959" t="s">
        <v>91</v>
      </c>
      <c r="B3" s="960"/>
      <c r="C3" s="960"/>
      <c r="D3" s="960"/>
      <c r="E3" s="960"/>
      <c r="F3" s="961"/>
      <c r="G3" s="959" t="s">
        <v>91</v>
      </c>
      <c r="H3" s="960"/>
      <c r="I3" s="960"/>
      <c r="J3" s="960"/>
      <c r="K3" s="960"/>
      <c r="L3" s="961"/>
      <c r="M3" s="959" t="s">
        <v>91</v>
      </c>
      <c r="N3" s="960"/>
      <c r="O3" s="960"/>
      <c r="P3" s="960"/>
      <c r="Q3" s="960"/>
      <c r="R3" s="961"/>
    </row>
    <row r="4" spans="1:18" ht="47.25">
      <c r="A4" s="968" t="s">
        <v>6</v>
      </c>
      <c r="B4" s="968" t="s">
        <v>7</v>
      </c>
      <c r="C4" s="89" t="s">
        <v>92</v>
      </c>
      <c r="D4" s="89" t="s">
        <v>93</v>
      </c>
      <c r="E4" s="90" t="s">
        <v>94</v>
      </c>
      <c r="F4" s="969" t="s">
        <v>95</v>
      </c>
      <c r="G4" s="968" t="s">
        <v>6</v>
      </c>
      <c r="H4" s="968" t="s">
        <v>7</v>
      </c>
      <c r="I4" s="89" t="str">
        <f t="shared" ref="I4:K4" si="0">C4</f>
        <v xml:space="preserve">OBG 2021-22 </v>
      </c>
      <c r="J4" s="89" t="str">
        <f t="shared" si="0"/>
        <v>Spending Limit 2021-22 ( S L)</v>
      </c>
      <c r="K4" s="91" t="str">
        <f t="shared" si="0"/>
        <v>Actual Exp. up to April-2021</v>
      </c>
      <c r="L4" s="969" t="s">
        <v>96</v>
      </c>
      <c r="M4" s="968" t="s">
        <v>6</v>
      </c>
      <c r="N4" s="968" t="s">
        <v>7</v>
      </c>
      <c r="O4" s="89" t="str">
        <f t="shared" ref="O4:Q4" si="1">C4</f>
        <v xml:space="preserve">OBG 2021-22 </v>
      </c>
      <c r="P4" s="89" t="str">
        <f t="shared" si="1"/>
        <v>Spending Limit 2021-22 ( S L)</v>
      </c>
      <c r="Q4" s="91" t="str">
        <f t="shared" si="1"/>
        <v>Actual Exp. up to April-2021</v>
      </c>
      <c r="R4" s="969" t="s">
        <v>95</v>
      </c>
    </row>
    <row r="5" spans="1:18" ht="15.75">
      <c r="A5" s="949"/>
      <c r="B5" s="949"/>
      <c r="C5" s="92" t="s">
        <v>19</v>
      </c>
      <c r="D5" s="92" t="s">
        <v>19</v>
      </c>
      <c r="E5" s="93" t="s">
        <v>19</v>
      </c>
      <c r="F5" s="934"/>
      <c r="G5" s="949"/>
      <c r="H5" s="949"/>
      <c r="I5" s="94" t="s">
        <v>19</v>
      </c>
      <c r="J5" s="92" t="s">
        <v>19</v>
      </c>
      <c r="K5" s="93" t="s">
        <v>19</v>
      </c>
      <c r="L5" s="958"/>
      <c r="M5" s="949"/>
      <c r="N5" s="949"/>
      <c r="O5" s="92" t="s">
        <v>19</v>
      </c>
      <c r="P5" s="92" t="s">
        <v>19</v>
      </c>
      <c r="Q5" s="93" t="s">
        <v>19</v>
      </c>
      <c r="R5" s="958"/>
    </row>
    <row r="6" spans="1:18" ht="15.75" customHeight="1">
      <c r="A6" s="951" t="s">
        <v>97</v>
      </c>
      <c r="B6" s="95" t="s">
        <v>21</v>
      </c>
      <c r="C6" s="96">
        <v>10001</v>
      </c>
      <c r="D6" s="95">
        <f t="shared" ref="D6:D7" si="2">C6</f>
        <v>10001</v>
      </c>
      <c r="E6" s="97">
        <v>0</v>
      </c>
      <c r="F6" s="98">
        <f t="shared" ref="F6:F9" si="3">E6/C6</f>
        <v>0</v>
      </c>
      <c r="G6" s="951" t="s">
        <v>97</v>
      </c>
      <c r="H6" s="95" t="s">
        <v>21</v>
      </c>
      <c r="I6" s="96">
        <v>10001</v>
      </c>
      <c r="J6" s="95">
        <f t="shared" ref="J6:J7" si="4">I6</f>
        <v>10001</v>
      </c>
      <c r="K6" s="97">
        <v>0</v>
      </c>
      <c r="L6" s="98">
        <f t="shared" ref="L6:L9" si="5">K6/I6</f>
        <v>0</v>
      </c>
      <c r="M6" s="951" t="s">
        <v>97</v>
      </c>
      <c r="N6" s="99" t="s">
        <v>21</v>
      </c>
      <c r="O6" s="95">
        <f t="shared" ref="O6:Q6" si="6">C6-I6</f>
        <v>0</v>
      </c>
      <c r="P6" s="95">
        <f t="shared" si="6"/>
        <v>0</v>
      </c>
      <c r="Q6" s="100">
        <f t="shared" si="6"/>
        <v>0</v>
      </c>
      <c r="R6" s="101"/>
    </row>
    <row r="7" spans="1:18">
      <c r="A7" s="952"/>
      <c r="B7" s="102" t="s">
        <v>22</v>
      </c>
      <c r="C7" s="103">
        <v>0</v>
      </c>
      <c r="D7" s="102">
        <f t="shared" si="2"/>
        <v>0</v>
      </c>
      <c r="E7" s="104">
        <v>0</v>
      </c>
      <c r="F7" s="105" t="e">
        <f t="shared" si="3"/>
        <v>#DIV/0!</v>
      </c>
      <c r="G7" s="952"/>
      <c r="H7" s="102" t="s">
        <v>22</v>
      </c>
      <c r="I7" s="103">
        <v>0</v>
      </c>
      <c r="J7" s="102">
        <f t="shared" si="4"/>
        <v>0</v>
      </c>
      <c r="K7" s="104">
        <v>0</v>
      </c>
      <c r="L7" s="105" t="e">
        <f t="shared" si="5"/>
        <v>#DIV/0!</v>
      </c>
      <c r="M7" s="952"/>
      <c r="N7" s="106" t="s">
        <v>22</v>
      </c>
      <c r="O7" s="102">
        <f t="shared" ref="O7:Q7" si="7">C7-I7</f>
        <v>0</v>
      </c>
      <c r="P7" s="102">
        <f t="shared" si="7"/>
        <v>0</v>
      </c>
      <c r="Q7" s="107">
        <f t="shared" si="7"/>
        <v>0</v>
      </c>
      <c r="R7" s="101"/>
    </row>
    <row r="8" spans="1:18">
      <c r="A8" s="952"/>
      <c r="B8" s="102" t="s">
        <v>40</v>
      </c>
      <c r="C8" s="108">
        <v>2</v>
      </c>
      <c r="D8" s="109"/>
      <c r="E8" s="110">
        <v>424</v>
      </c>
      <c r="F8" s="105">
        <f t="shared" si="3"/>
        <v>212</v>
      </c>
      <c r="G8" s="952"/>
      <c r="H8" s="102" t="s">
        <v>40</v>
      </c>
      <c r="I8" s="108">
        <v>2</v>
      </c>
      <c r="J8" s="109"/>
      <c r="K8" s="110">
        <v>424</v>
      </c>
      <c r="L8" s="105">
        <f t="shared" si="5"/>
        <v>212</v>
      </c>
      <c r="M8" s="952"/>
      <c r="N8" s="111"/>
      <c r="O8" s="109"/>
      <c r="P8" s="109"/>
      <c r="Q8" s="112"/>
      <c r="R8" s="101"/>
    </row>
    <row r="9" spans="1:18" ht="15.75">
      <c r="A9" s="953"/>
      <c r="B9" s="113" t="s">
        <v>25</v>
      </c>
      <c r="C9" s="114">
        <f t="shared" ref="C9:E9" si="8">SUM(C6:C8)</f>
        <v>10003</v>
      </c>
      <c r="D9" s="115">
        <f t="shared" si="8"/>
        <v>10001</v>
      </c>
      <c r="E9" s="115">
        <f t="shared" si="8"/>
        <v>424</v>
      </c>
      <c r="F9" s="116">
        <f t="shared" si="3"/>
        <v>4.2387283814855542E-2</v>
      </c>
      <c r="G9" s="953"/>
      <c r="H9" s="113" t="s">
        <v>25</v>
      </c>
      <c r="I9" s="114">
        <f t="shared" ref="I9:K9" si="9">SUM(I6:I8)</f>
        <v>10003</v>
      </c>
      <c r="J9" s="115">
        <f t="shared" si="9"/>
        <v>10001</v>
      </c>
      <c r="K9" s="115">
        <f t="shared" si="9"/>
        <v>424</v>
      </c>
      <c r="L9" s="116">
        <f t="shared" si="5"/>
        <v>4.2387283814855542E-2</v>
      </c>
      <c r="M9" s="953"/>
      <c r="N9" s="117" t="s">
        <v>25</v>
      </c>
      <c r="O9" s="118">
        <f t="shared" ref="O9:Q9" si="10">SUM(O6:O7)</f>
        <v>0</v>
      </c>
      <c r="P9" s="118">
        <f t="shared" si="10"/>
        <v>0</v>
      </c>
      <c r="Q9" s="118">
        <f t="shared" si="10"/>
        <v>0</v>
      </c>
      <c r="R9" s="101"/>
    </row>
    <row r="10" spans="1:18" ht="15.75">
      <c r="A10" s="954"/>
      <c r="B10" s="928"/>
      <c r="C10" s="928"/>
      <c r="D10" s="928"/>
      <c r="E10" s="928"/>
      <c r="F10" s="955"/>
      <c r="G10" s="954"/>
      <c r="H10" s="928"/>
      <c r="I10" s="928"/>
      <c r="J10" s="928"/>
      <c r="K10" s="928"/>
      <c r="L10" s="955"/>
      <c r="M10" s="954"/>
      <c r="N10" s="928"/>
      <c r="O10" s="928"/>
      <c r="P10" s="928"/>
      <c r="Q10" s="928"/>
      <c r="R10" s="955"/>
    </row>
    <row r="11" spans="1:18" ht="15.75" customHeight="1">
      <c r="A11" s="951" t="s">
        <v>26</v>
      </c>
      <c r="B11" s="119" t="s">
        <v>21</v>
      </c>
      <c r="C11" s="119">
        <v>260001</v>
      </c>
      <c r="D11" s="119">
        <f>C11</f>
        <v>260001</v>
      </c>
      <c r="E11" s="120">
        <v>8250</v>
      </c>
      <c r="F11" s="98">
        <f t="shared" ref="F11:F12" si="11">E11/C11</f>
        <v>3.1730647189818502E-2</v>
      </c>
      <c r="G11" s="951" t="s">
        <v>26</v>
      </c>
      <c r="H11" s="119" t="s">
        <v>21</v>
      </c>
      <c r="I11" s="119">
        <v>260001</v>
      </c>
      <c r="J11" s="119">
        <f>I11</f>
        <v>260001</v>
      </c>
      <c r="K11" s="120">
        <v>8250</v>
      </c>
      <c r="L11" s="98">
        <f t="shared" ref="L11:L12" si="12">K11/I11</f>
        <v>3.1730647189818502E-2</v>
      </c>
      <c r="M11" s="951" t="s">
        <v>26</v>
      </c>
      <c r="N11" s="119" t="s">
        <v>21</v>
      </c>
      <c r="O11" s="102">
        <f t="shared" ref="O11:Q11" si="13">C11-I11</f>
        <v>0</v>
      </c>
      <c r="P11" s="102">
        <f t="shared" si="13"/>
        <v>0</v>
      </c>
      <c r="Q11" s="107">
        <f t="shared" si="13"/>
        <v>0</v>
      </c>
      <c r="R11" s="105"/>
    </row>
    <row r="12" spans="1:18" ht="15.75">
      <c r="A12" s="953"/>
      <c r="B12" s="118" t="s">
        <v>25</v>
      </c>
      <c r="C12" s="118">
        <f t="shared" ref="C12:E12" si="14">SUM(C11)</f>
        <v>260001</v>
      </c>
      <c r="D12" s="118">
        <f t="shared" si="14"/>
        <v>260001</v>
      </c>
      <c r="E12" s="121">
        <f t="shared" si="14"/>
        <v>8250</v>
      </c>
      <c r="F12" s="116">
        <f t="shared" si="11"/>
        <v>3.1730647189818502E-2</v>
      </c>
      <c r="G12" s="953"/>
      <c r="H12" s="118" t="s">
        <v>25</v>
      </c>
      <c r="I12" s="118">
        <f t="shared" ref="I12:K12" si="15">SUM(I11)</f>
        <v>260001</v>
      </c>
      <c r="J12" s="118">
        <f t="shared" si="15"/>
        <v>260001</v>
      </c>
      <c r="K12" s="121">
        <f t="shared" si="15"/>
        <v>8250</v>
      </c>
      <c r="L12" s="116">
        <f t="shared" si="12"/>
        <v>3.1730647189818502E-2</v>
      </c>
      <c r="M12" s="953"/>
      <c r="N12" s="118" t="s">
        <v>25</v>
      </c>
      <c r="O12" s="118">
        <f t="shared" ref="O12:Q12" si="16">SUM(O11)</f>
        <v>0</v>
      </c>
      <c r="P12" s="118">
        <f t="shared" si="16"/>
        <v>0</v>
      </c>
      <c r="Q12" s="118">
        <f t="shared" si="16"/>
        <v>0</v>
      </c>
      <c r="R12" s="105"/>
    </row>
    <row r="13" spans="1:18" ht="15.75">
      <c r="A13" s="954"/>
      <c r="B13" s="928"/>
      <c r="C13" s="928"/>
      <c r="D13" s="928"/>
      <c r="E13" s="928"/>
      <c r="F13" s="955"/>
      <c r="G13" s="954"/>
      <c r="H13" s="928"/>
      <c r="I13" s="928"/>
      <c r="J13" s="928"/>
      <c r="K13" s="928"/>
      <c r="L13" s="955"/>
      <c r="M13" s="954"/>
      <c r="N13" s="928"/>
      <c r="O13" s="928"/>
      <c r="P13" s="928"/>
      <c r="Q13" s="928"/>
      <c r="R13" s="955"/>
    </row>
    <row r="14" spans="1:18">
      <c r="A14" s="948" t="s">
        <v>27</v>
      </c>
      <c r="B14" s="95" t="s">
        <v>21</v>
      </c>
      <c r="C14" s="99">
        <v>6780400</v>
      </c>
      <c r="D14" s="99">
        <f t="shared" ref="D14:D15" si="17">C14</f>
        <v>6780400</v>
      </c>
      <c r="E14" s="97">
        <v>530</v>
      </c>
      <c r="F14" s="98">
        <f t="shared" ref="F14:F16" si="18">E14/C14</f>
        <v>7.8166479853695946E-5</v>
      </c>
      <c r="G14" s="948" t="s">
        <v>27</v>
      </c>
      <c r="H14" s="95" t="s">
        <v>21</v>
      </c>
      <c r="I14" s="99">
        <f>2700400+4000000</f>
        <v>6700400</v>
      </c>
      <c r="J14" s="99">
        <f t="shared" ref="J14:J15" si="19">I14</f>
        <v>6700400</v>
      </c>
      <c r="K14" s="97">
        <v>530</v>
      </c>
      <c r="L14" s="98">
        <f t="shared" ref="L14:L16" si="20">K14/I14</f>
        <v>7.9099755238493227E-5</v>
      </c>
      <c r="M14" s="948" t="s">
        <v>27</v>
      </c>
      <c r="N14" s="95" t="s">
        <v>21</v>
      </c>
      <c r="O14" s="102">
        <f t="shared" ref="O14:Q14" si="21">C14-I14</f>
        <v>80000</v>
      </c>
      <c r="P14" s="102">
        <f t="shared" si="21"/>
        <v>80000</v>
      </c>
      <c r="Q14" s="107">
        <f t="shared" si="21"/>
        <v>0</v>
      </c>
      <c r="R14" s="105">
        <f t="shared" ref="R14:R15" si="22">Q14/O14</f>
        <v>0</v>
      </c>
    </row>
    <row r="15" spans="1:18">
      <c r="A15" s="949"/>
      <c r="B15" s="102" t="s">
        <v>29</v>
      </c>
      <c r="C15" s="106">
        <v>12020015</v>
      </c>
      <c r="D15" s="106">
        <f t="shared" si="17"/>
        <v>12020015</v>
      </c>
      <c r="E15" s="104">
        <v>154767</v>
      </c>
      <c r="F15" s="105">
        <f t="shared" si="18"/>
        <v>1.2875774281479683E-2</v>
      </c>
      <c r="G15" s="949"/>
      <c r="H15" s="102" t="s">
        <v>29</v>
      </c>
      <c r="I15" s="106">
        <f>6920014+5000001</f>
        <v>11920015</v>
      </c>
      <c r="J15" s="106">
        <f t="shared" si="19"/>
        <v>11920015</v>
      </c>
      <c r="K15" s="104">
        <v>154672</v>
      </c>
      <c r="L15" s="105">
        <f t="shared" si="20"/>
        <v>1.2975822597538678E-2</v>
      </c>
      <c r="M15" s="949"/>
      <c r="N15" s="102" t="s">
        <v>29</v>
      </c>
      <c r="O15" s="102">
        <f t="shared" ref="O15:Q15" si="23">C15-I15</f>
        <v>100000</v>
      </c>
      <c r="P15" s="102">
        <f t="shared" si="23"/>
        <v>100000</v>
      </c>
      <c r="Q15" s="107">
        <f t="shared" si="23"/>
        <v>95</v>
      </c>
      <c r="R15" s="105">
        <f t="shared" si="22"/>
        <v>9.5E-4</v>
      </c>
    </row>
    <row r="16" spans="1:18" ht="15.75">
      <c r="A16" s="950"/>
      <c r="B16" s="118" t="s">
        <v>25</v>
      </c>
      <c r="C16" s="115">
        <f t="shared" ref="C16:E16" si="24">SUM(C14:C15)</f>
        <v>18800415</v>
      </c>
      <c r="D16" s="115">
        <f t="shared" si="24"/>
        <v>18800415</v>
      </c>
      <c r="E16" s="121">
        <f t="shared" si="24"/>
        <v>155297</v>
      </c>
      <c r="F16" s="116">
        <f t="shared" si="18"/>
        <v>8.2602963817554019E-3</v>
      </c>
      <c r="G16" s="950"/>
      <c r="H16" s="118" t="s">
        <v>25</v>
      </c>
      <c r="I16" s="115">
        <f t="shared" ref="I16:K16" si="25">SUM(I14:I15)</f>
        <v>18620415</v>
      </c>
      <c r="J16" s="115">
        <f t="shared" si="25"/>
        <v>18620415</v>
      </c>
      <c r="K16" s="121">
        <f t="shared" si="25"/>
        <v>155202</v>
      </c>
      <c r="L16" s="116">
        <f t="shared" si="20"/>
        <v>8.3350451641383931E-3</v>
      </c>
      <c r="M16" s="950"/>
      <c r="N16" s="118" t="s">
        <v>25</v>
      </c>
      <c r="O16" s="115">
        <f t="shared" ref="O16:Q16" si="26">SUM(O14:O15)</f>
        <v>180000</v>
      </c>
      <c r="P16" s="115">
        <f t="shared" si="26"/>
        <v>180000</v>
      </c>
      <c r="Q16" s="115">
        <f t="shared" si="26"/>
        <v>95</v>
      </c>
      <c r="R16" s="105">
        <f>Q16/P16</f>
        <v>5.2777777777777773E-4</v>
      </c>
    </row>
    <row r="17" spans="1:18" ht="15.75">
      <c r="A17" s="954"/>
      <c r="B17" s="928"/>
      <c r="C17" s="928"/>
      <c r="D17" s="928"/>
      <c r="E17" s="928"/>
      <c r="F17" s="955"/>
      <c r="G17" s="954"/>
      <c r="H17" s="928"/>
      <c r="I17" s="928"/>
      <c r="J17" s="928"/>
      <c r="K17" s="928"/>
      <c r="L17" s="955"/>
      <c r="M17" s="954"/>
      <c r="N17" s="928"/>
      <c r="O17" s="928"/>
      <c r="P17" s="928"/>
      <c r="Q17" s="928"/>
      <c r="R17" s="955"/>
    </row>
    <row r="18" spans="1:18" ht="15.75" customHeight="1">
      <c r="A18" s="948" t="s">
        <v>30</v>
      </c>
      <c r="B18" s="95" t="s">
        <v>21</v>
      </c>
      <c r="C18" s="99">
        <v>150007</v>
      </c>
      <c r="D18" s="99">
        <f>C18</f>
        <v>150007</v>
      </c>
      <c r="E18" s="97">
        <v>5832</v>
      </c>
      <c r="F18" s="98">
        <f t="shared" ref="F18:F23" si="27">E18/C18</f>
        <v>3.8878185684668047E-2</v>
      </c>
      <c r="G18" s="948" t="s">
        <v>30</v>
      </c>
      <c r="H18" s="95" t="s">
        <v>21</v>
      </c>
      <c r="I18" s="99">
        <v>150007</v>
      </c>
      <c r="J18" s="99">
        <f>I18</f>
        <v>150007</v>
      </c>
      <c r="K18" s="97">
        <v>4000</v>
      </c>
      <c r="L18" s="98">
        <f t="shared" ref="L18:L23" si="28">K18/I18</f>
        <v>2.6665422280293585E-2</v>
      </c>
      <c r="M18" s="948" t="s">
        <v>30</v>
      </c>
      <c r="N18" s="95" t="s">
        <v>21</v>
      </c>
      <c r="O18" s="102">
        <f t="shared" ref="O18:Q18" si="29">C18-I18</f>
        <v>0</v>
      </c>
      <c r="P18" s="102">
        <f t="shared" si="29"/>
        <v>0</v>
      </c>
      <c r="Q18" s="107">
        <f t="shared" si="29"/>
        <v>1832</v>
      </c>
      <c r="R18" s="105" t="e">
        <f t="shared" ref="R18:R23" si="30">Q18/O18</f>
        <v>#DIV/0!</v>
      </c>
    </row>
    <row r="19" spans="1:18">
      <c r="A19" s="949"/>
      <c r="B19" s="102" t="s">
        <v>28</v>
      </c>
      <c r="C19" s="106">
        <v>0</v>
      </c>
      <c r="D19" s="106">
        <f t="shared" ref="D19:D20" si="31">SUM(ROUND(C19*50%,0))</f>
        <v>0</v>
      </c>
      <c r="E19" s="104">
        <v>0</v>
      </c>
      <c r="F19" s="105" t="e">
        <f t="shared" si="27"/>
        <v>#DIV/0!</v>
      </c>
      <c r="G19" s="949"/>
      <c r="H19" s="102" t="s">
        <v>28</v>
      </c>
      <c r="I19" s="106">
        <v>0</v>
      </c>
      <c r="J19" s="106">
        <f t="shared" ref="J19:J20" si="32">SUM(ROUND(I19*50%,0))</f>
        <v>0</v>
      </c>
      <c r="K19" s="104">
        <v>0</v>
      </c>
      <c r="L19" s="105" t="e">
        <f t="shared" si="28"/>
        <v>#DIV/0!</v>
      </c>
      <c r="M19" s="949"/>
      <c r="N19" s="102" t="s">
        <v>28</v>
      </c>
      <c r="O19" s="102">
        <f t="shared" ref="O19:Q19" si="33">C19-I19</f>
        <v>0</v>
      </c>
      <c r="P19" s="102">
        <f t="shared" si="33"/>
        <v>0</v>
      </c>
      <c r="Q19" s="107">
        <f t="shared" si="33"/>
        <v>0</v>
      </c>
      <c r="R19" s="105" t="e">
        <f t="shared" si="30"/>
        <v>#DIV/0!</v>
      </c>
    </row>
    <row r="20" spans="1:18">
      <c r="A20" s="949"/>
      <c r="B20" s="102" t="s">
        <v>31</v>
      </c>
      <c r="C20" s="106">
        <v>100039</v>
      </c>
      <c r="D20" s="106">
        <f t="shared" si="31"/>
        <v>50020</v>
      </c>
      <c r="E20" s="104">
        <v>4382</v>
      </c>
      <c r="F20" s="105">
        <f t="shared" si="27"/>
        <v>4.3802916862423658E-2</v>
      </c>
      <c r="G20" s="949"/>
      <c r="H20" s="102" t="s">
        <v>31</v>
      </c>
      <c r="I20" s="106">
        <v>50026</v>
      </c>
      <c r="J20" s="106">
        <f t="shared" si="32"/>
        <v>25013</v>
      </c>
      <c r="K20" s="104">
        <v>4382</v>
      </c>
      <c r="L20" s="105">
        <f t="shared" si="28"/>
        <v>8.7594450885539521E-2</v>
      </c>
      <c r="M20" s="949"/>
      <c r="N20" s="102" t="s">
        <v>31</v>
      </c>
      <c r="O20" s="102">
        <f t="shared" ref="O20:Q20" si="34">C20-I20</f>
        <v>50013</v>
      </c>
      <c r="P20" s="102">
        <f t="shared" si="34"/>
        <v>25007</v>
      </c>
      <c r="Q20" s="107">
        <f t="shared" si="34"/>
        <v>0</v>
      </c>
      <c r="R20" s="105">
        <f t="shared" si="30"/>
        <v>0</v>
      </c>
    </row>
    <row r="21" spans="1:18" ht="15.75" customHeight="1">
      <c r="A21" s="949"/>
      <c r="B21" s="122" t="s">
        <v>32</v>
      </c>
      <c r="C21" s="123">
        <v>2</v>
      </c>
      <c r="D21" s="106">
        <f>SUM(ROUND(C21*75%,0))</f>
        <v>2</v>
      </c>
      <c r="E21" s="104">
        <v>464</v>
      </c>
      <c r="F21" s="105">
        <f t="shared" si="27"/>
        <v>232</v>
      </c>
      <c r="G21" s="949"/>
      <c r="H21" s="122" t="s">
        <v>32</v>
      </c>
      <c r="I21" s="123">
        <v>2</v>
      </c>
      <c r="J21" s="106">
        <f>SUM(ROUND(I21*75%,0))</f>
        <v>2</v>
      </c>
      <c r="K21" s="104">
        <v>0</v>
      </c>
      <c r="L21" s="105">
        <f t="shared" si="28"/>
        <v>0</v>
      </c>
      <c r="M21" s="949"/>
      <c r="N21" s="122" t="s">
        <v>32</v>
      </c>
      <c r="O21" s="102">
        <f t="shared" ref="O21:Q21" si="35">C21-I21</f>
        <v>0</v>
      </c>
      <c r="P21" s="102">
        <f t="shared" si="35"/>
        <v>0</v>
      </c>
      <c r="Q21" s="107">
        <f t="shared" si="35"/>
        <v>464</v>
      </c>
      <c r="R21" s="105" t="e">
        <f t="shared" si="30"/>
        <v>#DIV/0!</v>
      </c>
    </row>
    <row r="22" spans="1:18" ht="15.75" customHeight="1">
      <c r="A22" s="949"/>
      <c r="B22" s="102" t="s">
        <v>29</v>
      </c>
      <c r="C22" s="123">
        <v>13416785</v>
      </c>
      <c r="D22" s="123">
        <f>C22</f>
        <v>13416785</v>
      </c>
      <c r="E22" s="104">
        <v>11381</v>
      </c>
      <c r="F22" s="105">
        <f t="shared" si="27"/>
        <v>8.482658103263934E-4</v>
      </c>
      <c r="G22" s="949"/>
      <c r="H22" s="102" t="s">
        <v>29</v>
      </c>
      <c r="I22" s="123">
        <v>0</v>
      </c>
      <c r="J22" s="123">
        <f>I22</f>
        <v>0</v>
      </c>
      <c r="K22" s="104">
        <v>0</v>
      </c>
      <c r="L22" s="105" t="e">
        <f t="shared" si="28"/>
        <v>#DIV/0!</v>
      </c>
      <c r="M22" s="949"/>
      <c r="N22" s="102" t="s">
        <v>29</v>
      </c>
      <c r="O22" s="102">
        <f t="shared" ref="O22:Q22" si="36">C22-I22</f>
        <v>13416785</v>
      </c>
      <c r="P22" s="102">
        <f t="shared" si="36"/>
        <v>13416785</v>
      </c>
      <c r="Q22" s="107">
        <f t="shared" si="36"/>
        <v>11381</v>
      </c>
      <c r="R22" s="105">
        <f t="shared" si="30"/>
        <v>8.482658103263934E-4</v>
      </c>
    </row>
    <row r="23" spans="1:18" ht="15.75" customHeight="1">
      <c r="A23" s="950"/>
      <c r="B23" s="118" t="s">
        <v>25</v>
      </c>
      <c r="C23" s="115">
        <f t="shared" ref="C23:E23" si="37">SUM(C18:C22)</f>
        <v>13666833</v>
      </c>
      <c r="D23" s="115">
        <f t="shared" si="37"/>
        <v>13616814</v>
      </c>
      <c r="E23" s="121">
        <f t="shared" si="37"/>
        <v>22059</v>
      </c>
      <c r="F23" s="116">
        <f t="shared" si="27"/>
        <v>1.6140535265192749E-3</v>
      </c>
      <c r="G23" s="950"/>
      <c r="H23" s="118" t="s">
        <v>25</v>
      </c>
      <c r="I23" s="115">
        <f t="shared" ref="I23:K23" si="38">SUM(I18:I22)</f>
        <v>200035</v>
      </c>
      <c r="J23" s="115">
        <f t="shared" si="38"/>
        <v>175022</v>
      </c>
      <c r="K23" s="121">
        <f t="shared" si="38"/>
        <v>8382</v>
      </c>
      <c r="L23" s="116">
        <f t="shared" si="28"/>
        <v>4.1902667033269177E-2</v>
      </c>
      <c r="M23" s="950"/>
      <c r="N23" s="118" t="s">
        <v>25</v>
      </c>
      <c r="O23" s="115">
        <f t="shared" ref="O23:Q23" si="39">SUM(O18:O22)</f>
        <v>13466798</v>
      </c>
      <c r="P23" s="115">
        <f t="shared" si="39"/>
        <v>13441792</v>
      </c>
      <c r="Q23" s="115">
        <f t="shared" si="39"/>
        <v>13677</v>
      </c>
      <c r="R23" s="105">
        <f t="shared" si="30"/>
        <v>1.0156089071804598E-3</v>
      </c>
    </row>
    <row r="24" spans="1:18" ht="15.75" customHeight="1">
      <c r="A24" s="954"/>
      <c r="B24" s="928"/>
      <c r="C24" s="928"/>
      <c r="D24" s="928"/>
      <c r="E24" s="928"/>
      <c r="F24" s="955"/>
      <c r="G24" s="954"/>
      <c r="H24" s="928"/>
      <c r="I24" s="928"/>
      <c r="J24" s="928"/>
      <c r="K24" s="928"/>
      <c r="L24" s="955"/>
      <c r="M24" s="954"/>
      <c r="N24" s="928"/>
      <c r="O24" s="928"/>
      <c r="P24" s="928"/>
      <c r="Q24" s="928"/>
      <c r="R24" s="955"/>
    </row>
    <row r="25" spans="1:18" ht="15.75" customHeight="1">
      <c r="A25" s="948" t="s">
        <v>34</v>
      </c>
      <c r="B25" s="95" t="s">
        <v>21</v>
      </c>
      <c r="C25" s="99">
        <v>5000</v>
      </c>
      <c r="D25" s="99">
        <f>C25</f>
        <v>5000</v>
      </c>
      <c r="E25" s="97">
        <v>0</v>
      </c>
      <c r="F25" s="98">
        <f t="shared" ref="F25:F28" si="40">E25/C25</f>
        <v>0</v>
      </c>
      <c r="G25" s="948" t="s">
        <v>34</v>
      </c>
      <c r="H25" s="95" t="s">
        <v>21</v>
      </c>
      <c r="I25" s="99">
        <v>0</v>
      </c>
      <c r="J25" s="99">
        <f>I25</f>
        <v>0</v>
      </c>
      <c r="K25" s="97">
        <v>0</v>
      </c>
      <c r="L25" s="98" t="e">
        <f t="shared" ref="L25:L28" si="41">K25/I25</f>
        <v>#DIV/0!</v>
      </c>
      <c r="M25" s="948" t="s">
        <v>34</v>
      </c>
      <c r="N25" s="95" t="s">
        <v>21</v>
      </c>
      <c r="O25" s="102">
        <f t="shared" ref="O25:Q25" si="42">C25-I25</f>
        <v>5000</v>
      </c>
      <c r="P25" s="102">
        <f t="shared" si="42"/>
        <v>5000</v>
      </c>
      <c r="Q25" s="107">
        <f t="shared" si="42"/>
        <v>0</v>
      </c>
      <c r="R25" s="105">
        <f t="shared" ref="R25:R28" si="43">Q25/O25</f>
        <v>0</v>
      </c>
    </row>
    <row r="26" spans="1:18" ht="15.75" customHeight="1">
      <c r="A26" s="949"/>
      <c r="B26" s="102" t="s">
        <v>28</v>
      </c>
      <c r="C26" s="106">
        <v>30000</v>
      </c>
      <c r="D26" s="106">
        <f t="shared" ref="D26:D27" si="44">SUM(ROUND(C26*50%,0))</f>
        <v>15000</v>
      </c>
      <c r="E26" s="104">
        <v>0</v>
      </c>
      <c r="F26" s="105">
        <f t="shared" si="40"/>
        <v>0</v>
      </c>
      <c r="G26" s="949"/>
      <c r="H26" s="102" t="s">
        <v>28</v>
      </c>
      <c r="I26" s="106">
        <v>0</v>
      </c>
      <c r="J26" s="106">
        <f t="shared" ref="J26:J27" si="45">SUM(ROUND(I26*50%,0))</f>
        <v>0</v>
      </c>
      <c r="K26" s="104">
        <v>0</v>
      </c>
      <c r="L26" s="105" t="e">
        <f t="shared" si="41"/>
        <v>#DIV/0!</v>
      </c>
      <c r="M26" s="949"/>
      <c r="N26" s="102" t="s">
        <v>28</v>
      </c>
      <c r="O26" s="102">
        <f t="shared" ref="O26:Q26" si="46">C26-I26</f>
        <v>30000</v>
      </c>
      <c r="P26" s="102">
        <f t="shared" si="46"/>
        <v>15000</v>
      </c>
      <c r="Q26" s="107">
        <f t="shared" si="46"/>
        <v>0</v>
      </c>
      <c r="R26" s="105">
        <f t="shared" si="43"/>
        <v>0</v>
      </c>
    </row>
    <row r="27" spans="1:18" ht="15.75" customHeight="1">
      <c r="A27" s="949"/>
      <c r="B27" s="102" t="s">
        <v>31</v>
      </c>
      <c r="C27" s="106">
        <v>104</v>
      </c>
      <c r="D27" s="106">
        <f t="shared" si="44"/>
        <v>52</v>
      </c>
      <c r="E27" s="104">
        <v>0</v>
      </c>
      <c r="F27" s="105">
        <f t="shared" si="40"/>
        <v>0</v>
      </c>
      <c r="G27" s="949"/>
      <c r="H27" s="102" t="s">
        <v>31</v>
      </c>
      <c r="I27" s="106">
        <v>0</v>
      </c>
      <c r="J27" s="106">
        <f t="shared" si="45"/>
        <v>0</v>
      </c>
      <c r="K27" s="104">
        <v>0</v>
      </c>
      <c r="L27" s="105" t="e">
        <f t="shared" si="41"/>
        <v>#DIV/0!</v>
      </c>
      <c r="M27" s="949"/>
      <c r="N27" s="102" t="s">
        <v>31</v>
      </c>
      <c r="O27" s="102">
        <f t="shared" ref="O27:Q27" si="47">C27-I27</f>
        <v>104</v>
      </c>
      <c r="P27" s="102">
        <f t="shared" si="47"/>
        <v>52</v>
      </c>
      <c r="Q27" s="107">
        <f t="shared" si="47"/>
        <v>0</v>
      </c>
      <c r="R27" s="105">
        <f t="shared" si="43"/>
        <v>0</v>
      </c>
    </row>
    <row r="28" spans="1:18" ht="15.75" customHeight="1">
      <c r="A28" s="950"/>
      <c r="B28" s="118" t="s">
        <v>25</v>
      </c>
      <c r="C28" s="115">
        <f t="shared" ref="C28:E28" si="48">SUM(C25:C27)</f>
        <v>35104</v>
      </c>
      <c r="D28" s="115">
        <f t="shared" si="48"/>
        <v>20052</v>
      </c>
      <c r="E28" s="121">
        <f t="shared" si="48"/>
        <v>0</v>
      </c>
      <c r="F28" s="116">
        <f t="shared" si="40"/>
        <v>0</v>
      </c>
      <c r="G28" s="950"/>
      <c r="H28" s="118" t="s">
        <v>25</v>
      </c>
      <c r="I28" s="115">
        <f t="shared" ref="I28:K28" si="49">SUM(I25:I27)</f>
        <v>0</v>
      </c>
      <c r="J28" s="115">
        <f t="shared" si="49"/>
        <v>0</v>
      </c>
      <c r="K28" s="121">
        <f t="shared" si="49"/>
        <v>0</v>
      </c>
      <c r="L28" s="116" t="e">
        <f t="shared" si="41"/>
        <v>#DIV/0!</v>
      </c>
      <c r="M28" s="950"/>
      <c r="N28" s="118" t="s">
        <v>25</v>
      </c>
      <c r="O28" s="115">
        <f t="shared" ref="O28:Q28" si="50">SUM(O25:O27)</f>
        <v>35104</v>
      </c>
      <c r="P28" s="115">
        <f t="shared" si="50"/>
        <v>20052</v>
      </c>
      <c r="Q28" s="115">
        <f t="shared" si="50"/>
        <v>0</v>
      </c>
      <c r="R28" s="105">
        <f t="shared" si="43"/>
        <v>0</v>
      </c>
    </row>
    <row r="29" spans="1:18" ht="15.75" customHeight="1">
      <c r="A29" s="954"/>
      <c r="B29" s="928"/>
      <c r="C29" s="928"/>
      <c r="D29" s="928"/>
      <c r="E29" s="928"/>
      <c r="F29" s="955"/>
      <c r="G29" s="954"/>
      <c r="H29" s="928"/>
      <c r="I29" s="928"/>
      <c r="J29" s="928"/>
      <c r="K29" s="928"/>
      <c r="L29" s="955"/>
      <c r="M29" s="954"/>
      <c r="N29" s="928"/>
      <c r="O29" s="928"/>
      <c r="P29" s="928"/>
      <c r="Q29" s="928"/>
      <c r="R29" s="955"/>
    </row>
    <row r="30" spans="1:18" ht="15.75" customHeight="1">
      <c r="A30" s="948" t="s">
        <v>98</v>
      </c>
      <c r="B30" s="95" t="s">
        <v>21</v>
      </c>
      <c r="C30" s="99">
        <v>17001</v>
      </c>
      <c r="D30" s="99">
        <f>C30</f>
        <v>17001</v>
      </c>
      <c r="E30" s="97">
        <v>3969</v>
      </c>
      <c r="F30" s="98">
        <f t="shared" ref="F30:F34" si="51">E30/C30</f>
        <v>0.23345685547908945</v>
      </c>
      <c r="G30" s="948" t="s">
        <v>98</v>
      </c>
      <c r="H30" s="95" t="s">
        <v>21</v>
      </c>
      <c r="I30" s="99">
        <v>0</v>
      </c>
      <c r="J30" s="99">
        <f>I30</f>
        <v>0</v>
      </c>
      <c r="K30" s="97">
        <v>0</v>
      </c>
      <c r="L30" s="98" t="e">
        <f t="shared" ref="L30:L34" si="52">K30/I30</f>
        <v>#DIV/0!</v>
      </c>
      <c r="M30" s="948" t="s">
        <v>98</v>
      </c>
      <c r="N30" s="95" t="s">
        <v>21</v>
      </c>
      <c r="O30" s="102">
        <f t="shared" ref="O30:Q30" si="53">C30-I30</f>
        <v>17001</v>
      </c>
      <c r="P30" s="102">
        <f t="shared" si="53"/>
        <v>17001</v>
      </c>
      <c r="Q30" s="107">
        <f t="shared" si="53"/>
        <v>3969</v>
      </c>
      <c r="R30" s="105">
        <f t="shared" ref="R30:R34" si="54">Q30/O30</f>
        <v>0.23345685547908945</v>
      </c>
    </row>
    <row r="31" spans="1:18" ht="15.75" customHeight="1">
      <c r="A31" s="949"/>
      <c r="B31" s="102" t="s">
        <v>28</v>
      </c>
      <c r="C31" s="106">
        <v>0</v>
      </c>
      <c r="D31" s="106">
        <f t="shared" ref="D31:D32" si="55">SUM(ROUND(C31*50%,0))</f>
        <v>0</v>
      </c>
      <c r="E31" s="104">
        <v>0</v>
      </c>
      <c r="F31" s="105" t="e">
        <f t="shared" si="51"/>
        <v>#DIV/0!</v>
      </c>
      <c r="G31" s="949"/>
      <c r="H31" s="102" t="s">
        <v>28</v>
      </c>
      <c r="I31" s="106">
        <v>0</v>
      </c>
      <c r="J31" s="106">
        <f t="shared" ref="J31:J32" si="56">SUM(ROUND(I31*50%,0))</f>
        <v>0</v>
      </c>
      <c r="K31" s="104">
        <v>0</v>
      </c>
      <c r="L31" s="105" t="e">
        <f t="shared" si="52"/>
        <v>#DIV/0!</v>
      </c>
      <c r="M31" s="949"/>
      <c r="N31" s="102" t="s">
        <v>28</v>
      </c>
      <c r="O31" s="102">
        <f t="shared" ref="O31:Q31" si="57">C31-I31</f>
        <v>0</v>
      </c>
      <c r="P31" s="102">
        <f t="shared" si="57"/>
        <v>0</v>
      </c>
      <c r="Q31" s="107">
        <f t="shared" si="57"/>
        <v>0</v>
      </c>
      <c r="R31" s="105" t="e">
        <f t="shared" si="54"/>
        <v>#DIV/0!</v>
      </c>
    </row>
    <row r="32" spans="1:18" ht="15.75" customHeight="1">
      <c r="A32" s="949"/>
      <c r="B32" s="102" t="s">
        <v>31</v>
      </c>
      <c r="C32" s="106">
        <v>75646</v>
      </c>
      <c r="D32" s="106">
        <f t="shared" si="55"/>
        <v>37823</v>
      </c>
      <c r="E32" s="104">
        <v>0</v>
      </c>
      <c r="F32" s="105">
        <f t="shared" si="51"/>
        <v>0</v>
      </c>
      <c r="G32" s="949"/>
      <c r="H32" s="102" t="s">
        <v>31</v>
      </c>
      <c r="I32" s="106">
        <v>0</v>
      </c>
      <c r="J32" s="106">
        <f t="shared" si="56"/>
        <v>0</v>
      </c>
      <c r="K32" s="104">
        <v>0</v>
      </c>
      <c r="L32" s="105" t="e">
        <f t="shared" si="52"/>
        <v>#DIV/0!</v>
      </c>
      <c r="M32" s="949"/>
      <c r="N32" s="102" t="s">
        <v>31</v>
      </c>
      <c r="O32" s="102">
        <f t="shared" ref="O32:Q32" si="58">C32-I32</f>
        <v>75646</v>
      </c>
      <c r="P32" s="102">
        <f t="shared" si="58"/>
        <v>37823</v>
      </c>
      <c r="Q32" s="107">
        <f t="shared" si="58"/>
        <v>0</v>
      </c>
      <c r="R32" s="105">
        <f t="shared" si="54"/>
        <v>0</v>
      </c>
    </row>
    <row r="33" spans="1:18" ht="15.75" customHeight="1">
      <c r="A33" s="949"/>
      <c r="B33" s="122" t="s">
        <v>32</v>
      </c>
      <c r="C33" s="123">
        <v>87373</v>
      </c>
      <c r="D33" s="106">
        <f>SUM(ROUND(C33*75%,0))</f>
        <v>65530</v>
      </c>
      <c r="E33" s="104">
        <v>0</v>
      </c>
      <c r="F33" s="105">
        <f t="shared" si="51"/>
        <v>0</v>
      </c>
      <c r="G33" s="949"/>
      <c r="H33" s="122" t="s">
        <v>32</v>
      </c>
      <c r="I33" s="123">
        <v>0</v>
      </c>
      <c r="J33" s="106">
        <f>SUM(ROUND(I33*75%,0))</f>
        <v>0</v>
      </c>
      <c r="K33" s="104">
        <v>0</v>
      </c>
      <c r="L33" s="105" t="e">
        <f t="shared" si="52"/>
        <v>#DIV/0!</v>
      </c>
      <c r="M33" s="949"/>
      <c r="N33" s="122" t="s">
        <v>32</v>
      </c>
      <c r="O33" s="102">
        <f t="shared" ref="O33:Q33" si="59">C33-I33</f>
        <v>87373</v>
      </c>
      <c r="P33" s="102">
        <f t="shared" si="59"/>
        <v>65530</v>
      </c>
      <c r="Q33" s="107">
        <f t="shared" si="59"/>
        <v>0</v>
      </c>
      <c r="R33" s="105">
        <f t="shared" si="54"/>
        <v>0</v>
      </c>
    </row>
    <row r="34" spans="1:18" ht="15.75" customHeight="1">
      <c r="A34" s="950"/>
      <c r="B34" s="118" t="s">
        <v>25</v>
      </c>
      <c r="C34" s="115">
        <f t="shared" ref="C34:E34" si="60">SUM(C30:C33)</f>
        <v>180020</v>
      </c>
      <c r="D34" s="115">
        <f t="shared" si="60"/>
        <v>120354</v>
      </c>
      <c r="E34" s="121">
        <f t="shared" si="60"/>
        <v>3969</v>
      </c>
      <c r="F34" s="116">
        <f t="shared" si="51"/>
        <v>2.204755027219198E-2</v>
      </c>
      <c r="G34" s="950"/>
      <c r="H34" s="118" t="s">
        <v>25</v>
      </c>
      <c r="I34" s="115">
        <f t="shared" ref="I34:K34" si="61">SUM(I30:I33)</f>
        <v>0</v>
      </c>
      <c r="J34" s="115">
        <f t="shared" si="61"/>
        <v>0</v>
      </c>
      <c r="K34" s="121">
        <f t="shared" si="61"/>
        <v>0</v>
      </c>
      <c r="L34" s="116" t="e">
        <f t="shared" si="52"/>
        <v>#DIV/0!</v>
      </c>
      <c r="M34" s="950"/>
      <c r="N34" s="118" t="s">
        <v>25</v>
      </c>
      <c r="O34" s="115">
        <f t="shared" ref="O34:Q34" si="62">SUM(O30:O33)</f>
        <v>180020</v>
      </c>
      <c r="P34" s="115">
        <f t="shared" si="62"/>
        <v>120354</v>
      </c>
      <c r="Q34" s="115">
        <f t="shared" si="62"/>
        <v>3969</v>
      </c>
      <c r="R34" s="105">
        <f t="shared" si="54"/>
        <v>2.204755027219198E-2</v>
      </c>
    </row>
    <row r="35" spans="1:18" ht="15.75" customHeight="1">
      <c r="A35" s="954"/>
      <c r="B35" s="928"/>
      <c r="C35" s="928"/>
      <c r="D35" s="928"/>
      <c r="E35" s="928"/>
      <c r="F35" s="955"/>
      <c r="G35" s="954"/>
      <c r="H35" s="928"/>
      <c r="I35" s="928"/>
      <c r="J35" s="928"/>
      <c r="K35" s="928"/>
      <c r="L35" s="955"/>
      <c r="M35" s="954"/>
      <c r="N35" s="928"/>
      <c r="O35" s="928"/>
      <c r="P35" s="928"/>
      <c r="Q35" s="928"/>
      <c r="R35" s="955"/>
    </row>
    <row r="36" spans="1:18" ht="15.75" customHeight="1">
      <c r="A36" s="948" t="s">
        <v>99</v>
      </c>
      <c r="B36" s="95" t="s">
        <v>21</v>
      </c>
      <c r="C36" s="99">
        <v>6167100</v>
      </c>
      <c r="D36" s="99">
        <f>C36</f>
        <v>6167100</v>
      </c>
      <c r="E36" s="97">
        <v>3077600</v>
      </c>
      <c r="F36" s="98">
        <f t="shared" ref="F36:F37" si="63">E36/C36</f>
        <v>0.49903520293168591</v>
      </c>
      <c r="G36" s="948" t="s">
        <v>99</v>
      </c>
      <c r="H36" s="95" t="s">
        <v>21</v>
      </c>
      <c r="I36" s="99">
        <v>0</v>
      </c>
      <c r="J36" s="99">
        <f>I36</f>
        <v>0</v>
      </c>
      <c r="K36" s="97">
        <v>0</v>
      </c>
      <c r="L36" s="98" t="e">
        <f t="shared" ref="L36:L37" si="64">K36/I36</f>
        <v>#DIV/0!</v>
      </c>
      <c r="M36" s="948" t="s">
        <v>100</v>
      </c>
      <c r="N36" s="95" t="s">
        <v>21</v>
      </c>
      <c r="O36" s="102">
        <f t="shared" ref="O36:Q36" si="65">C36-I36</f>
        <v>6167100</v>
      </c>
      <c r="P36" s="102">
        <f t="shared" si="65"/>
        <v>6167100</v>
      </c>
      <c r="Q36" s="107">
        <f t="shared" si="65"/>
        <v>3077600</v>
      </c>
      <c r="R36" s="105">
        <f t="shared" ref="R36:R37" si="66">Q36/O36</f>
        <v>0.49903520293168591</v>
      </c>
    </row>
    <row r="37" spans="1:18" ht="15.75" customHeight="1">
      <c r="A37" s="950"/>
      <c r="B37" s="118" t="s">
        <v>25</v>
      </c>
      <c r="C37" s="115">
        <f t="shared" ref="C37:E37" si="67">SUM(C36)</f>
        <v>6167100</v>
      </c>
      <c r="D37" s="115">
        <f t="shared" si="67"/>
        <v>6167100</v>
      </c>
      <c r="E37" s="121">
        <f t="shared" si="67"/>
        <v>3077600</v>
      </c>
      <c r="F37" s="116">
        <f t="shared" si="63"/>
        <v>0.49903520293168591</v>
      </c>
      <c r="G37" s="950"/>
      <c r="H37" s="118" t="s">
        <v>25</v>
      </c>
      <c r="I37" s="115">
        <f t="shared" ref="I37:K37" si="68">SUM(I36)</f>
        <v>0</v>
      </c>
      <c r="J37" s="115">
        <f t="shared" si="68"/>
        <v>0</v>
      </c>
      <c r="K37" s="121">
        <f t="shared" si="68"/>
        <v>0</v>
      </c>
      <c r="L37" s="116" t="e">
        <f t="shared" si="64"/>
        <v>#DIV/0!</v>
      </c>
      <c r="M37" s="950"/>
      <c r="N37" s="118" t="s">
        <v>25</v>
      </c>
      <c r="O37" s="115">
        <f t="shared" ref="O37:Q37" si="69">SUM(O36)</f>
        <v>6167100</v>
      </c>
      <c r="P37" s="115">
        <f t="shared" si="69"/>
        <v>6167100</v>
      </c>
      <c r="Q37" s="115">
        <f t="shared" si="69"/>
        <v>3077600</v>
      </c>
      <c r="R37" s="105">
        <f t="shared" si="66"/>
        <v>0.49903520293168591</v>
      </c>
    </row>
    <row r="38" spans="1:18" ht="15.75" customHeight="1">
      <c r="A38" s="954"/>
      <c r="B38" s="928"/>
      <c r="C38" s="928"/>
      <c r="D38" s="928"/>
      <c r="E38" s="928"/>
      <c r="F38" s="955"/>
      <c r="G38" s="954"/>
      <c r="H38" s="928"/>
      <c r="I38" s="928"/>
      <c r="J38" s="928"/>
      <c r="K38" s="928"/>
      <c r="L38" s="955"/>
      <c r="M38" s="954"/>
      <c r="N38" s="928"/>
      <c r="O38" s="928"/>
      <c r="P38" s="928"/>
      <c r="Q38" s="928"/>
      <c r="R38" s="955"/>
    </row>
    <row r="39" spans="1:18" ht="15.75" customHeight="1">
      <c r="A39" s="948" t="s">
        <v>101</v>
      </c>
      <c r="B39" s="119" t="s">
        <v>40</v>
      </c>
      <c r="C39" s="119">
        <v>244105</v>
      </c>
      <c r="D39" s="119">
        <f>C39</f>
        <v>244105</v>
      </c>
      <c r="E39" s="120">
        <v>836</v>
      </c>
      <c r="F39" s="98">
        <f t="shared" ref="F39:F41" si="70">E39/C39</f>
        <v>3.4247557403576331E-3</v>
      </c>
      <c r="G39" s="948" t="s">
        <v>101</v>
      </c>
      <c r="H39" s="119" t="s">
        <v>40</v>
      </c>
      <c r="I39" s="119">
        <v>10000</v>
      </c>
      <c r="J39" s="119">
        <f>I39</f>
        <v>10000</v>
      </c>
      <c r="K39" s="120">
        <v>0</v>
      </c>
      <c r="L39" s="98">
        <f t="shared" ref="L39:L41" si="71">K39/I39</f>
        <v>0</v>
      </c>
      <c r="M39" s="948" t="s">
        <v>101</v>
      </c>
      <c r="N39" s="119" t="s">
        <v>40</v>
      </c>
      <c r="O39" s="102">
        <f t="shared" ref="O39:Q39" si="72">C39-I39</f>
        <v>234105</v>
      </c>
      <c r="P39" s="102">
        <f t="shared" si="72"/>
        <v>234105</v>
      </c>
      <c r="Q39" s="107">
        <f t="shared" si="72"/>
        <v>836</v>
      </c>
      <c r="R39" s="105">
        <f t="shared" ref="R39:R41" si="73">Q39/O39</f>
        <v>3.5710471796843299E-3</v>
      </c>
    </row>
    <row r="40" spans="1:18" ht="15.75" customHeight="1">
      <c r="A40" s="949"/>
      <c r="B40" s="122" t="s">
        <v>32</v>
      </c>
      <c r="C40" s="122">
        <v>0</v>
      </c>
      <c r="D40" s="106">
        <f>SUM(ROUND(C40*75%,0))</f>
        <v>0</v>
      </c>
      <c r="E40" s="104">
        <v>0</v>
      </c>
      <c r="F40" s="105" t="e">
        <f t="shared" si="70"/>
        <v>#DIV/0!</v>
      </c>
      <c r="G40" s="949"/>
      <c r="H40" s="122" t="s">
        <v>32</v>
      </c>
      <c r="I40" s="122">
        <v>0</v>
      </c>
      <c r="J40" s="106">
        <f>SUM(ROUND(I40*75%,0))</f>
        <v>0</v>
      </c>
      <c r="K40" s="104">
        <v>0</v>
      </c>
      <c r="L40" s="105" t="e">
        <f t="shared" si="71"/>
        <v>#DIV/0!</v>
      </c>
      <c r="M40" s="949"/>
      <c r="N40" s="122" t="s">
        <v>32</v>
      </c>
      <c r="O40" s="102">
        <f t="shared" ref="O40:Q40" si="74">C40-I40</f>
        <v>0</v>
      </c>
      <c r="P40" s="102">
        <f t="shared" si="74"/>
        <v>0</v>
      </c>
      <c r="Q40" s="107">
        <f t="shared" si="74"/>
        <v>0</v>
      </c>
      <c r="R40" s="105" t="e">
        <f t="shared" si="73"/>
        <v>#DIV/0!</v>
      </c>
    </row>
    <row r="41" spans="1:18" ht="15.75" customHeight="1">
      <c r="A41" s="950"/>
      <c r="B41" s="118" t="s">
        <v>25</v>
      </c>
      <c r="C41" s="118">
        <f t="shared" ref="C41:E41" si="75">SUM(C40)</f>
        <v>0</v>
      </c>
      <c r="D41" s="118">
        <f t="shared" si="75"/>
        <v>0</v>
      </c>
      <c r="E41" s="121">
        <f t="shared" si="75"/>
        <v>0</v>
      </c>
      <c r="F41" s="116" t="e">
        <f t="shared" si="70"/>
        <v>#DIV/0!</v>
      </c>
      <c r="G41" s="950"/>
      <c r="H41" s="118" t="s">
        <v>25</v>
      </c>
      <c r="I41" s="118">
        <f t="shared" ref="I41:K41" si="76">SUM(I40)</f>
        <v>0</v>
      </c>
      <c r="J41" s="118">
        <f t="shared" si="76"/>
        <v>0</v>
      </c>
      <c r="K41" s="121">
        <f t="shared" si="76"/>
        <v>0</v>
      </c>
      <c r="L41" s="116" t="e">
        <f t="shared" si="71"/>
        <v>#DIV/0!</v>
      </c>
      <c r="M41" s="950"/>
      <c r="N41" s="118" t="s">
        <v>25</v>
      </c>
      <c r="O41" s="118">
        <f t="shared" ref="O41:Q41" si="77">SUM(O40)</f>
        <v>0</v>
      </c>
      <c r="P41" s="118">
        <f t="shared" si="77"/>
        <v>0</v>
      </c>
      <c r="Q41" s="118">
        <f t="shared" si="77"/>
        <v>0</v>
      </c>
      <c r="R41" s="105" t="e">
        <f t="shared" si="73"/>
        <v>#DIV/0!</v>
      </c>
    </row>
    <row r="42" spans="1:18" ht="15.75" customHeight="1">
      <c r="A42" s="956"/>
      <c r="B42" s="957"/>
      <c r="C42" s="957"/>
      <c r="D42" s="957"/>
      <c r="E42" s="957"/>
      <c r="F42" s="958"/>
      <c r="G42" s="956"/>
      <c r="H42" s="957"/>
      <c r="I42" s="957"/>
      <c r="J42" s="957"/>
      <c r="K42" s="957"/>
      <c r="L42" s="958"/>
      <c r="M42" s="956"/>
      <c r="N42" s="957"/>
      <c r="O42" s="957"/>
      <c r="P42" s="957"/>
      <c r="Q42" s="957"/>
      <c r="R42" s="958"/>
    </row>
    <row r="43" spans="1:18" ht="15.75" customHeight="1">
      <c r="A43" s="948" t="s">
        <v>39</v>
      </c>
      <c r="B43" s="95" t="s">
        <v>40</v>
      </c>
      <c r="C43" s="99">
        <v>4613304</v>
      </c>
      <c r="D43" s="99">
        <f>C43</f>
        <v>4613304</v>
      </c>
      <c r="E43" s="97">
        <v>4525</v>
      </c>
      <c r="F43" s="98">
        <f t="shared" ref="F43:F45" si="78">E43/C43</f>
        <v>9.8085883783076075E-4</v>
      </c>
      <c r="G43" s="948" t="s">
        <v>39</v>
      </c>
      <c r="H43" s="95" t="s">
        <v>40</v>
      </c>
      <c r="I43" s="99">
        <v>1281400</v>
      </c>
      <c r="J43" s="99">
        <f>I43</f>
        <v>1281400</v>
      </c>
      <c r="K43" s="97">
        <v>3941</v>
      </c>
      <c r="L43" s="98">
        <f t="shared" ref="L43:L45" si="79">K43/I43</f>
        <v>3.0755423755267678E-3</v>
      </c>
      <c r="M43" s="948" t="s">
        <v>39</v>
      </c>
      <c r="N43" s="95" t="s">
        <v>40</v>
      </c>
      <c r="O43" s="102">
        <f t="shared" ref="O43:Q43" si="80">C43-I43</f>
        <v>3331904</v>
      </c>
      <c r="P43" s="102">
        <f t="shared" si="80"/>
        <v>3331904</v>
      </c>
      <c r="Q43" s="107">
        <f t="shared" si="80"/>
        <v>584</v>
      </c>
      <c r="R43" s="105">
        <f t="shared" ref="R43:R45" si="81">Q43/O43</f>
        <v>1.7527515798774514E-4</v>
      </c>
    </row>
    <row r="44" spans="1:18" ht="15.75" customHeight="1">
      <c r="A44" s="949"/>
      <c r="B44" s="122" t="s">
        <v>32</v>
      </c>
      <c r="C44" s="123">
        <v>636735</v>
      </c>
      <c r="D44" s="106">
        <f>SUM(ROUND(C44*75%,0))</f>
        <v>477551</v>
      </c>
      <c r="E44" s="104">
        <v>17506</v>
      </c>
      <c r="F44" s="105">
        <f t="shared" si="78"/>
        <v>2.7493384217924254E-2</v>
      </c>
      <c r="G44" s="949"/>
      <c r="H44" s="122" t="s">
        <v>32</v>
      </c>
      <c r="I44" s="123">
        <v>153861</v>
      </c>
      <c r="J44" s="106">
        <f>SUM(ROUND(I44*75%,0))</f>
        <v>115396</v>
      </c>
      <c r="K44" s="104">
        <v>407</v>
      </c>
      <c r="L44" s="105">
        <f t="shared" si="79"/>
        <v>2.6452447338831801E-3</v>
      </c>
      <c r="M44" s="949"/>
      <c r="N44" s="122" t="s">
        <v>32</v>
      </c>
      <c r="O44" s="102">
        <f t="shared" ref="O44:Q44" si="82">C44-I44</f>
        <v>482874</v>
      </c>
      <c r="P44" s="102">
        <f t="shared" si="82"/>
        <v>362155</v>
      </c>
      <c r="Q44" s="107">
        <f t="shared" si="82"/>
        <v>17099</v>
      </c>
      <c r="R44" s="105">
        <f t="shared" si="81"/>
        <v>3.541089393920567E-2</v>
      </c>
    </row>
    <row r="45" spans="1:18" ht="15.75" customHeight="1">
      <c r="A45" s="950"/>
      <c r="B45" s="118" t="s">
        <v>25</v>
      </c>
      <c r="C45" s="115">
        <f t="shared" ref="C45:E45" si="83">SUM(C43:C44)</f>
        <v>5250039</v>
      </c>
      <c r="D45" s="115">
        <f t="shared" si="83"/>
        <v>5090855</v>
      </c>
      <c r="E45" s="115">
        <f t="shared" si="83"/>
        <v>22031</v>
      </c>
      <c r="F45" s="116">
        <f t="shared" si="78"/>
        <v>4.1963497794968762E-3</v>
      </c>
      <c r="G45" s="950"/>
      <c r="H45" s="118" t="s">
        <v>25</v>
      </c>
      <c r="I45" s="115">
        <f t="shared" ref="I45:K45" si="84">SUM(I43:I44)</f>
        <v>1435261</v>
      </c>
      <c r="J45" s="115">
        <f t="shared" si="84"/>
        <v>1396796</v>
      </c>
      <c r="K45" s="115">
        <f t="shared" si="84"/>
        <v>4348</v>
      </c>
      <c r="L45" s="116">
        <f t="shared" si="79"/>
        <v>3.0294141623021876E-3</v>
      </c>
      <c r="M45" s="950"/>
      <c r="N45" s="118" t="s">
        <v>25</v>
      </c>
      <c r="O45" s="115">
        <f t="shared" ref="O45:Q45" si="85">SUM(O43:O44)</f>
        <v>3814778</v>
      </c>
      <c r="P45" s="115">
        <f t="shared" si="85"/>
        <v>3694059</v>
      </c>
      <c r="Q45" s="115">
        <f t="shared" si="85"/>
        <v>17683</v>
      </c>
      <c r="R45" s="105">
        <f t="shared" si="81"/>
        <v>4.6353942483677952E-3</v>
      </c>
    </row>
    <row r="46" spans="1:18" ht="15.75" customHeight="1">
      <c r="A46" s="954"/>
      <c r="B46" s="928"/>
      <c r="C46" s="928"/>
      <c r="D46" s="928"/>
      <c r="E46" s="928"/>
      <c r="F46" s="955"/>
      <c r="G46" s="954"/>
      <c r="H46" s="928"/>
      <c r="I46" s="928"/>
      <c r="J46" s="928"/>
      <c r="K46" s="928"/>
      <c r="L46" s="955"/>
      <c r="M46" s="954"/>
      <c r="N46" s="928"/>
      <c r="O46" s="928"/>
      <c r="P46" s="928"/>
      <c r="Q46" s="928"/>
      <c r="R46" s="955"/>
    </row>
    <row r="47" spans="1:18" ht="15.75" customHeight="1">
      <c r="A47" s="948" t="s">
        <v>41</v>
      </c>
      <c r="B47" s="124" t="s">
        <v>32</v>
      </c>
      <c r="C47" s="125">
        <v>6000000</v>
      </c>
      <c r="D47" s="106">
        <f>SUM(ROUND(C47*75%,0))</f>
        <v>4500000</v>
      </c>
      <c r="E47" s="97">
        <v>977369</v>
      </c>
      <c r="F47" s="98">
        <f t="shared" ref="F47:F48" si="86">E47/C47</f>
        <v>0.16289483333333332</v>
      </c>
      <c r="G47" s="948" t="s">
        <v>41</v>
      </c>
      <c r="H47" s="124" t="s">
        <v>32</v>
      </c>
      <c r="I47" s="125">
        <v>0</v>
      </c>
      <c r="J47" s="106">
        <f>SUM(ROUND(I47*75%,0))</f>
        <v>0</v>
      </c>
      <c r="K47" s="97">
        <v>0</v>
      </c>
      <c r="L47" s="98" t="e">
        <f t="shared" ref="L47:L48" si="87">K47/I47</f>
        <v>#DIV/0!</v>
      </c>
      <c r="M47" s="948" t="s">
        <v>41</v>
      </c>
      <c r="N47" s="124" t="s">
        <v>32</v>
      </c>
      <c r="O47" s="102">
        <f t="shared" ref="O47:Q47" si="88">C47-I47</f>
        <v>6000000</v>
      </c>
      <c r="P47" s="102">
        <f t="shared" si="88"/>
        <v>4500000</v>
      </c>
      <c r="Q47" s="107">
        <f t="shared" si="88"/>
        <v>977369</v>
      </c>
      <c r="R47" s="105">
        <f t="shared" ref="R47:R48" si="89">Q47/O47</f>
        <v>0.16289483333333332</v>
      </c>
    </row>
    <row r="48" spans="1:18" ht="15.75" customHeight="1">
      <c r="A48" s="950"/>
      <c r="B48" s="118" t="s">
        <v>25</v>
      </c>
      <c r="C48" s="115">
        <f t="shared" ref="C48:E48" si="90">SUM(C47)</f>
        <v>6000000</v>
      </c>
      <c r="D48" s="115">
        <f t="shared" si="90"/>
        <v>4500000</v>
      </c>
      <c r="E48" s="121">
        <f t="shared" si="90"/>
        <v>977369</v>
      </c>
      <c r="F48" s="116">
        <f t="shared" si="86"/>
        <v>0.16289483333333332</v>
      </c>
      <c r="G48" s="950"/>
      <c r="H48" s="118" t="s">
        <v>25</v>
      </c>
      <c r="I48" s="115">
        <f t="shared" ref="I48:K48" si="91">SUM(I47)</f>
        <v>0</v>
      </c>
      <c r="J48" s="115">
        <f t="shared" si="91"/>
        <v>0</v>
      </c>
      <c r="K48" s="121">
        <f t="shared" si="91"/>
        <v>0</v>
      </c>
      <c r="L48" s="116" t="e">
        <f t="shared" si="87"/>
        <v>#DIV/0!</v>
      </c>
      <c r="M48" s="950"/>
      <c r="N48" s="118" t="s">
        <v>25</v>
      </c>
      <c r="O48" s="115">
        <f t="shared" ref="O48:Q48" si="92">SUM(O47)</f>
        <v>6000000</v>
      </c>
      <c r="P48" s="115">
        <f t="shared" si="92"/>
        <v>4500000</v>
      </c>
      <c r="Q48" s="115">
        <f t="shared" si="92"/>
        <v>977369</v>
      </c>
      <c r="R48" s="105">
        <f t="shared" si="89"/>
        <v>0.16289483333333332</v>
      </c>
    </row>
    <row r="49" spans="1:18" ht="15.75" customHeight="1">
      <c r="A49" s="954"/>
      <c r="B49" s="928"/>
      <c r="C49" s="928"/>
      <c r="D49" s="928"/>
      <c r="E49" s="928"/>
      <c r="F49" s="955"/>
      <c r="G49" s="954"/>
      <c r="H49" s="928"/>
      <c r="I49" s="928"/>
      <c r="J49" s="928"/>
      <c r="K49" s="928"/>
      <c r="L49" s="955"/>
      <c r="M49" s="954"/>
      <c r="N49" s="928"/>
      <c r="O49" s="928"/>
      <c r="P49" s="928"/>
      <c r="Q49" s="928"/>
      <c r="R49" s="955"/>
    </row>
    <row r="50" spans="1:18" ht="15.75" customHeight="1">
      <c r="A50" s="948" t="s">
        <v>42</v>
      </c>
      <c r="B50" s="95" t="s">
        <v>21</v>
      </c>
      <c r="C50" s="99">
        <v>4500</v>
      </c>
      <c r="D50" s="99">
        <f>C50</f>
        <v>4500</v>
      </c>
      <c r="E50" s="97">
        <v>0</v>
      </c>
      <c r="F50" s="98">
        <f t="shared" ref="F50:F53" si="93">E50/C50</f>
        <v>0</v>
      </c>
      <c r="G50" s="948" t="s">
        <v>42</v>
      </c>
      <c r="H50" s="95" t="s">
        <v>21</v>
      </c>
      <c r="I50" s="99">
        <v>0</v>
      </c>
      <c r="J50" s="99">
        <f>I50</f>
        <v>0</v>
      </c>
      <c r="K50" s="97">
        <v>0</v>
      </c>
      <c r="L50" s="98" t="e">
        <f t="shared" ref="L50:L53" si="94">K50/I50</f>
        <v>#DIV/0!</v>
      </c>
      <c r="M50" s="948" t="s">
        <v>42</v>
      </c>
      <c r="N50" s="95" t="s">
        <v>21</v>
      </c>
      <c r="O50" s="102">
        <f t="shared" ref="O50:Q50" si="95">C50-I50</f>
        <v>4500</v>
      </c>
      <c r="P50" s="102">
        <f t="shared" si="95"/>
        <v>4500</v>
      </c>
      <c r="Q50" s="107">
        <f t="shared" si="95"/>
        <v>0</v>
      </c>
      <c r="R50" s="105">
        <f t="shared" ref="R50:R53" si="96">Q50/O50</f>
        <v>0</v>
      </c>
    </row>
    <row r="51" spans="1:18" ht="15.75" customHeight="1">
      <c r="A51" s="949"/>
      <c r="B51" s="102" t="s">
        <v>28</v>
      </c>
      <c r="C51" s="106">
        <v>0</v>
      </c>
      <c r="D51" s="106">
        <f>SUM(ROUND(C51*50%,0))</f>
        <v>0</v>
      </c>
      <c r="E51" s="104">
        <v>0</v>
      </c>
      <c r="F51" s="105" t="e">
        <f t="shared" si="93"/>
        <v>#DIV/0!</v>
      </c>
      <c r="G51" s="949"/>
      <c r="H51" s="102" t="s">
        <v>28</v>
      </c>
      <c r="I51" s="106">
        <v>0</v>
      </c>
      <c r="J51" s="106">
        <f>SUM(ROUND(I51*50%,0))</f>
        <v>0</v>
      </c>
      <c r="K51" s="104">
        <v>0</v>
      </c>
      <c r="L51" s="105" t="e">
        <f t="shared" si="94"/>
        <v>#DIV/0!</v>
      </c>
      <c r="M51" s="949"/>
      <c r="N51" s="102" t="s">
        <v>28</v>
      </c>
      <c r="O51" s="102">
        <f t="shared" ref="O51:Q51" si="97">C51-I51</f>
        <v>0</v>
      </c>
      <c r="P51" s="102">
        <f t="shared" si="97"/>
        <v>0</v>
      </c>
      <c r="Q51" s="107">
        <f t="shared" si="97"/>
        <v>0</v>
      </c>
      <c r="R51" s="105" t="e">
        <f t="shared" si="96"/>
        <v>#DIV/0!</v>
      </c>
    </row>
    <row r="52" spans="1:18" ht="15.75" customHeight="1">
      <c r="A52" s="949"/>
      <c r="B52" s="122" t="s">
        <v>32</v>
      </c>
      <c r="C52" s="123">
        <v>145500</v>
      </c>
      <c r="D52" s="106">
        <f>SUM(ROUND(C52*75%,0))</f>
        <v>109125</v>
      </c>
      <c r="E52" s="104">
        <v>10650</v>
      </c>
      <c r="F52" s="105">
        <f t="shared" si="93"/>
        <v>7.3195876288659797E-2</v>
      </c>
      <c r="G52" s="949"/>
      <c r="H52" s="122" t="s">
        <v>32</v>
      </c>
      <c r="I52" s="123">
        <v>2</v>
      </c>
      <c r="J52" s="106">
        <f>SUM(ROUND(I52*75%,0))</f>
        <v>2</v>
      </c>
      <c r="K52" s="104">
        <v>0</v>
      </c>
      <c r="L52" s="105">
        <f t="shared" si="94"/>
        <v>0</v>
      </c>
      <c r="M52" s="949"/>
      <c r="N52" s="122" t="s">
        <v>32</v>
      </c>
      <c r="O52" s="102">
        <f t="shared" ref="O52:Q52" si="98">C52-I52</f>
        <v>145498</v>
      </c>
      <c r="P52" s="102">
        <f t="shared" si="98"/>
        <v>109123</v>
      </c>
      <c r="Q52" s="107">
        <f t="shared" si="98"/>
        <v>10650</v>
      </c>
      <c r="R52" s="105">
        <f t="shared" si="96"/>
        <v>7.3196882431373622E-2</v>
      </c>
    </row>
    <row r="53" spans="1:18" ht="15.75" customHeight="1">
      <c r="A53" s="950"/>
      <c r="B53" s="118" t="s">
        <v>25</v>
      </c>
      <c r="C53" s="115">
        <f t="shared" ref="C53:E53" si="99">SUM(C50:C52)</f>
        <v>150000</v>
      </c>
      <c r="D53" s="115">
        <f t="shared" si="99"/>
        <v>113625</v>
      </c>
      <c r="E53" s="121">
        <f t="shared" si="99"/>
        <v>10650</v>
      </c>
      <c r="F53" s="116">
        <f t="shared" si="93"/>
        <v>7.0999999999999994E-2</v>
      </c>
      <c r="G53" s="950"/>
      <c r="H53" s="118" t="s">
        <v>25</v>
      </c>
      <c r="I53" s="115">
        <f t="shared" ref="I53:K53" si="100">SUM(I50:I52)</f>
        <v>2</v>
      </c>
      <c r="J53" s="115">
        <f t="shared" si="100"/>
        <v>2</v>
      </c>
      <c r="K53" s="121">
        <f t="shared" si="100"/>
        <v>0</v>
      </c>
      <c r="L53" s="116">
        <f t="shared" si="94"/>
        <v>0</v>
      </c>
      <c r="M53" s="950"/>
      <c r="N53" s="118" t="s">
        <v>25</v>
      </c>
      <c r="O53" s="115">
        <f t="shared" ref="O53:Q53" si="101">SUM(O50:O52)</f>
        <v>149998</v>
      </c>
      <c r="P53" s="115">
        <f t="shared" si="101"/>
        <v>113623</v>
      </c>
      <c r="Q53" s="115">
        <f t="shared" si="101"/>
        <v>10650</v>
      </c>
      <c r="R53" s="105">
        <f t="shared" si="96"/>
        <v>7.1000946679289051E-2</v>
      </c>
    </row>
    <row r="54" spans="1:18" ht="15.75" customHeight="1">
      <c r="A54" s="954"/>
      <c r="B54" s="928"/>
      <c r="C54" s="928"/>
      <c r="D54" s="928"/>
      <c r="E54" s="928"/>
      <c r="F54" s="955"/>
      <c r="G54" s="954"/>
      <c r="H54" s="928"/>
      <c r="I54" s="928"/>
      <c r="J54" s="928"/>
      <c r="K54" s="928"/>
      <c r="L54" s="955"/>
      <c r="M54" s="954"/>
      <c r="N54" s="928"/>
      <c r="O54" s="928"/>
      <c r="P54" s="928"/>
      <c r="Q54" s="928"/>
      <c r="R54" s="955"/>
    </row>
    <row r="55" spans="1:18" ht="15.75" customHeight="1">
      <c r="A55" s="948" t="s">
        <v>43</v>
      </c>
      <c r="B55" s="95" t="s">
        <v>21</v>
      </c>
      <c r="C55" s="99">
        <v>519984</v>
      </c>
      <c r="D55" s="99">
        <f>C55</f>
        <v>519984</v>
      </c>
      <c r="E55" s="97">
        <v>362</v>
      </c>
      <c r="F55" s="98">
        <f t="shared" ref="F55:F58" si="102">E55/C55</f>
        <v>6.9617526693129016E-4</v>
      </c>
      <c r="G55" s="948" t="s">
        <v>43</v>
      </c>
      <c r="H55" s="95" t="s">
        <v>21</v>
      </c>
      <c r="I55" s="99">
        <v>0</v>
      </c>
      <c r="J55" s="99">
        <f>I55</f>
        <v>0</v>
      </c>
      <c r="K55" s="97">
        <v>0</v>
      </c>
      <c r="L55" s="98" t="e">
        <f t="shared" ref="L55:L58" si="103">K55/I55</f>
        <v>#DIV/0!</v>
      </c>
      <c r="M55" s="948" t="s">
        <v>43</v>
      </c>
      <c r="N55" s="95" t="s">
        <v>21</v>
      </c>
      <c r="O55" s="102">
        <f t="shared" ref="O55:Q55" si="104">C55-I55</f>
        <v>519984</v>
      </c>
      <c r="P55" s="102">
        <f t="shared" si="104"/>
        <v>519984</v>
      </c>
      <c r="Q55" s="107">
        <f t="shared" si="104"/>
        <v>362</v>
      </c>
      <c r="R55" s="105">
        <f t="shared" ref="R55:R58" si="105">Q55/O55</f>
        <v>6.9617526693129016E-4</v>
      </c>
    </row>
    <row r="56" spans="1:18" ht="15.75" customHeight="1">
      <c r="A56" s="949"/>
      <c r="B56" s="122" t="s">
        <v>32</v>
      </c>
      <c r="C56" s="123">
        <v>2533439</v>
      </c>
      <c r="D56" s="106">
        <f>SUM(ROUND(C56*75%,0))</f>
        <v>1900079</v>
      </c>
      <c r="E56" s="104">
        <v>70650</v>
      </c>
      <c r="F56" s="105">
        <f t="shared" si="102"/>
        <v>2.7886994713509975E-2</v>
      </c>
      <c r="G56" s="949"/>
      <c r="H56" s="122" t="s">
        <v>32</v>
      </c>
      <c r="I56" s="123">
        <v>1004</v>
      </c>
      <c r="J56" s="106">
        <f>SUM(ROUND(I56*75%,0))</f>
        <v>753</v>
      </c>
      <c r="K56" s="104">
        <v>0</v>
      </c>
      <c r="L56" s="105">
        <f t="shared" si="103"/>
        <v>0</v>
      </c>
      <c r="M56" s="949"/>
      <c r="N56" s="122" t="s">
        <v>32</v>
      </c>
      <c r="O56" s="102">
        <f t="shared" ref="O56:Q56" si="106">C56-I56</f>
        <v>2532435</v>
      </c>
      <c r="P56" s="102">
        <f t="shared" si="106"/>
        <v>1899326</v>
      </c>
      <c r="Q56" s="107">
        <f t="shared" si="106"/>
        <v>70650</v>
      </c>
      <c r="R56" s="105">
        <f t="shared" si="105"/>
        <v>2.7898050690343484E-2</v>
      </c>
    </row>
    <row r="57" spans="1:18" ht="15.75" customHeight="1">
      <c r="A57" s="949"/>
      <c r="B57" s="102" t="s">
        <v>29</v>
      </c>
      <c r="C57" s="126">
        <v>1</v>
      </c>
      <c r="D57" s="127"/>
      <c r="E57" s="110">
        <v>0</v>
      </c>
      <c r="F57" s="105">
        <f t="shared" si="102"/>
        <v>0</v>
      </c>
      <c r="G57" s="949"/>
      <c r="H57" s="102" t="s">
        <v>29</v>
      </c>
      <c r="I57" s="126">
        <v>1</v>
      </c>
      <c r="J57" s="127"/>
      <c r="K57" s="110">
        <v>0</v>
      </c>
      <c r="L57" s="105">
        <f t="shared" si="103"/>
        <v>0</v>
      </c>
      <c r="M57" s="949"/>
      <c r="N57" s="102" t="s">
        <v>29</v>
      </c>
      <c r="O57" s="102">
        <f>C57-I57</f>
        <v>0</v>
      </c>
      <c r="P57" s="127"/>
      <c r="Q57" s="107">
        <f>E57-K57</f>
        <v>0</v>
      </c>
      <c r="R57" s="105" t="e">
        <f t="shared" si="105"/>
        <v>#DIV/0!</v>
      </c>
    </row>
    <row r="58" spans="1:18" ht="15.75" customHeight="1">
      <c r="A58" s="950"/>
      <c r="B58" s="118" t="s">
        <v>25</v>
      </c>
      <c r="C58" s="115">
        <f t="shared" ref="C58:E58" si="107">SUM(C55:C57)</f>
        <v>3053424</v>
      </c>
      <c r="D58" s="115">
        <f t="shared" si="107"/>
        <v>2420063</v>
      </c>
      <c r="E58" s="115">
        <f t="shared" si="107"/>
        <v>71012</v>
      </c>
      <c r="F58" s="116">
        <f t="shared" si="102"/>
        <v>2.3256514653713339E-2</v>
      </c>
      <c r="G58" s="950"/>
      <c r="H58" s="118" t="s">
        <v>25</v>
      </c>
      <c r="I58" s="115">
        <f t="shared" ref="I58:K58" si="108">SUM(I55:I57)</f>
        <v>1005</v>
      </c>
      <c r="J58" s="115">
        <f t="shared" si="108"/>
        <v>753</v>
      </c>
      <c r="K58" s="115">
        <f t="shared" si="108"/>
        <v>0</v>
      </c>
      <c r="L58" s="116">
        <f t="shared" si="103"/>
        <v>0</v>
      </c>
      <c r="M58" s="950"/>
      <c r="N58" s="118" t="s">
        <v>25</v>
      </c>
      <c r="O58" s="115">
        <f t="shared" ref="O58:Q58" si="109">SUM(O55:O56)</f>
        <v>3052419</v>
      </c>
      <c r="P58" s="115">
        <f t="shared" si="109"/>
        <v>2419310</v>
      </c>
      <c r="Q58" s="115">
        <f t="shared" si="109"/>
        <v>71012</v>
      </c>
      <c r="R58" s="105">
        <f t="shared" si="105"/>
        <v>2.326417179292882E-2</v>
      </c>
    </row>
    <row r="59" spans="1:18" ht="15.75" customHeight="1">
      <c r="A59" s="954"/>
      <c r="B59" s="928"/>
      <c r="C59" s="928"/>
      <c r="D59" s="928"/>
      <c r="E59" s="928"/>
      <c r="F59" s="955"/>
      <c r="G59" s="954"/>
      <c r="H59" s="928"/>
      <c r="I59" s="928"/>
      <c r="J59" s="928"/>
      <c r="K59" s="928"/>
      <c r="L59" s="955"/>
      <c r="M59" s="954"/>
      <c r="N59" s="928"/>
      <c r="O59" s="928"/>
      <c r="P59" s="928"/>
      <c r="Q59" s="928"/>
      <c r="R59" s="955"/>
    </row>
    <row r="60" spans="1:18" ht="15.75" customHeight="1">
      <c r="A60" s="948" t="s">
        <v>44</v>
      </c>
      <c r="B60" s="95" t="s">
        <v>21</v>
      </c>
      <c r="C60" s="99">
        <v>368321</v>
      </c>
      <c r="D60" s="99">
        <f>C60</f>
        <v>368321</v>
      </c>
      <c r="E60" s="97">
        <v>3186</v>
      </c>
      <c r="F60" s="98">
        <f t="shared" ref="F60:F64" si="110">E60/C60</f>
        <v>8.6500633957879141E-3</v>
      </c>
      <c r="G60" s="948" t="s">
        <v>44</v>
      </c>
      <c r="H60" s="95" t="s">
        <v>21</v>
      </c>
      <c r="I60" s="99">
        <v>350210</v>
      </c>
      <c r="J60" s="99">
        <f>I60</f>
        <v>350210</v>
      </c>
      <c r="K60" s="97">
        <v>3186</v>
      </c>
      <c r="L60" s="98">
        <f t="shared" ref="L60:L64" si="111">K60/I60</f>
        <v>9.0973987036349624E-3</v>
      </c>
      <c r="M60" s="948" t="s">
        <v>44</v>
      </c>
      <c r="N60" s="95" t="s">
        <v>21</v>
      </c>
      <c r="O60" s="102">
        <f t="shared" ref="O60:Q60" si="112">C60-I60</f>
        <v>18111</v>
      </c>
      <c r="P60" s="102">
        <f t="shared" si="112"/>
        <v>18111</v>
      </c>
      <c r="Q60" s="107">
        <f t="shared" si="112"/>
        <v>0</v>
      </c>
      <c r="R60" s="105">
        <f t="shared" ref="R60:R64" si="113">Q60/O60</f>
        <v>0</v>
      </c>
    </row>
    <row r="61" spans="1:18" ht="15.75" customHeight="1">
      <c r="A61" s="949"/>
      <c r="B61" s="102" t="s">
        <v>28</v>
      </c>
      <c r="C61" s="106">
        <v>33979</v>
      </c>
      <c r="D61" s="106">
        <f t="shared" ref="D61:D62" si="114">SUM(ROUND(C61*50%,0))</f>
        <v>16990</v>
      </c>
      <c r="E61" s="104">
        <v>0</v>
      </c>
      <c r="F61" s="105">
        <f t="shared" si="110"/>
        <v>0</v>
      </c>
      <c r="G61" s="949"/>
      <c r="H61" s="102" t="s">
        <v>28</v>
      </c>
      <c r="I61" s="106">
        <v>0</v>
      </c>
      <c r="J61" s="106">
        <f t="shared" ref="J61:J62" si="115">SUM(ROUND(I61*50%,0))</f>
        <v>0</v>
      </c>
      <c r="K61" s="104">
        <v>0</v>
      </c>
      <c r="L61" s="105" t="e">
        <f t="shared" si="111"/>
        <v>#DIV/0!</v>
      </c>
      <c r="M61" s="949"/>
      <c r="N61" s="102" t="s">
        <v>28</v>
      </c>
      <c r="O61" s="102">
        <f t="shared" ref="O61:Q61" si="116">C61-I61</f>
        <v>33979</v>
      </c>
      <c r="P61" s="102">
        <f t="shared" si="116"/>
        <v>16990</v>
      </c>
      <c r="Q61" s="107">
        <f t="shared" si="116"/>
        <v>0</v>
      </c>
      <c r="R61" s="105">
        <f t="shared" si="113"/>
        <v>0</v>
      </c>
    </row>
    <row r="62" spans="1:18" ht="15.75" customHeight="1">
      <c r="A62" s="949"/>
      <c r="B62" s="102" t="s">
        <v>31</v>
      </c>
      <c r="C62" s="106">
        <v>104631</v>
      </c>
      <c r="D62" s="106">
        <f t="shared" si="114"/>
        <v>52316</v>
      </c>
      <c r="E62" s="104">
        <v>0</v>
      </c>
      <c r="F62" s="105">
        <f t="shared" si="110"/>
        <v>0</v>
      </c>
      <c r="G62" s="949"/>
      <c r="H62" s="102" t="s">
        <v>31</v>
      </c>
      <c r="I62" s="106">
        <v>84000</v>
      </c>
      <c r="J62" s="106">
        <f t="shared" si="115"/>
        <v>42000</v>
      </c>
      <c r="K62" s="104">
        <v>0</v>
      </c>
      <c r="L62" s="105">
        <f t="shared" si="111"/>
        <v>0</v>
      </c>
      <c r="M62" s="949"/>
      <c r="N62" s="102" t="s">
        <v>31</v>
      </c>
      <c r="O62" s="102">
        <f t="shared" ref="O62:Q62" si="117">C62-I62</f>
        <v>20631</v>
      </c>
      <c r="P62" s="102">
        <f t="shared" si="117"/>
        <v>10316</v>
      </c>
      <c r="Q62" s="107">
        <f t="shared" si="117"/>
        <v>0</v>
      </c>
      <c r="R62" s="105">
        <f t="shared" si="113"/>
        <v>0</v>
      </c>
    </row>
    <row r="63" spans="1:18" ht="15.75" customHeight="1">
      <c r="A63" s="949"/>
      <c r="B63" s="122" t="s">
        <v>32</v>
      </c>
      <c r="C63" s="123">
        <v>495422</v>
      </c>
      <c r="D63" s="106">
        <f>SUM(ROUND(C63*75%,0))</f>
        <v>371567</v>
      </c>
      <c r="E63" s="104">
        <v>3074</v>
      </c>
      <c r="F63" s="105">
        <f t="shared" si="110"/>
        <v>6.2048112518216791E-3</v>
      </c>
      <c r="G63" s="949"/>
      <c r="H63" s="122" t="s">
        <v>32</v>
      </c>
      <c r="I63" s="123">
        <v>76700</v>
      </c>
      <c r="J63" s="106">
        <f>SUM(ROUND(I63*75%,0))</f>
        <v>57525</v>
      </c>
      <c r="K63" s="104">
        <v>0</v>
      </c>
      <c r="L63" s="105">
        <f t="shared" si="111"/>
        <v>0</v>
      </c>
      <c r="M63" s="949"/>
      <c r="N63" s="122" t="s">
        <v>32</v>
      </c>
      <c r="O63" s="102">
        <f t="shared" ref="O63:Q63" si="118">C63-I63</f>
        <v>418722</v>
      </c>
      <c r="P63" s="102">
        <f t="shared" si="118"/>
        <v>314042</v>
      </c>
      <c r="Q63" s="107">
        <f t="shared" si="118"/>
        <v>3074</v>
      </c>
      <c r="R63" s="105">
        <f t="shared" si="113"/>
        <v>7.3413864091210878E-3</v>
      </c>
    </row>
    <row r="64" spans="1:18" ht="15.75" customHeight="1">
      <c r="A64" s="950"/>
      <c r="B64" s="118" t="s">
        <v>25</v>
      </c>
      <c r="C64" s="115">
        <f t="shared" ref="C64:E64" si="119">SUM(C60:C63)</f>
        <v>1002353</v>
      </c>
      <c r="D64" s="115">
        <f t="shared" si="119"/>
        <v>809194</v>
      </c>
      <c r="E64" s="115">
        <f t="shared" si="119"/>
        <v>6260</v>
      </c>
      <c r="F64" s="116">
        <f t="shared" si="110"/>
        <v>6.2453047978107516E-3</v>
      </c>
      <c r="G64" s="950"/>
      <c r="H64" s="118" t="s">
        <v>25</v>
      </c>
      <c r="I64" s="115">
        <f t="shared" ref="I64:K64" si="120">SUM(I60:I63)</f>
        <v>510910</v>
      </c>
      <c r="J64" s="115">
        <f t="shared" si="120"/>
        <v>449735</v>
      </c>
      <c r="K64" s="115">
        <f t="shared" si="120"/>
        <v>3186</v>
      </c>
      <c r="L64" s="116">
        <f t="shared" si="111"/>
        <v>6.2359319645338713E-3</v>
      </c>
      <c r="M64" s="950"/>
      <c r="N64" s="118" t="s">
        <v>25</v>
      </c>
      <c r="O64" s="115">
        <f t="shared" ref="O64:Q64" si="121">SUM(O60:O63)</f>
        <v>491443</v>
      </c>
      <c r="P64" s="115">
        <f t="shared" si="121"/>
        <v>359459</v>
      </c>
      <c r="Q64" s="115">
        <f t="shared" si="121"/>
        <v>3074</v>
      </c>
      <c r="R64" s="105">
        <f t="shared" si="113"/>
        <v>6.2550489069943009E-3</v>
      </c>
    </row>
    <row r="65" spans="1:18" ht="15.75" customHeight="1">
      <c r="A65" s="954"/>
      <c r="B65" s="928"/>
      <c r="C65" s="928"/>
      <c r="D65" s="928"/>
      <c r="E65" s="928"/>
      <c r="F65" s="955"/>
      <c r="G65" s="954"/>
      <c r="H65" s="928"/>
      <c r="I65" s="928"/>
      <c r="J65" s="928"/>
      <c r="K65" s="928"/>
      <c r="L65" s="955"/>
      <c r="M65" s="954"/>
      <c r="N65" s="928"/>
      <c r="O65" s="928"/>
      <c r="P65" s="928"/>
      <c r="Q65" s="928"/>
      <c r="R65" s="955"/>
    </row>
    <row r="66" spans="1:18" ht="15.75" customHeight="1">
      <c r="A66" s="948" t="s">
        <v>45</v>
      </c>
      <c r="B66" s="95" t="s">
        <v>21</v>
      </c>
      <c r="C66" s="99">
        <v>83415</v>
      </c>
      <c r="D66" s="99">
        <f>C66</f>
        <v>83415</v>
      </c>
      <c r="E66" s="97">
        <v>50408</v>
      </c>
      <c r="F66" s="128">
        <f t="shared" ref="F66:F70" si="122">E66/C66</f>
        <v>0.60430378229335246</v>
      </c>
      <c r="G66" s="948" t="s">
        <v>45</v>
      </c>
      <c r="H66" s="95" t="s">
        <v>21</v>
      </c>
      <c r="I66" s="99">
        <v>0</v>
      </c>
      <c r="J66" s="99">
        <f>I66</f>
        <v>0</v>
      </c>
      <c r="K66" s="97">
        <v>0</v>
      </c>
      <c r="L66" s="98" t="e">
        <f t="shared" ref="L66:L70" si="123">K66/I66</f>
        <v>#DIV/0!</v>
      </c>
      <c r="M66" s="948" t="s">
        <v>45</v>
      </c>
      <c r="N66" s="95" t="s">
        <v>21</v>
      </c>
      <c r="O66" s="102">
        <f t="shared" ref="O66:Q66" si="124">C66-I66</f>
        <v>83415</v>
      </c>
      <c r="P66" s="102">
        <f t="shared" si="124"/>
        <v>83415</v>
      </c>
      <c r="Q66" s="107">
        <f t="shared" si="124"/>
        <v>50408</v>
      </c>
      <c r="R66" s="105">
        <f t="shared" ref="R66:R70" si="125">Q66/O66</f>
        <v>0.60430378229335246</v>
      </c>
    </row>
    <row r="67" spans="1:18" ht="15.75" customHeight="1">
      <c r="A67" s="949"/>
      <c r="B67" s="102" t="s">
        <v>28</v>
      </c>
      <c r="C67" s="106">
        <v>19235</v>
      </c>
      <c r="D67" s="106">
        <f t="shared" ref="D67:D68" si="126">SUM(ROUND(C67*50%,0))</f>
        <v>9618</v>
      </c>
      <c r="E67" s="104">
        <v>40693</v>
      </c>
      <c r="F67" s="128">
        <f t="shared" si="122"/>
        <v>2.1155705744736157</v>
      </c>
      <c r="G67" s="949"/>
      <c r="H67" s="102" t="s">
        <v>28</v>
      </c>
      <c r="I67" s="106">
        <v>0</v>
      </c>
      <c r="J67" s="106">
        <f t="shared" ref="J67:J68" si="127">SUM(ROUND(I67*50%,0))</f>
        <v>0</v>
      </c>
      <c r="K67" s="104">
        <v>0</v>
      </c>
      <c r="L67" s="105" t="e">
        <f t="shared" si="123"/>
        <v>#DIV/0!</v>
      </c>
      <c r="M67" s="949"/>
      <c r="N67" s="102" t="s">
        <v>28</v>
      </c>
      <c r="O67" s="102">
        <f t="shared" ref="O67:Q67" si="128">C67-I67</f>
        <v>19235</v>
      </c>
      <c r="P67" s="102">
        <f t="shared" si="128"/>
        <v>9618</v>
      </c>
      <c r="Q67" s="107">
        <f t="shared" si="128"/>
        <v>40693</v>
      </c>
      <c r="R67" s="105">
        <f t="shared" si="125"/>
        <v>2.1155705744736157</v>
      </c>
    </row>
    <row r="68" spans="1:18" ht="15.75" customHeight="1">
      <c r="A68" s="949"/>
      <c r="B68" s="102" t="s">
        <v>31</v>
      </c>
      <c r="C68" s="106">
        <v>40499</v>
      </c>
      <c r="D68" s="106">
        <f t="shared" si="126"/>
        <v>20250</v>
      </c>
      <c r="E68" s="104">
        <v>9365</v>
      </c>
      <c r="F68" s="128">
        <f t="shared" si="122"/>
        <v>0.23124027753771698</v>
      </c>
      <c r="G68" s="949"/>
      <c r="H68" s="102" t="s">
        <v>31</v>
      </c>
      <c r="I68" s="106">
        <v>0</v>
      </c>
      <c r="J68" s="106">
        <f t="shared" si="127"/>
        <v>0</v>
      </c>
      <c r="K68" s="104">
        <v>0</v>
      </c>
      <c r="L68" s="105" t="e">
        <f t="shared" si="123"/>
        <v>#DIV/0!</v>
      </c>
      <c r="M68" s="949"/>
      <c r="N68" s="102" t="s">
        <v>31</v>
      </c>
      <c r="O68" s="102">
        <f t="shared" ref="O68:Q68" si="129">C68-I68</f>
        <v>40499</v>
      </c>
      <c r="P68" s="102">
        <f t="shared" si="129"/>
        <v>20250</v>
      </c>
      <c r="Q68" s="107">
        <f t="shared" si="129"/>
        <v>9365</v>
      </c>
      <c r="R68" s="105">
        <f t="shared" si="125"/>
        <v>0.23124027753771698</v>
      </c>
    </row>
    <row r="69" spans="1:18" ht="15.75" customHeight="1">
      <c r="A69" s="949"/>
      <c r="B69" s="122" t="s">
        <v>32</v>
      </c>
      <c r="C69" s="123">
        <v>184800</v>
      </c>
      <c r="D69" s="106">
        <f>SUM(ROUND(C69*75%,0))</f>
        <v>138600</v>
      </c>
      <c r="E69" s="104">
        <v>0</v>
      </c>
      <c r="F69" s="128">
        <f t="shared" si="122"/>
        <v>0</v>
      </c>
      <c r="G69" s="949"/>
      <c r="H69" s="122" t="s">
        <v>32</v>
      </c>
      <c r="I69" s="123">
        <v>0</v>
      </c>
      <c r="J69" s="106">
        <f>SUM(ROUND(I69*75%,0))</f>
        <v>0</v>
      </c>
      <c r="K69" s="104">
        <v>0</v>
      </c>
      <c r="L69" s="105" t="e">
        <f t="shared" si="123"/>
        <v>#DIV/0!</v>
      </c>
      <c r="M69" s="949"/>
      <c r="N69" s="122" t="s">
        <v>32</v>
      </c>
      <c r="O69" s="102">
        <f t="shared" ref="O69:Q69" si="130">C69-I69</f>
        <v>184800</v>
      </c>
      <c r="P69" s="102">
        <f t="shared" si="130"/>
        <v>138600</v>
      </c>
      <c r="Q69" s="107">
        <f t="shared" si="130"/>
        <v>0</v>
      </c>
      <c r="R69" s="105">
        <f t="shared" si="125"/>
        <v>0</v>
      </c>
    </row>
    <row r="70" spans="1:18" ht="15.75" customHeight="1">
      <c r="A70" s="950"/>
      <c r="B70" s="118" t="s">
        <v>25</v>
      </c>
      <c r="C70" s="115">
        <f t="shared" ref="C70:E70" si="131">SUM(C66:C69)</f>
        <v>327949</v>
      </c>
      <c r="D70" s="115">
        <f t="shared" si="131"/>
        <v>251883</v>
      </c>
      <c r="E70" s="121">
        <f t="shared" si="131"/>
        <v>100466</v>
      </c>
      <c r="F70" s="129">
        <f t="shared" si="122"/>
        <v>0.30634641361919079</v>
      </c>
      <c r="G70" s="950"/>
      <c r="H70" s="118" t="s">
        <v>25</v>
      </c>
      <c r="I70" s="115">
        <f t="shared" ref="I70:K70" si="132">SUM(I66:I69)</f>
        <v>0</v>
      </c>
      <c r="J70" s="115">
        <f t="shared" si="132"/>
        <v>0</v>
      </c>
      <c r="K70" s="121">
        <f t="shared" si="132"/>
        <v>0</v>
      </c>
      <c r="L70" s="116" t="e">
        <f t="shared" si="123"/>
        <v>#DIV/0!</v>
      </c>
      <c r="M70" s="950"/>
      <c r="N70" s="118" t="s">
        <v>25</v>
      </c>
      <c r="O70" s="115">
        <f t="shared" ref="O70:Q70" si="133">SUM(O66:O69)</f>
        <v>327949</v>
      </c>
      <c r="P70" s="115">
        <f t="shared" si="133"/>
        <v>251883</v>
      </c>
      <c r="Q70" s="115">
        <f t="shared" si="133"/>
        <v>100466</v>
      </c>
      <c r="R70" s="105">
        <f t="shared" si="125"/>
        <v>0.30634641361919079</v>
      </c>
    </row>
    <row r="71" spans="1:18" ht="15.75" customHeight="1">
      <c r="A71" s="954"/>
      <c r="B71" s="928"/>
      <c r="C71" s="928"/>
      <c r="D71" s="928"/>
      <c r="E71" s="928"/>
      <c r="F71" s="955"/>
      <c r="G71" s="954"/>
      <c r="H71" s="928"/>
      <c r="I71" s="928"/>
      <c r="J71" s="928"/>
      <c r="K71" s="928"/>
      <c r="L71" s="955"/>
      <c r="M71" s="954"/>
      <c r="N71" s="928"/>
      <c r="O71" s="928"/>
      <c r="P71" s="928"/>
      <c r="Q71" s="928"/>
      <c r="R71" s="955"/>
    </row>
    <row r="72" spans="1:18" ht="15.75" customHeight="1">
      <c r="A72" s="948" t="s">
        <v>47</v>
      </c>
      <c r="B72" s="95" t="s">
        <v>21</v>
      </c>
      <c r="C72" s="99">
        <v>286580</v>
      </c>
      <c r="D72" s="99">
        <f>C72</f>
        <v>286580</v>
      </c>
      <c r="E72" s="97">
        <v>19013</v>
      </c>
      <c r="F72" s="98">
        <f t="shared" ref="F72:F77" si="134">E72/C72</f>
        <v>6.634447623700189E-2</v>
      </c>
      <c r="G72" s="948" t="s">
        <v>47</v>
      </c>
      <c r="H72" s="95" t="s">
        <v>21</v>
      </c>
      <c r="I72" s="99">
        <v>100000</v>
      </c>
      <c r="J72" s="99">
        <f>I72</f>
        <v>100000</v>
      </c>
      <c r="K72" s="97">
        <v>0</v>
      </c>
      <c r="L72" s="98">
        <f t="shared" ref="L72:L77" si="135">K72/I72</f>
        <v>0</v>
      </c>
      <c r="M72" s="948" t="s">
        <v>47</v>
      </c>
      <c r="N72" s="95" t="s">
        <v>21</v>
      </c>
      <c r="O72" s="95">
        <f t="shared" ref="O72:Q72" si="136">C72-I72</f>
        <v>186580</v>
      </c>
      <c r="P72" s="106">
        <f t="shared" si="136"/>
        <v>186580</v>
      </c>
      <c r="Q72" s="95">
        <f t="shared" si="136"/>
        <v>19013</v>
      </c>
      <c r="R72" s="105">
        <f t="shared" ref="R72:R77" si="137">Q72/O72</f>
        <v>0.10190266909636617</v>
      </c>
    </row>
    <row r="73" spans="1:18" ht="15.75" customHeight="1">
      <c r="A73" s="949"/>
      <c r="B73" s="102" t="s">
        <v>28</v>
      </c>
      <c r="C73" s="106">
        <v>91000</v>
      </c>
      <c r="D73" s="106">
        <f t="shared" ref="D73:D74" si="138">SUM(ROUND(C73*50%,0))</f>
        <v>45500</v>
      </c>
      <c r="E73" s="104">
        <v>638</v>
      </c>
      <c r="F73" s="105">
        <f t="shared" si="134"/>
        <v>7.0109890109890114E-3</v>
      </c>
      <c r="G73" s="949"/>
      <c r="H73" s="102" t="s">
        <v>28</v>
      </c>
      <c r="I73" s="106">
        <v>57500</v>
      </c>
      <c r="J73" s="106">
        <f t="shared" ref="J73:J74" si="139">SUM(ROUND(I73*50%,0))</f>
        <v>28750</v>
      </c>
      <c r="K73" s="104">
        <v>200</v>
      </c>
      <c r="L73" s="105">
        <f t="shared" si="135"/>
        <v>3.4782608695652175E-3</v>
      </c>
      <c r="M73" s="949"/>
      <c r="N73" s="102" t="s">
        <v>28</v>
      </c>
      <c r="O73" s="102">
        <f t="shared" ref="O73:Q73" si="140">C73-I73</f>
        <v>33500</v>
      </c>
      <c r="P73" s="106">
        <f t="shared" si="140"/>
        <v>16750</v>
      </c>
      <c r="Q73" s="102">
        <f t="shared" si="140"/>
        <v>438</v>
      </c>
      <c r="R73" s="105">
        <f t="shared" si="137"/>
        <v>1.3074626865671641E-2</v>
      </c>
    </row>
    <row r="74" spans="1:18" ht="15.75" customHeight="1">
      <c r="A74" s="949"/>
      <c r="B74" s="102" t="s">
        <v>31</v>
      </c>
      <c r="C74" s="106">
        <v>81006</v>
      </c>
      <c r="D74" s="106">
        <f t="shared" si="138"/>
        <v>40503</v>
      </c>
      <c r="E74" s="104">
        <v>12923</v>
      </c>
      <c r="F74" s="105">
        <f t="shared" si="134"/>
        <v>0.15953139273634051</v>
      </c>
      <c r="G74" s="949"/>
      <c r="H74" s="102" t="s">
        <v>31</v>
      </c>
      <c r="I74" s="106">
        <v>34006</v>
      </c>
      <c r="J74" s="106">
        <f t="shared" si="139"/>
        <v>17003</v>
      </c>
      <c r="K74" s="104">
        <v>9859</v>
      </c>
      <c r="L74" s="105">
        <f t="shared" si="135"/>
        <v>0.28991942598364995</v>
      </c>
      <c r="M74" s="949"/>
      <c r="N74" s="102" t="s">
        <v>31</v>
      </c>
      <c r="O74" s="102">
        <f t="shared" ref="O74:Q74" si="141">C74-I74</f>
        <v>47000</v>
      </c>
      <c r="P74" s="106">
        <f t="shared" si="141"/>
        <v>23500</v>
      </c>
      <c r="Q74" s="102">
        <f t="shared" si="141"/>
        <v>3064</v>
      </c>
      <c r="R74" s="105">
        <f t="shared" si="137"/>
        <v>6.5191489361702132E-2</v>
      </c>
    </row>
    <row r="75" spans="1:18" ht="15.75" customHeight="1">
      <c r="A75" s="949"/>
      <c r="B75" s="122" t="s">
        <v>32</v>
      </c>
      <c r="C75" s="123">
        <v>125000</v>
      </c>
      <c r="D75" s="106">
        <f>SUM(ROUND(C75*75%,0))</f>
        <v>93750</v>
      </c>
      <c r="E75" s="104">
        <v>492</v>
      </c>
      <c r="F75" s="105">
        <f t="shared" si="134"/>
        <v>3.9360000000000003E-3</v>
      </c>
      <c r="G75" s="949"/>
      <c r="H75" s="122" t="s">
        <v>32</v>
      </c>
      <c r="I75" s="123">
        <v>0</v>
      </c>
      <c r="J75" s="106">
        <f>SUM(ROUND(I75*75%,0))</f>
        <v>0</v>
      </c>
      <c r="K75" s="104">
        <v>0</v>
      </c>
      <c r="L75" s="105" t="e">
        <f t="shared" si="135"/>
        <v>#DIV/0!</v>
      </c>
      <c r="M75" s="949"/>
      <c r="N75" s="122" t="s">
        <v>32</v>
      </c>
      <c r="O75" s="102">
        <f t="shared" ref="O75:Q75" si="142">C75-I75</f>
        <v>125000</v>
      </c>
      <c r="P75" s="106">
        <f t="shared" si="142"/>
        <v>93750</v>
      </c>
      <c r="Q75" s="102">
        <f t="shared" si="142"/>
        <v>492</v>
      </c>
      <c r="R75" s="105">
        <f t="shared" si="137"/>
        <v>3.9360000000000003E-3</v>
      </c>
    </row>
    <row r="76" spans="1:18" ht="15.75" customHeight="1">
      <c r="A76" s="949"/>
      <c r="B76" s="102" t="s">
        <v>29</v>
      </c>
      <c r="C76" s="126">
        <v>10000</v>
      </c>
      <c r="D76" s="127"/>
      <c r="E76" s="110">
        <v>0</v>
      </c>
      <c r="F76" s="105">
        <f t="shared" si="134"/>
        <v>0</v>
      </c>
      <c r="G76" s="949"/>
      <c r="H76" s="102" t="s">
        <v>29</v>
      </c>
      <c r="I76" s="126">
        <v>0</v>
      </c>
      <c r="J76" s="127"/>
      <c r="K76" s="110">
        <v>0</v>
      </c>
      <c r="L76" s="105" t="e">
        <f t="shared" si="135"/>
        <v>#DIV/0!</v>
      </c>
      <c r="M76" s="949"/>
      <c r="N76" s="102" t="s">
        <v>29</v>
      </c>
      <c r="O76" s="102">
        <f>C76-I76</f>
        <v>10000</v>
      </c>
      <c r="P76" s="127"/>
      <c r="Q76" s="102">
        <f>E76-K76</f>
        <v>0</v>
      </c>
      <c r="R76" s="105">
        <f t="shared" si="137"/>
        <v>0</v>
      </c>
    </row>
    <row r="77" spans="1:18" ht="15.75" customHeight="1">
      <c r="A77" s="950"/>
      <c r="B77" s="118" t="s">
        <v>25</v>
      </c>
      <c r="C77" s="115">
        <f>SUM(C72:C76)</f>
        <v>593586</v>
      </c>
      <c r="D77" s="115">
        <f>SUM(D72:D75)</f>
        <v>466333</v>
      </c>
      <c r="E77" s="121">
        <f>SUM(E72:E76)</f>
        <v>33066</v>
      </c>
      <c r="F77" s="116">
        <f t="shared" si="134"/>
        <v>5.570549170634078E-2</v>
      </c>
      <c r="G77" s="950"/>
      <c r="H77" s="118" t="s">
        <v>25</v>
      </c>
      <c r="I77" s="115">
        <f>SUM(I72:I76)</f>
        <v>191506</v>
      </c>
      <c r="J77" s="115">
        <f>SUM(J72:J75)</f>
        <v>145753</v>
      </c>
      <c r="K77" s="121">
        <f>SUM(K72:K76)</f>
        <v>10059</v>
      </c>
      <c r="L77" s="116">
        <f t="shared" si="135"/>
        <v>5.2525769427589734E-2</v>
      </c>
      <c r="M77" s="950"/>
      <c r="N77" s="118" t="s">
        <v>25</v>
      </c>
      <c r="O77" s="118">
        <f t="shared" ref="O77:Q77" si="143">SUM(O72:O75)</f>
        <v>392080</v>
      </c>
      <c r="P77" s="115">
        <f t="shared" si="143"/>
        <v>320580</v>
      </c>
      <c r="Q77" s="118">
        <f t="shared" si="143"/>
        <v>23007</v>
      </c>
      <c r="R77" s="105">
        <f t="shared" si="137"/>
        <v>5.8679351152825951E-2</v>
      </c>
    </row>
    <row r="78" spans="1:18" ht="15.75" customHeight="1">
      <c r="A78" s="954"/>
      <c r="B78" s="928"/>
      <c r="C78" s="928"/>
      <c r="D78" s="928"/>
      <c r="E78" s="928"/>
      <c r="F78" s="955"/>
      <c r="G78" s="954"/>
      <c r="H78" s="928"/>
      <c r="I78" s="928"/>
      <c r="J78" s="928"/>
      <c r="K78" s="928"/>
      <c r="L78" s="955"/>
      <c r="M78" s="954"/>
      <c r="N78" s="928"/>
      <c r="O78" s="928"/>
      <c r="P78" s="928"/>
      <c r="Q78" s="928"/>
      <c r="R78" s="955"/>
    </row>
    <row r="79" spans="1:18" ht="15.75" customHeight="1">
      <c r="A79" s="948" t="s">
        <v>52</v>
      </c>
      <c r="B79" s="95" t="s">
        <v>21</v>
      </c>
      <c r="C79" s="99">
        <v>71102</v>
      </c>
      <c r="D79" s="99">
        <f>C79</f>
        <v>71102</v>
      </c>
      <c r="E79" s="97">
        <v>563</v>
      </c>
      <c r="F79" s="98">
        <f t="shared" ref="F79:F82" si="144">E79/C79</f>
        <v>7.918202019633766E-3</v>
      </c>
      <c r="G79" s="948" t="s">
        <v>52</v>
      </c>
      <c r="H79" s="95" t="s">
        <v>21</v>
      </c>
      <c r="I79" s="99">
        <v>102</v>
      </c>
      <c r="J79" s="99">
        <f>I79</f>
        <v>102</v>
      </c>
      <c r="K79" s="97">
        <v>0</v>
      </c>
      <c r="L79" s="98">
        <f t="shared" ref="L79:L82" si="145">K79/I79</f>
        <v>0</v>
      </c>
      <c r="M79" s="948" t="s">
        <v>52</v>
      </c>
      <c r="N79" s="95" t="s">
        <v>21</v>
      </c>
      <c r="O79" s="102">
        <f t="shared" ref="O79:Q79" si="146">C79-I79</f>
        <v>71000</v>
      </c>
      <c r="P79" s="102">
        <f t="shared" si="146"/>
        <v>71000</v>
      </c>
      <c r="Q79" s="107">
        <f t="shared" si="146"/>
        <v>563</v>
      </c>
      <c r="R79" s="105">
        <f t="shared" ref="R79:R82" si="147">Q79/O79</f>
        <v>7.929577464788732E-3</v>
      </c>
    </row>
    <row r="80" spans="1:18" ht="15.75" customHeight="1">
      <c r="A80" s="949"/>
      <c r="B80" s="102" t="s">
        <v>102</v>
      </c>
      <c r="C80" s="106">
        <v>196016</v>
      </c>
      <c r="D80" s="106">
        <f t="shared" ref="D80:D81" si="148">SUM(ROUND(C80*50%,0))</f>
        <v>98008</v>
      </c>
      <c r="E80" s="104">
        <v>25695</v>
      </c>
      <c r="F80" s="105">
        <f t="shared" si="144"/>
        <v>0.13108623785813403</v>
      </c>
      <c r="G80" s="949"/>
      <c r="H80" s="102" t="s">
        <v>102</v>
      </c>
      <c r="I80" s="106">
        <v>87509</v>
      </c>
      <c r="J80" s="106">
        <f t="shared" ref="J80:J81" si="149">SUM(ROUND(I80*50%,0))</f>
        <v>43755</v>
      </c>
      <c r="K80" s="104">
        <v>16853</v>
      </c>
      <c r="L80" s="105">
        <f t="shared" si="145"/>
        <v>0.19258590544972518</v>
      </c>
      <c r="M80" s="949"/>
      <c r="N80" s="102" t="s">
        <v>102</v>
      </c>
      <c r="O80" s="102">
        <f t="shared" ref="O80:Q80" si="150">C80-I80</f>
        <v>108507</v>
      </c>
      <c r="P80" s="102">
        <f t="shared" si="150"/>
        <v>54253</v>
      </c>
      <c r="Q80" s="107">
        <f t="shared" si="150"/>
        <v>8842</v>
      </c>
      <c r="R80" s="105">
        <f t="shared" si="147"/>
        <v>8.1487830278230894E-2</v>
      </c>
    </row>
    <row r="81" spans="1:18" ht="15.75" customHeight="1">
      <c r="A81" s="949"/>
      <c r="B81" s="102" t="s">
        <v>31</v>
      </c>
      <c r="C81" s="106">
        <v>43025</v>
      </c>
      <c r="D81" s="106">
        <f t="shared" si="148"/>
        <v>21513</v>
      </c>
      <c r="E81" s="104">
        <v>0</v>
      </c>
      <c r="F81" s="105">
        <f t="shared" si="144"/>
        <v>0</v>
      </c>
      <c r="G81" s="949"/>
      <c r="H81" s="102" t="s">
        <v>31</v>
      </c>
      <c r="I81" s="106">
        <v>203</v>
      </c>
      <c r="J81" s="106">
        <f t="shared" si="149"/>
        <v>102</v>
      </c>
      <c r="K81" s="104">
        <v>0</v>
      </c>
      <c r="L81" s="105">
        <f t="shared" si="145"/>
        <v>0</v>
      </c>
      <c r="M81" s="949"/>
      <c r="N81" s="102" t="s">
        <v>31</v>
      </c>
      <c r="O81" s="102">
        <f t="shared" ref="O81:Q81" si="151">C81-I81</f>
        <v>42822</v>
      </c>
      <c r="P81" s="102">
        <f t="shared" si="151"/>
        <v>21411</v>
      </c>
      <c r="Q81" s="107">
        <f t="shared" si="151"/>
        <v>0</v>
      </c>
      <c r="R81" s="105">
        <f t="shared" si="147"/>
        <v>0</v>
      </c>
    </row>
    <row r="82" spans="1:18" ht="15.75" customHeight="1">
      <c r="A82" s="950"/>
      <c r="B82" s="118" t="s">
        <v>25</v>
      </c>
      <c r="C82" s="115">
        <f t="shared" ref="C82:E82" si="152">SUM(C79:C81)</f>
        <v>310143</v>
      </c>
      <c r="D82" s="115">
        <f t="shared" si="152"/>
        <v>190623</v>
      </c>
      <c r="E82" s="121">
        <f t="shared" si="152"/>
        <v>26258</v>
      </c>
      <c r="F82" s="116">
        <f t="shared" si="144"/>
        <v>8.4664171043679848E-2</v>
      </c>
      <c r="G82" s="950"/>
      <c r="H82" s="118" t="s">
        <v>25</v>
      </c>
      <c r="I82" s="115">
        <f t="shared" ref="I82:K82" si="153">SUM(I79:I81)</f>
        <v>87814</v>
      </c>
      <c r="J82" s="115">
        <f t="shared" si="153"/>
        <v>43959</v>
      </c>
      <c r="K82" s="121">
        <f t="shared" si="153"/>
        <v>16853</v>
      </c>
      <c r="L82" s="116">
        <f t="shared" si="145"/>
        <v>0.19191700639989068</v>
      </c>
      <c r="M82" s="950"/>
      <c r="N82" s="118" t="s">
        <v>25</v>
      </c>
      <c r="O82" s="115">
        <f t="shared" ref="O82:Q82" si="154">SUM(O79:O81)</f>
        <v>222329</v>
      </c>
      <c r="P82" s="115">
        <f t="shared" si="154"/>
        <v>146664</v>
      </c>
      <c r="Q82" s="115">
        <f t="shared" si="154"/>
        <v>9405</v>
      </c>
      <c r="R82" s="105">
        <f t="shared" si="147"/>
        <v>4.2302173805486461E-2</v>
      </c>
    </row>
    <row r="83" spans="1:18" ht="15.75" customHeight="1">
      <c r="A83" s="954"/>
      <c r="B83" s="928"/>
      <c r="C83" s="928"/>
      <c r="D83" s="928"/>
      <c r="E83" s="928"/>
      <c r="F83" s="955"/>
      <c r="G83" s="954"/>
      <c r="H83" s="928"/>
      <c r="I83" s="928"/>
      <c r="J83" s="928"/>
      <c r="K83" s="928"/>
      <c r="L83" s="955"/>
      <c r="M83" s="954"/>
      <c r="N83" s="928"/>
      <c r="O83" s="928"/>
      <c r="P83" s="928"/>
      <c r="Q83" s="928"/>
      <c r="R83" s="955"/>
    </row>
    <row r="84" spans="1:18" ht="15.75" customHeight="1">
      <c r="A84" s="948" t="s">
        <v>54</v>
      </c>
      <c r="B84" s="95" t="s">
        <v>21</v>
      </c>
      <c r="C84" s="99">
        <v>482000</v>
      </c>
      <c r="D84" s="99">
        <f>C84</f>
        <v>482000</v>
      </c>
      <c r="E84" s="97">
        <v>3407</v>
      </c>
      <c r="F84" s="98">
        <f t="shared" ref="F84:F88" si="155">E84/C84</f>
        <v>7.0684647302904566E-3</v>
      </c>
      <c r="G84" s="948" t="s">
        <v>54</v>
      </c>
      <c r="H84" s="95" t="s">
        <v>21</v>
      </c>
      <c r="I84" s="99">
        <v>0</v>
      </c>
      <c r="J84" s="99">
        <f>I84</f>
        <v>0</v>
      </c>
      <c r="K84" s="97">
        <v>0</v>
      </c>
      <c r="L84" s="98" t="e">
        <f t="shared" ref="L84:L88" si="156">K84/I84</f>
        <v>#DIV/0!</v>
      </c>
      <c r="M84" s="948" t="s">
        <v>54</v>
      </c>
      <c r="N84" s="95" t="s">
        <v>21</v>
      </c>
      <c r="O84" s="102">
        <f t="shared" ref="O84:Q84" si="157">C84-I84</f>
        <v>482000</v>
      </c>
      <c r="P84" s="102">
        <f t="shared" si="157"/>
        <v>482000</v>
      </c>
      <c r="Q84" s="107">
        <f t="shared" si="157"/>
        <v>3407</v>
      </c>
      <c r="R84" s="105">
        <f t="shared" ref="R84:R88" si="158">Q84/O84</f>
        <v>7.0684647302904566E-3</v>
      </c>
    </row>
    <row r="85" spans="1:18" ht="15.75" customHeight="1">
      <c r="A85" s="949"/>
      <c r="B85" s="102" t="s">
        <v>28</v>
      </c>
      <c r="C85" s="106">
        <v>141003</v>
      </c>
      <c r="D85" s="106">
        <f t="shared" ref="D85:D86" si="159">SUM(ROUND(C85*50%,0))</f>
        <v>70502</v>
      </c>
      <c r="E85" s="104">
        <v>0</v>
      </c>
      <c r="F85" s="105">
        <f t="shared" si="155"/>
        <v>0</v>
      </c>
      <c r="G85" s="949"/>
      <c r="H85" s="102" t="s">
        <v>28</v>
      </c>
      <c r="I85" s="106">
        <v>0</v>
      </c>
      <c r="J85" s="106">
        <f t="shared" ref="J85:J86" si="160">SUM(ROUND(I85*50%,0))</f>
        <v>0</v>
      </c>
      <c r="K85" s="104">
        <v>0</v>
      </c>
      <c r="L85" s="105" t="e">
        <f t="shared" si="156"/>
        <v>#DIV/0!</v>
      </c>
      <c r="M85" s="949"/>
      <c r="N85" s="102" t="s">
        <v>28</v>
      </c>
      <c r="O85" s="102">
        <f t="shared" ref="O85:Q85" si="161">C85-I85</f>
        <v>141003</v>
      </c>
      <c r="P85" s="102">
        <f t="shared" si="161"/>
        <v>70502</v>
      </c>
      <c r="Q85" s="107">
        <f t="shared" si="161"/>
        <v>0</v>
      </c>
      <c r="R85" s="105">
        <f t="shared" si="158"/>
        <v>0</v>
      </c>
    </row>
    <row r="86" spans="1:18" ht="15.75" customHeight="1">
      <c r="A86" s="949"/>
      <c r="B86" s="102" t="s">
        <v>31</v>
      </c>
      <c r="C86" s="106">
        <v>435516</v>
      </c>
      <c r="D86" s="106">
        <f t="shared" si="159"/>
        <v>217758</v>
      </c>
      <c r="E86" s="104">
        <v>2730</v>
      </c>
      <c r="F86" s="105">
        <f t="shared" si="155"/>
        <v>6.2684264183175816E-3</v>
      </c>
      <c r="G86" s="949"/>
      <c r="H86" s="102" t="s">
        <v>31</v>
      </c>
      <c r="I86" s="106">
        <v>163102</v>
      </c>
      <c r="J86" s="106">
        <f t="shared" si="160"/>
        <v>81551</v>
      </c>
      <c r="K86" s="104">
        <v>0</v>
      </c>
      <c r="L86" s="105">
        <f t="shared" si="156"/>
        <v>0</v>
      </c>
      <c r="M86" s="949"/>
      <c r="N86" s="102" t="s">
        <v>31</v>
      </c>
      <c r="O86" s="102">
        <f t="shared" ref="O86:Q86" si="162">C86-I86</f>
        <v>272414</v>
      </c>
      <c r="P86" s="102">
        <f t="shared" si="162"/>
        <v>136207</v>
      </c>
      <c r="Q86" s="107">
        <f t="shared" si="162"/>
        <v>2730</v>
      </c>
      <c r="R86" s="105">
        <f t="shared" si="158"/>
        <v>1.002151137606731E-2</v>
      </c>
    </row>
    <row r="87" spans="1:18" ht="15.75" customHeight="1">
      <c r="A87" s="949"/>
      <c r="B87" s="122" t="s">
        <v>32</v>
      </c>
      <c r="C87" s="123">
        <v>707811</v>
      </c>
      <c r="D87" s="106">
        <f>SUM(ROUND(C87*75%,0))</f>
        <v>530858</v>
      </c>
      <c r="E87" s="104">
        <v>7393</v>
      </c>
      <c r="F87" s="105">
        <f t="shared" si="155"/>
        <v>1.0444878646983445E-2</v>
      </c>
      <c r="G87" s="949"/>
      <c r="H87" s="122" t="s">
        <v>32</v>
      </c>
      <c r="I87" s="123">
        <v>1</v>
      </c>
      <c r="J87" s="106">
        <f>SUM(ROUND(I87*75%,0))</f>
        <v>1</v>
      </c>
      <c r="K87" s="104">
        <v>0</v>
      </c>
      <c r="L87" s="105">
        <f t="shared" si="156"/>
        <v>0</v>
      </c>
      <c r="M87" s="949"/>
      <c r="N87" s="122" t="s">
        <v>32</v>
      </c>
      <c r="O87" s="102">
        <f t="shared" ref="O87:Q87" si="163">C87-I87</f>
        <v>707810</v>
      </c>
      <c r="P87" s="102">
        <f t="shared" si="163"/>
        <v>530857</v>
      </c>
      <c r="Q87" s="107">
        <f t="shared" si="163"/>
        <v>7393</v>
      </c>
      <c r="R87" s="105">
        <f t="shared" si="158"/>
        <v>1.044489340359701E-2</v>
      </c>
    </row>
    <row r="88" spans="1:18" ht="15.75" customHeight="1">
      <c r="A88" s="950"/>
      <c r="B88" s="118" t="s">
        <v>25</v>
      </c>
      <c r="C88" s="115">
        <f t="shared" ref="C88:E88" si="164">SUM(C84:C87)</f>
        <v>1766330</v>
      </c>
      <c r="D88" s="115">
        <f t="shared" si="164"/>
        <v>1301118</v>
      </c>
      <c r="E88" s="121">
        <f t="shared" si="164"/>
        <v>13530</v>
      </c>
      <c r="F88" s="116">
        <f t="shared" si="155"/>
        <v>7.6599502924142148E-3</v>
      </c>
      <c r="G88" s="950"/>
      <c r="H88" s="118" t="s">
        <v>25</v>
      </c>
      <c r="I88" s="115">
        <f t="shared" ref="I88:K88" si="165">SUM(I84:I87)</f>
        <v>163103</v>
      </c>
      <c r="J88" s="115">
        <f t="shared" si="165"/>
        <v>81552</v>
      </c>
      <c r="K88" s="121">
        <f t="shared" si="165"/>
        <v>0</v>
      </c>
      <c r="L88" s="116">
        <f t="shared" si="156"/>
        <v>0</v>
      </c>
      <c r="M88" s="950"/>
      <c r="N88" s="118" t="s">
        <v>25</v>
      </c>
      <c r="O88" s="115">
        <f t="shared" ref="O88:Q88" si="166">SUM(O84:O87)</f>
        <v>1603227</v>
      </c>
      <c r="P88" s="115">
        <f t="shared" si="166"/>
        <v>1219566</v>
      </c>
      <c r="Q88" s="130">
        <f t="shared" si="166"/>
        <v>13530</v>
      </c>
      <c r="R88" s="105">
        <f t="shared" si="158"/>
        <v>8.4392291297489368E-3</v>
      </c>
    </row>
    <row r="89" spans="1:18" ht="15.75" customHeight="1">
      <c r="A89" s="954"/>
      <c r="B89" s="928"/>
      <c r="C89" s="928"/>
      <c r="D89" s="928"/>
      <c r="E89" s="928"/>
      <c r="F89" s="955"/>
      <c r="G89" s="954"/>
      <c r="H89" s="928"/>
      <c r="I89" s="928"/>
      <c r="J89" s="928"/>
      <c r="K89" s="928"/>
      <c r="L89" s="955"/>
      <c r="M89" s="954"/>
      <c r="N89" s="928"/>
      <c r="O89" s="928"/>
      <c r="P89" s="928"/>
      <c r="Q89" s="928"/>
      <c r="R89" s="955"/>
    </row>
    <row r="90" spans="1:18" ht="15.75" customHeight="1">
      <c r="A90" s="948" t="s">
        <v>56</v>
      </c>
      <c r="B90" s="95" t="s">
        <v>21</v>
      </c>
      <c r="C90" s="99">
        <v>31541</v>
      </c>
      <c r="D90" s="99">
        <f>C90</f>
        <v>31541</v>
      </c>
      <c r="E90" s="97">
        <v>0</v>
      </c>
      <c r="F90" s="98">
        <f t="shared" ref="F90:F94" si="167">E90/C90</f>
        <v>0</v>
      </c>
      <c r="G90" s="948" t="s">
        <v>56</v>
      </c>
      <c r="H90" s="95" t="s">
        <v>21</v>
      </c>
      <c r="I90" s="99">
        <v>441</v>
      </c>
      <c r="J90" s="99">
        <f>I90</f>
        <v>441</v>
      </c>
      <c r="K90" s="97">
        <v>0</v>
      </c>
      <c r="L90" s="98">
        <f t="shared" ref="L90:L94" si="168">K90/I90</f>
        <v>0</v>
      </c>
      <c r="M90" s="948" t="s">
        <v>56</v>
      </c>
      <c r="N90" s="95" t="s">
        <v>21</v>
      </c>
      <c r="O90" s="102">
        <f t="shared" ref="O90:Q90" si="169">C90-I90</f>
        <v>31100</v>
      </c>
      <c r="P90" s="102">
        <f t="shared" si="169"/>
        <v>31100</v>
      </c>
      <c r="Q90" s="107">
        <f t="shared" si="169"/>
        <v>0</v>
      </c>
      <c r="R90" s="105">
        <f t="shared" ref="R90:R94" si="170">Q90/O90</f>
        <v>0</v>
      </c>
    </row>
    <row r="91" spans="1:18" ht="15.75" customHeight="1">
      <c r="A91" s="949"/>
      <c r="B91" s="102" t="s">
        <v>28</v>
      </c>
      <c r="C91" s="106">
        <v>9731</v>
      </c>
      <c r="D91" s="106">
        <f t="shared" ref="D91:D92" si="171">SUM(ROUND(C91*50%,0))</f>
        <v>4866</v>
      </c>
      <c r="E91" s="104">
        <v>0</v>
      </c>
      <c r="F91" s="105">
        <f t="shared" si="167"/>
        <v>0</v>
      </c>
      <c r="G91" s="949"/>
      <c r="H91" s="102" t="s">
        <v>28</v>
      </c>
      <c r="I91" s="106">
        <v>1</v>
      </c>
      <c r="J91" s="106">
        <f t="shared" ref="J91:J92" si="172">SUM(ROUND(I91*50%,0))</f>
        <v>1</v>
      </c>
      <c r="K91" s="104">
        <v>0</v>
      </c>
      <c r="L91" s="105">
        <f t="shared" si="168"/>
        <v>0</v>
      </c>
      <c r="M91" s="949"/>
      <c r="N91" s="102" t="s">
        <v>28</v>
      </c>
      <c r="O91" s="102">
        <f t="shared" ref="O91:Q91" si="173">C91-I91</f>
        <v>9730</v>
      </c>
      <c r="P91" s="102">
        <f t="shared" si="173"/>
        <v>4865</v>
      </c>
      <c r="Q91" s="107">
        <f t="shared" si="173"/>
        <v>0</v>
      </c>
      <c r="R91" s="105">
        <f t="shared" si="170"/>
        <v>0</v>
      </c>
    </row>
    <row r="92" spans="1:18" ht="15.75" customHeight="1">
      <c r="A92" s="949"/>
      <c r="B92" s="102" t="s">
        <v>103</v>
      </c>
      <c r="C92" s="106">
        <v>24603</v>
      </c>
      <c r="D92" s="106">
        <f t="shared" si="171"/>
        <v>12302</v>
      </c>
      <c r="E92" s="104">
        <v>49503</v>
      </c>
      <c r="F92" s="105">
        <f t="shared" si="167"/>
        <v>2.0120716985733447</v>
      </c>
      <c r="G92" s="949"/>
      <c r="H92" s="102" t="s">
        <v>103</v>
      </c>
      <c r="I92" s="106">
        <v>1519</v>
      </c>
      <c r="J92" s="106">
        <f t="shared" si="172"/>
        <v>760</v>
      </c>
      <c r="K92" s="104">
        <v>0</v>
      </c>
      <c r="L92" s="105">
        <f t="shared" si="168"/>
        <v>0</v>
      </c>
      <c r="M92" s="949"/>
      <c r="N92" s="102" t="s">
        <v>103</v>
      </c>
      <c r="O92" s="102">
        <f t="shared" ref="O92:Q92" si="174">C92-I92</f>
        <v>23084</v>
      </c>
      <c r="P92" s="102">
        <f t="shared" si="174"/>
        <v>11542</v>
      </c>
      <c r="Q92" s="107">
        <f t="shared" si="174"/>
        <v>49503</v>
      </c>
      <c r="R92" s="105">
        <f t="shared" si="170"/>
        <v>2.1444723618090453</v>
      </c>
    </row>
    <row r="93" spans="1:18" ht="15.75" customHeight="1">
      <c r="A93" s="949"/>
      <c r="B93" s="122" t="s">
        <v>32</v>
      </c>
      <c r="C93" s="123">
        <v>334764</v>
      </c>
      <c r="D93" s="106">
        <f>SUM(ROUND(C93*75%,0))</f>
        <v>251073</v>
      </c>
      <c r="E93" s="104">
        <v>0</v>
      </c>
      <c r="F93" s="105">
        <f t="shared" si="167"/>
        <v>0</v>
      </c>
      <c r="G93" s="949"/>
      <c r="H93" s="122" t="s">
        <v>32</v>
      </c>
      <c r="I93" s="123">
        <v>0</v>
      </c>
      <c r="J93" s="106">
        <f>SUM(ROUND(I93*75%,0))</f>
        <v>0</v>
      </c>
      <c r="K93" s="104">
        <v>0</v>
      </c>
      <c r="L93" s="105" t="e">
        <f t="shared" si="168"/>
        <v>#DIV/0!</v>
      </c>
      <c r="M93" s="949"/>
      <c r="N93" s="122" t="s">
        <v>32</v>
      </c>
      <c r="O93" s="102">
        <f t="shared" ref="O93:Q93" si="175">C93-I93</f>
        <v>334764</v>
      </c>
      <c r="P93" s="102">
        <f t="shared" si="175"/>
        <v>251073</v>
      </c>
      <c r="Q93" s="107">
        <f t="shared" si="175"/>
        <v>0</v>
      </c>
      <c r="R93" s="105">
        <f t="shared" si="170"/>
        <v>0</v>
      </c>
    </row>
    <row r="94" spans="1:18" ht="15.75" customHeight="1">
      <c r="A94" s="950"/>
      <c r="B94" s="118" t="s">
        <v>25</v>
      </c>
      <c r="C94" s="115">
        <f t="shared" ref="C94:E94" si="176">SUM(C90:C93)</f>
        <v>400639</v>
      </c>
      <c r="D94" s="115">
        <f t="shared" si="176"/>
        <v>299782</v>
      </c>
      <c r="E94" s="121">
        <f t="shared" si="176"/>
        <v>49503</v>
      </c>
      <c r="F94" s="116">
        <f t="shared" si="167"/>
        <v>0.12356011271992991</v>
      </c>
      <c r="G94" s="950"/>
      <c r="H94" s="118" t="s">
        <v>25</v>
      </c>
      <c r="I94" s="115">
        <f t="shared" ref="I94:K94" si="177">SUM(I90:I93)</f>
        <v>1961</v>
      </c>
      <c r="J94" s="115">
        <f t="shared" si="177"/>
        <v>1202</v>
      </c>
      <c r="K94" s="121">
        <f t="shared" si="177"/>
        <v>0</v>
      </c>
      <c r="L94" s="116">
        <f t="shared" si="168"/>
        <v>0</v>
      </c>
      <c r="M94" s="950"/>
      <c r="N94" s="118" t="s">
        <v>25</v>
      </c>
      <c r="O94" s="115">
        <f t="shared" ref="O94:Q94" si="178">SUM(O90:O93)</f>
        <v>398678</v>
      </c>
      <c r="P94" s="115">
        <f t="shared" si="178"/>
        <v>298580</v>
      </c>
      <c r="Q94" s="130">
        <f t="shared" si="178"/>
        <v>49503</v>
      </c>
      <c r="R94" s="105">
        <f t="shared" si="170"/>
        <v>0.12416787482630093</v>
      </c>
    </row>
    <row r="95" spans="1:18" ht="15.75" customHeight="1">
      <c r="A95" s="954"/>
      <c r="B95" s="928"/>
      <c r="C95" s="928"/>
      <c r="D95" s="928"/>
      <c r="E95" s="928"/>
      <c r="F95" s="955"/>
      <c r="G95" s="954"/>
      <c r="H95" s="928"/>
      <c r="I95" s="928"/>
      <c r="J95" s="928"/>
      <c r="K95" s="928"/>
      <c r="L95" s="955"/>
      <c r="M95" s="954"/>
      <c r="N95" s="928"/>
      <c r="O95" s="928"/>
      <c r="P95" s="928"/>
      <c r="Q95" s="928"/>
      <c r="R95" s="955"/>
    </row>
    <row r="96" spans="1:18" ht="15.75" customHeight="1">
      <c r="A96" s="948" t="s">
        <v>59</v>
      </c>
      <c r="B96" s="95" t="s">
        <v>21</v>
      </c>
      <c r="C96" s="99">
        <v>5000</v>
      </c>
      <c r="D96" s="106">
        <f>SUM(ROUND(C96*50%,0))</f>
        <v>2500</v>
      </c>
      <c r="E96" s="97">
        <v>0</v>
      </c>
      <c r="F96" s="98">
        <f t="shared" ref="F96:F99" si="179">E96/C96</f>
        <v>0</v>
      </c>
      <c r="G96" s="948" t="s">
        <v>59</v>
      </c>
      <c r="H96" s="95" t="s">
        <v>21</v>
      </c>
      <c r="I96" s="99">
        <v>0</v>
      </c>
      <c r="J96" s="106">
        <f>SUM(ROUND(I96*50%,0))</f>
        <v>0</v>
      </c>
      <c r="K96" s="97">
        <v>0</v>
      </c>
      <c r="L96" s="98" t="e">
        <f t="shared" ref="L96:L99" si="180">K96/I96</f>
        <v>#DIV/0!</v>
      </c>
      <c r="M96" s="951" t="s">
        <v>59</v>
      </c>
      <c r="N96" s="95" t="s">
        <v>21</v>
      </c>
      <c r="O96" s="107">
        <f t="shared" ref="O96:Q96" si="181">C96-I96</f>
        <v>5000</v>
      </c>
      <c r="P96" s="102">
        <f t="shared" si="181"/>
        <v>2500</v>
      </c>
      <c r="Q96" s="107">
        <f t="shared" si="181"/>
        <v>0</v>
      </c>
      <c r="R96" s="105">
        <f t="shared" ref="R96:R99" si="182">Q96/O96</f>
        <v>0</v>
      </c>
    </row>
    <row r="97" spans="1:18" ht="15.75" customHeight="1">
      <c r="A97" s="949"/>
      <c r="B97" s="131" t="s">
        <v>31</v>
      </c>
      <c r="C97" s="132">
        <v>7002</v>
      </c>
      <c r="D97" s="106"/>
      <c r="E97" s="133">
        <v>0</v>
      </c>
      <c r="F97" s="105">
        <f t="shared" si="179"/>
        <v>0</v>
      </c>
      <c r="G97" s="949"/>
      <c r="H97" s="131" t="s">
        <v>31</v>
      </c>
      <c r="I97" s="132">
        <v>1</v>
      </c>
      <c r="J97" s="106"/>
      <c r="K97" s="133">
        <v>0</v>
      </c>
      <c r="L97" s="105">
        <f t="shared" si="180"/>
        <v>0</v>
      </c>
      <c r="M97" s="952"/>
      <c r="N97" s="131" t="s">
        <v>31</v>
      </c>
      <c r="O97" s="107">
        <f t="shared" ref="O97:O98" si="183">C97-I97</f>
        <v>7001</v>
      </c>
      <c r="P97" s="102"/>
      <c r="Q97" s="107">
        <f>E97-K97</f>
        <v>0</v>
      </c>
      <c r="R97" s="105">
        <f t="shared" si="182"/>
        <v>0</v>
      </c>
    </row>
    <row r="98" spans="1:18" ht="15.75" customHeight="1">
      <c r="A98" s="949"/>
      <c r="B98" s="102" t="s">
        <v>32</v>
      </c>
      <c r="C98" s="106">
        <v>19000</v>
      </c>
      <c r="D98" s="106">
        <f>SUM(ROUND(C98*75%,0))</f>
        <v>14250</v>
      </c>
      <c r="E98" s="104">
        <v>15</v>
      </c>
      <c r="F98" s="105">
        <f t="shared" si="179"/>
        <v>7.894736842105263E-4</v>
      </c>
      <c r="G98" s="949"/>
      <c r="H98" s="102" t="s">
        <v>32</v>
      </c>
      <c r="I98" s="106">
        <v>0</v>
      </c>
      <c r="J98" s="106">
        <f>SUM(ROUND(I98*75%,0))</f>
        <v>0</v>
      </c>
      <c r="K98" s="104">
        <v>0</v>
      </c>
      <c r="L98" s="105" t="e">
        <f t="shared" si="180"/>
        <v>#DIV/0!</v>
      </c>
      <c r="M98" s="952"/>
      <c r="N98" s="102" t="s">
        <v>32</v>
      </c>
      <c r="O98" s="107">
        <f t="shared" si="183"/>
        <v>19000</v>
      </c>
      <c r="P98" s="102">
        <f t="shared" ref="P98:Q98" si="184">D98-J98</f>
        <v>14250</v>
      </c>
      <c r="Q98" s="107">
        <f t="shared" si="184"/>
        <v>15</v>
      </c>
      <c r="R98" s="105">
        <f t="shared" si="182"/>
        <v>7.894736842105263E-4</v>
      </c>
    </row>
    <row r="99" spans="1:18" ht="15.75" customHeight="1">
      <c r="A99" s="950"/>
      <c r="B99" s="118" t="s">
        <v>25</v>
      </c>
      <c r="C99" s="115">
        <f t="shared" ref="C99:E99" si="185">SUM(C96:C98)</f>
        <v>31002</v>
      </c>
      <c r="D99" s="115">
        <f t="shared" si="185"/>
        <v>16750</v>
      </c>
      <c r="E99" s="115">
        <f t="shared" si="185"/>
        <v>15</v>
      </c>
      <c r="F99" s="116">
        <f t="shared" si="179"/>
        <v>4.8383975227404683E-4</v>
      </c>
      <c r="G99" s="950"/>
      <c r="H99" s="118" t="s">
        <v>25</v>
      </c>
      <c r="I99" s="115">
        <f t="shared" ref="I99:K99" si="186">SUM(I96:I98)</f>
        <v>1</v>
      </c>
      <c r="J99" s="115">
        <f t="shared" si="186"/>
        <v>0</v>
      </c>
      <c r="K99" s="115">
        <f t="shared" si="186"/>
        <v>0</v>
      </c>
      <c r="L99" s="116">
        <f t="shared" si="180"/>
        <v>0</v>
      </c>
      <c r="M99" s="953"/>
      <c r="N99" s="118" t="s">
        <v>25</v>
      </c>
      <c r="O99" s="114">
        <f t="shared" ref="O99:Q99" si="187">SUM(O96:O98)</f>
        <v>31001</v>
      </c>
      <c r="P99" s="115">
        <f t="shared" si="187"/>
        <v>16750</v>
      </c>
      <c r="Q99" s="130">
        <f t="shared" si="187"/>
        <v>15</v>
      </c>
      <c r="R99" s="105">
        <f t="shared" si="182"/>
        <v>4.838553595045321E-4</v>
      </c>
    </row>
    <row r="100" spans="1:18" ht="15.75" customHeight="1">
      <c r="A100" s="954"/>
      <c r="B100" s="928"/>
      <c r="C100" s="928"/>
      <c r="D100" s="928"/>
      <c r="E100" s="928"/>
      <c r="F100" s="955"/>
      <c r="G100" s="954"/>
      <c r="H100" s="928"/>
      <c r="I100" s="928"/>
      <c r="J100" s="928"/>
      <c r="K100" s="928"/>
      <c r="L100" s="955"/>
      <c r="M100" s="954"/>
      <c r="N100" s="928"/>
      <c r="O100" s="928"/>
      <c r="P100" s="928"/>
      <c r="Q100" s="928"/>
      <c r="R100" s="955"/>
    </row>
    <row r="101" spans="1:18" ht="15.75" customHeight="1">
      <c r="A101" s="968" t="s">
        <v>60</v>
      </c>
      <c r="B101" s="134" t="s">
        <v>21</v>
      </c>
      <c r="C101" s="135">
        <f t="shared" ref="C101:E101" si="188">C6+C11+C14+C18+C25+C30+C36+C50+C55+C60+C66+C72+C79+C84+C90+C96</f>
        <v>15241953</v>
      </c>
      <c r="D101" s="135">
        <f t="shared" si="188"/>
        <v>15239453</v>
      </c>
      <c r="E101" s="136">
        <f t="shared" si="188"/>
        <v>3173120</v>
      </c>
      <c r="F101" s="137">
        <f t="shared" ref="F101:F108" si="189">E101/C101</f>
        <v>0.20818329514596981</v>
      </c>
      <c r="G101" s="968" t="s">
        <v>60</v>
      </c>
      <c r="H101" s="134" t="s">
        <v>21</v>
      </c>
      <c r="I101" s="135">
        <f t="shared" ref="I101:K101" si="190">I6+I11+I14+I18+I25+I30+I36+I50+I55+I60+I66+I72+I79+I84+I90+I96</f>
        <v>7571162</v>
      </c>
      <c r="J101" s="135">
        <f t="shared" si="190"/>
        <v>7571162</v>
      </c>
      <c r="K101" s="136">
        <f t="shared" si="190"/>
        <v>15966</v>
      </c>
      <c r="L101" s="137">
        <f t="shared" ref="L101:L108" si="191">K101/I101</f>
        <v>2.1087912264986537E-3</v>
      </c>
      <c r="M101" s="968" t="s">
        <v>60</v>
      </c>
      <c r="N101" s="134" t="s">
        <v>21</v>
      </c>
      <c r="O101" s="135">
        <f>O6+O11+O14+O18+O25+O30+O36+O50+O55+O60+O66+O72+O79+O84+O90+O96</f>
        <v>7670791</v>
      </c>
      <c r="P101" s="135">
        <f t="shared" ref="P101:Q101" si="192">P6+P11+P14+P18+P25+P30+P36+P50+P55+P60+P66+P72+P79+P84+P90</f>
        <v>7665791</v>
      </c>
      <c r="Q101" s="135">
        <f t="shared" si="192"/>
        <v>3157154</v>
      </c>
      <c r="R101" s="137">
        <f t="shared" ref="R101:R108" si="193">Q101/O101</f>
        <v>0.41158128281685685</v>
      </c>
    </row>
    <row r="102" spans="1:18" ht="15.75" customHeight="1">
      <c r="A102" s="949"/>
      <c r="B102" s="138" t="s">
        <v>22</v>
      </c>
      <c r="C102" s="139">
        <f t="shared" ref="C102:E102" si="194">C7</f>
        <v>0</v>
      </c>
      <c r="D102" s="139">
        <f t="shared" si="194"/>
        <v>0</v>
      </c>
      <c r="E102" s="140">
        <f t="shared" si="194"/>
        <v>0</v>
      </c>
      <c r="F102" s="141" t="e">
        <f t="shared" si="189"/>
        <v>#DIV/0!</v>
      </c>
      <c r="G102" s="949"/>
      <c r="H102" s="138" t="s">
        <v>22</v>
      </c>
      <c r="I102" s="139">
        <f t="shared" ref="I102:K102" si="195">I7</f>
        <v>0</v>
      </c>
      <c r="J102" s="139">
        <f t="shared" si="195"/>
        <v>0</v>
      </c>
      <c r="K102" s="140">
        <f t="shared" si="195"/>
        <v>0</v>
      </c>
      <c r="L102" s="141" t="e">
        <f t="shared" si="191"/>
        <v>#DIV/0!</v>
      </c>
      <c r="M102" s="949"/>
      <c r="N102" s="138" t="s">
        <v>22</v>
      </c>
      <c r="O102" s="139">
        <f t="shared" ref="O102:Q102" si="196">O7</f>
        <v>0</v>
      </c>
      <c r="P102" s="139">
        <f t="shared" si="196"/>
        <v>0</v>
      </c>
      <c r="Q102" s="139">
        <f t="shared" si="196"/>
        <v>0</v>
      </c>
      <c r="R102" s="141" t="e">
        <f t="shared" si="193"/>
        <v>#DIV/0!</v>
      </c>
    </row>
    <row r="103" spans="1:18" ht="15.75" customHeight="1">
      <c r="A103" s="949"/>
      <c r="B103" s="138" t="s">
        <v>28</v>
      </c>
      <c r="C103" s="139">
        <f t="shared" ref="C103:E103" si="197">C19+C26+C31+C51+C61+C67+C73+C80+C85+C91</f>
        <v>520964</v>
      </c>
      <c r="D103" s="139">
        <f t="shared" si="197"/>
        <v>260484</v>
      </c>
      <c r="E103" s="140">
        <f t="shared" si="197"/>
        <v>67026</v>
      </c>
      <c r="F103" s="141">
        <f t="shared" si="189"/>
        <v>0.12865764237068206</v>
      </c>
      <c r="G103" s="949"/>
      <c r="H103" s="138" t="s">
        <v>28</v>
      </c>
      <c r="I103" s="139">
        <f t="shared" ref="I103:K103" si="198">I19+I26+I31+I51+I61+I67+I73+I80+I85+I91</f>
        <v>145010</v>
      </c>
      <c r="J103" s="139">
        <f t="shared" si="198"/>
        <v>72506</v>
      </c>
      <c r="K103" s="140">
        <f t="shared" si="198"/>
        <v>17053</v>
      </c>
      <c r="L103" s="141">
        <f t="shared" si="191"/>
        <v>0.11759878629060065</v>
      </c>
      <c r="M103" s="949"/>
      <c r="N103" s="138" t="s">
        <v>28</v>
      </c>
      <c r="O103" s="139">
        <f t="shared" ref="O103:Q103" si="199">O19+O26+O31+O51+O61+O67+O73+O80+O85+O91</f>
        <v>375954</v>
      </c>
      <c r="P103" s="139">
        <f t="shared" si="199"/>
        <v>187978</v>
      </c>
      <c r="Q103" s="139">
        <f t="shared" si="199"/>
        <v>49973</v>
      </c>
      <c r="R103" s="141">
        <f t="shared" si="193"/>
        <v>0.13292317677162632</v>
      </c>
    </row>
    <row r="104" spans="1:18" ht="15.75" customHeight="1">
      <c r="A104" s="949"/>
      <c r="B104" s="138" t="s">
        <v>31</v>
      </c>
      <c r="C104" s="139">
        <f t="shared" ref="C104:E104" si="200">C20+C27+C32+C62+C68+C74+C81+C86+C92+C97</f>
        <v>912071</v>
      </c>
      <c r="D104" s="139">
        <f t="shared" si="200"/>
        <v>452537</v>
      </c>
      <c r="E104" s="140">
        <f t="shared" si="200"/>
        <v>78903</v>
      </c>
      <c r="F104" s="141">
        <f t="shared" si="189"/>
        <v>8.6509712511416328E-2</v>
      </c>
      <c r="G104" s="949"/>
      <c r="H104" s="138" t="s">
        <v>31</v>
      </c>
      <c r="I104" s="139">
        <f t="shared" ref="I104:K104" si="201">I20+I27+I32+I62+I68+I74+I81+I86+I92+I97</f>
        <v>332857</v>
      </c>
      <c r="J104" s="139">
        <f t="shared" si="201"/>
        <v>166429</v>
      </c>
      <c r="K104" s="140">
        <f t="shared" si="201"/>
        <v>14241</v>
      </c>
      <c r="L104" s="141">
        <f t="shared" si="191"/>
        <v>4.2784138533965038E-2</v>
      </c>
      <c r="M104" s="949"/>
      <c r="N104" s="138" t="s">
        <v>31</v>
      </c>
      <c r="O104" s="139">
        <f t="shared" ref="O104:Q104" si="202">O20+O27+O32+O62+O68+O74+O81+O86+O92+O97</f>
        <v>579214</v>
      </c>
      <c r="P104" s="139">
        <f t="shared" si="202"/>
        <v>286108</v>
      </c>
      <c r="Q104" s="139">
        <f t="shared" si="202"/>
        <v>64662</v>
      </c>
      <c r="R104" s="141">
        <f t="shared" si="193"/>
        <v>0.111637494950053</v>
      </c>
    </row>
    <row r="105" spans="1:18" ht="15.75" customHeight="1">
      <c r="A105" s="949"/>
      <c r="B105" s="138" t="s">
        <v>40</v>
      </c>
      <c r="C105" s="139">
        <f t="shared" ref="C105:E105" si="203">C39+C43+C8</f>
        <v>4857411</v>
      </c>
      <c r="D105" s="139">
        <f t="shared" si="203"/>
        <v>4857409</v>
      </c>
      <c r="E105" s="140">
        <f t="shared" si="203"/>
        <v>5785</v>
      </c>
      <c r="F105" s="141">
        <f t="shared" si="189"/>
        <v>1.1909636635648085E-3</v>
      </c>
      <c r="G105" s="949"/>
      <c r="H105" s="138" t="s">
        <v>40</v>
      </c>
      <c r="I105" s="139">
        <f t="shared" ref="I105:K105" si="204">I39+I43+I8</f>
        <v>1291402</v>
      </c>
      <c r="J105" s="139">
        <f t="shared" si="204"/>
        <v>1291400</v>
      </c>
      <c r="K105" s="140">
        <f t="shared" si="204"/>
        <v>4365</v>
      </c>
      <c r="L105" s="141">
        <f t="shared" si="191"/>
        <v>3.3800474213296866E-3</v>
      </c>
      <c r="M105" s="949"/>
      <c r="N105" s="138" t="s">
        <v>40</v>
      </c>
      <c r="O105" s="139">
        <f t="shared" ref="O105:Q105" si="205">O39+O43</f>
        <v>3566009</v>
      </c>
      <c r="P105" s="139">
        <f t="shared" si="205"/>
        <v>3566009</v>
      </c>
      <c r="Q105" s="139">
        <f t="shared" si="205"/>
        <v>1420</v>
      </c>
      <c r="R105" s="141">
        <f t="shared" si="193"/>
        <v>3.9820426701110402E-4</v>
      </c>
    </row>
    <row r="106" spans="1:18" ht="15.75" customHeight="1">
      <c r="A106" s="949"/>
      <c r="B106" s="142" t="s">
        <v>32</v>
      </c>
      <c r="C106" s="139">
        <f t="shared" ref="C106:E106" si="206">C21+C33++C40+C44+C47+C52+C56+C63+C69+C75+C87+C93+C98</f>
        <v>11269846</v>
      </c>
      <c r="D106" s="139">
        <f t="shared" si="206"/>
        <v>8452385</v>
      </c>
      <c r="E106" s="140">
        <f t="shared" si="206"/>
        <v>1087613</v>
      </c>
      <c r="F106" s="141">
        <f t="shared" si="189"/>
        <v>9.6506465128272378E-2</v>
      </c>
      <c r="G106" s="949"/>
      <c r="H106" s="142" t="s">
        <v>32</v>
      </c>
      <c r="I106" s="139">
        <f t="shared" ref="I106:K106" si="207">I21+I33++I40+I44+I47+I52+I56+I63+I69+I75+I87+I93+I98</f>
        <v>231570</v>
      </c>
      <c r="J106" s="139">
        <f t="shared" si="207"/>
        <v>173679</v>
      </c>
      <c r="K106" s="140">
        <f t="shared" si="207"/>
        <v>407</v>
      </c>
      <c r="L106" s="141">
        <f t="shared" si="191"/>
        <v>1.757567906032733E-3</v>
      </c>
      <c r="M106" s="949"/>
      <c r="N106" s="142" t="s">
        <v>32</v>
      </c>
      <c r="O106" s="139">
        <f t="shared" ref="O106:Q106" si="208">O21+O33++O40+O44+O47+O52+O56+O63+O69+O75+O87+O93+O98</f>
        <v>11038276</v>
      </c>
      <c r="P106" s="139">
        <f t="shared" si="208"/>
        <v>8278706</v>
      </c>
      <c r="Q106" s="139">
        <f t="shared" si="208"/>
        <v>1087206</v>
      </c>
      <c r="R106" s="141">
        <f t="shared" si="193"/>
        <v>9.8494185142679894E-2</v>
      </c>
    </row>
    <row r="107" spans="1:18" ht="15.75" customHeight="1">
      <c r="A107" s="949"/>
      <c r="B107" s="142" t="s">
        <v>29</v>
      </c>
      <c r="C107" s="139">
        <f t="shared" ref="C107:E107" si="209">C15+C22+C57+C76</f>
        <v>25446801</v>
      </c>
      <c r="D107" s="139">
        <f t="shared" si="209"/>
        <v>25436800</v>
      </c>
      <c r="E107" s="140">
        <f t="shared" si="209"/>
        <v>166148</v>
      </c>
      <c r="F107" s="141">
        <f t="shared" si="189"/>
        <v>6.5292293518544823E-3</v>
      </c>
      <c r="G107" s="949"/>
      <c r="H107" s="142" t="s">
        <v>29</v>
      </c>
      <c r="I107" s="139">
        <f t="shared" ref="I107:K107" si="210">I15+I22+I57+I76</f>
        <v>11920016</v>
      </c>
      <c r="J107" s="139">
        <f t="shared" si="210"/>
        <v>11920015</v>
      </c>
      <c r="K107" s="140">
        <f t="shared" si="210"/>
        <v>154672</v>
      </c>
      <c r="L107" s="141">
        <f t="shared" si="191"/>
        <v>1.2975821508964418E-2</v>
      </c>
      <c r="M107" s="949"/>
      <c r="N107" s="142" t="s">
        <v>29</v>
      </c>
      <c r="O107" s="139">
        <f>O15+O22+O76</f>
        <v>13526785</v>
      </c>
      <c r="P107" s="139">
        <f t="shared" ref="P107:Q107" si="211">P15+P22</f>
        <v>13516785</v>
      </c>
      <c r="Q107" s="139">
        <f t="shared" si="211"/>
        <v>11476</v>
      </c>
      <c r="R107" s="141">
        <f t="shared" si="193"/>
        <v>8.4839080387542204E-4</v>
      </c>
    </row>
    <row r="108" spans="1:18" ht="15.75" customHeight="1">
      <c r="A108" s="950"/>
      <c r="B108" s="118" t="s">
        <v>25</v>
      </c>
      <c r="C108" s="143">
        <f t="shared" ref="C108:E108" si="212">C101+C102+C103+C104+C105+C106+C107</f>
        <v>58249046</v>
      </c>
      <c r="D108" s="143">
        <f t="shared" si="212"/>
        <v>54699068</v>
      </c>
      <c r="E108" s="115">
        <f t="shared" si="212"/>
        <v>4578595</v>
      </c>
      <c r="F108" s="116">
        <f t="shared" si="189"/>
        <v>7.8603776618075424E-2</v>
      </c>
      <c r="G108" s="950"/>
      <c r="H108" s="118" t="s">
        <v>25</v>
      </c>
      <c r="I108" s="143">
        <f t="shared" ref="I108:K108" si="213">I101+I102+I103+I104+I105+I106+I107</f>
        <v>21492017</v>
      </c>
      <c r="J108" s="143">
        <f t="shared" si="213"/>
        <v>21195191</v>
      </c>
      <c r="K108" s="115">
        <f t="shared" si="213"/>
        <v>206704</v>
      </c>
      <c r="L108" s="116">
        <f t="shared" si="191"/>
        <v>9.6177106132011719E-3</v>
      </c>
      <c r="M108" s="950"/>
      <c r="N108" s="118" t="s">
        <v>25</v>
      </c>
      <c r="O108" s="143">
        <f t="shared" ref="O108:Q108" si="214">SUM(O101:O107)</f>
        <v>36757029</v>
      </c>
      <c r="P108" s="143">
        <f t="shared" si="214"/>
        <v>33501377</v>
      </c>
      <c r="Q108" s="143">
        <f t="shared" si="214"/>
        <v>4371891</v>
      </c>
      <c r="R108" s="116">
        <f t="shared" si="193"/>
        <v>0.11894027126077028</v>
      </c>
    </row>
    <row r="109" spans="1:18" ht="18.75" customHeight="1">
      <c r="A109" s="144"/>
      <c r="B109" s="145"/>
      <c r="C109" s="145"/>
      <c r="D109" s="145"/>
      <c r="E109" s="145"/>
      <c r="F109" s="146"/>
      <c r="G109" s="147"/>
      <c r="H109" s="147"/>
      <c r="I109" s="147"/>
      <c r="J109" s="147"/>
      <c r="K109" s="147"/>
      <c r="L109" s="147"/>
    </row>
    <row r="110" spans="1:18" ht="21" customHeight="1">
      <c r="A110" s="148" t="s">
        <v>39</v>
      </c>
      <c r="B110" s="149" t="s">
        <v>23</v>
      </c>
      <c r="C110" s="149">
        <v>1093000</v>
      </c>
      <c r="D110" s="149">
        <v>1250000</v>
      </c>
      <c r="E110" s="150">
        <v>0</v>
      </c>
      <c r="F110" s="98">
        <f t="shared" ref="F110:F113" si="215">E110/C110</f>
        <v>0</v>
      </c>
      <c r="G110" s="151"/>
      <c r="H110" s="147"/>
      <c r="I110" s="147"/>
      <c r="J110" s="147"/>
      <c r="K110" s="147"/>
      <c r="L110" s="147"/>
    </row>
    <row r="111" spans="1:18" ht="33.75" customHeight="1">
      <c r="A111" s="152" t="s">
        <v>54</v>
      </c>
      <c r="B111" s="153" t="s">
        <v>23</v>
      </c>
      <c r="C111" s="153">
        <v>3160000</v>
      </c>
      <c r="D111" s="153">
        <v>7500000</v>
      </c>
      <c r="E111" s="154">
        <v>0</v>
      </c>
      <c r="F111" s="98">
        <f t="shared" si="215"/>
        <v>0</v>
      </c>
      <c r="G111" s="151"/>
      <c r="H111" s="147"/>
      <c r="I111" s="147"/>
      <c r="J111" s="147"/>
      <c r="K111" s="147"/>
      <c r="L111" s="155" t="s">
        <v>21</v>
      </c>
      <c r="M111" s="156">
        <f t="shared" ref="M111:M117" si="216">C101-I101</f>
        <v>7670791</v>
      </c>
      <c r="N111" s="156">
        <v>7665791</v>
      </c>
      <c r="O111" s="156">
        <f t="shared" ref="O111:O118" si="217">M111-N111</f>
        <v>5000</v>
      </c>
      <c r="P111" s="157">
        <f t="shared" ref="P111:Q111" si="218">F108-L108</f>
        <v>6.8986066004874252E-2</v>
      </c>
      <c r="Q111" s="158">
        <f t="shared" si="218"/>
        <v>0</v>
      </c>
    </row>
    <row r="112" spans="1:18" ht="21.75" customHeight="1">
      <c r="A112" s="159" t="s">
        <v>60</v>
      </c>
      <c r="B112" s="160"/>
      <c r="C112" s="160">
        <f t="shared" ref="C112:E112" si="219">C110+C111</f>
        <v>4253000</v>
      </c>
      <c r="D112" s="160">
        <f t="shared" si="219"/>
        <v>8750000</v>
      </c>
      <c r="E112" s="160">
        <f t="shared" si="219"/>
        <v>0</v>
      </c>
      <c r="F112" s="98">
        <f t="shared" si="215"/>
        <v>0</v>
      </c>
      <c r="G112" s="151"/>
      <c r="H112" s="147"/>
      <c r="I112" s="147"/>
      <c r="J112" s="147"/>
      <c r="K112" s="147"/>
      <c r="L112" s="155" t="s">
        <v>22</v>
      </c>
      <c r="M112" s="156">
        <f t="shared" si="216"/>
        <v>0</v>
      </c>
      <c r="N112" s="156">
        <v>0</v>
      </c>
      <c r="O112" s="156">
        <f t="shared" si="217"/>
        <v>0</v>
      </c>
    </row>
    <row r="113" spans="1:15" ht="15.75" customHeight="1">
      <c r="A113" s="161" t="s">
        <v>104</v>
      </c>
      <c r="B113" s="162"/>
      <c r="C113" s="162">
        <f t="shared" ref="C113:E113" si="220">C108+C112</f>
        <v>62502046</v>
      </c>
      <c r="D113" s="162">
        <f t="shared" si="220"/>
        <v>63449068</v>
      </c>
      <c r="E113" s="162">
        <f t="shared" si="220"/>
        <v>4578595</v>
      </c>
      <c r="F113" s="163">
        <f t="shared" si="215"/>
        <v>7.325512192032882E-2</v>
      </c>
      <c r="G113" s="151"/>
      <c r="H113" s="147"/>
      <c r="I113" s="147"/>
      <c r="J113" s="147"/>
      <c r="K113" s="147"/>
      <c r="L113" s="155" t="s">
        <v>28</v>
      </c>
      <c r="M113" s="156">
        <f t="shared" si="216"/>
        <v>375954</v>
      </c>
      <c r="N113" s="156">
        <v>375954</v>
      </c>
      <c r="O113" s="156">
        <f t="shared" si="217"/>
        <v>0</v>
      </c>
    </row>
    <row r="114" spans="1:15" ht="15.75" customHeight="1">
      <c r="A114" s="144"/>
      <c r="B114" s="164"/>
      <c r="C114" s="164"/>
      <c r="D114" s="164"/>
      <c r="E114" s="164"/>
      <c r="F114" s="165"/>
      <c r="G114" s="151"/>
      <c r="H114" s="147"/>
      <c r="I114" s="147"/>
      <c r="J114" s="147"/>
      <c r="K114" s="147"/>
      <c r="L114" s="155" t="s">
        <v>31</v>
      </c>
      <c r="M114" s="156">
        <f t="shared" si="216"/>
        <v>579214</v>
      </c>
      <c r="N114" s="156">
        <v>579214</v>
      </c>
      <c r="O114" s="156">
        <f t="shared" si="217"/>
        <v>0</v>
      </c>
    </row>
    <row r="115" spans="1:15" ht="15.75" customHeight="1">
      <c r="A115" s="968" t="s">
        <v>6</v>
      </c>
      <c r="B115" s="972" t="s">
        <v>7</v>
      </c>
      <c r="C115" s="90" t="s">
        <v>105</v>
      </c>
      <c r="D115" s="166" t="s">
        <v>106</v>
      </c>
      <c r="E115" s="90" t="s">
        <v>107</v>
      </c>
      <c r="F115" s="167" t="s">
        <v>108</v>
      </c>
      <c r="L115" s="155" t="s">
        <v>40</v>
      </c>
      <c r="M115" s="156">
        <f t="shared" si="216"/>
        <v>3566009</v>
      </c>
      <c r="N115" s="156">
        <v>3566009</v>
      </c>
      <c r="O115" s="156">
        <f t="shared" si="217"/>
        <v>0</v>
      </c>
    </row>
    <row r="116" spans="1:15" ht="15.75" customHeight="1">
      <c r="A116" s="950"/>
      <c r="B116" s="953"/>
      <c r="C116" s="168" t="s">
        <v>19</v>
      </c>
      <c r="D116" s="169" t="s">
        <v>19</v>
      </c>
      <c r="E116" s="168" t="s">
        <v>19</v>
      </c>
      <c r="F116" s="170"/>
      <c r="G116" s="147"/>
      <c r="L116" s="171" t="s">
        <v>32</v>
      </c>
      <c r="M116" s="156">
        <f t="shared" si="216"/>
        <v>11038276</v>
      </c>
      <c r="N116" s="156">
        <v>11038276</v>
      </c>
      <c r="O116" s="156">
        <f t="shared" si="217"/>
        <v>0</v>
      </c>
    </row>
    <row r="117" spans="1:15" ht="15.75" customHeight="1">
      <c r="A117" s="172" t="s">
        <v>109</v>
      </c>
      <c r="B117" s="173" t="s">
        <v>21</v>
      </c>
      <c r="C117" s="174">
        <v>9819593</v>
      </c>
      <c r="D117" s="175">
        <f>ROUND(C117*75%,0)</f>
        <v>7364695</v>
      </c>
      <c r="E117" s="174">
        <v>-51401</v>
      </c>
      <c r="F117" s="98">
        <f t="shared" ref="F117:F126" si="221">E117/C117</f>
        <v>-5.2345346696141071E-3</v>
      </c>
      <c r="L117" s="171" t="s">
        <v>29</v>
      </c>
      <c r="M117" s="156">
        <f t="shared" si="216"/>
        <v>13526785</v>
      </c>
      <c r="N117" s="156">
        <v>13516785</v>
      </c>
      <c r="O117" s="156">
        <f t="shared" si="217"/>
        <v>10000</v>
      </c>
    </row>
    <row r="118" spans="1:15" ht="15.75" customHeight="1">
      <c r="A118" s="176" t="s">
        <v>110</v>
      </c>
      <c r="B118" s="177" t="s">
        <v>21</v>
      </c>
      <c r="C118" s="178">
        <v>6871037</v>
      </c>
      <c r="D118" s="179">
        <v>6830990</v>
      </c>
      <c r="E118" s="178">
        <v>599155</v>
      </c>
      <c r="F118" s="98">
        <f t="shared" si="221"/>
        <v>8.7200083480848664E-2</v>
      </c>
      <c r="L118" s="155" t="s">
        <v>25</v>
      </c>
      <c r="M118" s="180">
        <f t="shared" ref="M118:N118" si="222">SUM(M111:M117)</f>
        <v>36757029</v>
      </c>
      <c r="N118" s="180">
        <f t="shared" si="222"/>
        <v>36742029</v>
      </c>
      <c r="O118" s="156">
        <f t="shared" si="217"/>
        <v>15000</v>
      </c>
    </row>
    <row r="119" spans="1:15" ht="15.75" customHeight="1">
      <c r="A119" s="181" t="s">
        <v>111</v>
      </c>
      <c r="B119" s="182" t="s">
        <v>21</v>
      </c>
      <c r="C119" s="183">
        <v>20000</v>
      </c>
      <c r="D119" s="184">
        <v>20000</v>
      </c>
      <c r="E119" s="183">
        <v>2388</v>
      </c>
      <c r="F119" s="98">
        <f t="shared" si="221"/>
        <v>0.11940000000000001</v>
      </c>
    </row>
    <row r="120" spans="1:15" ht="15.75" customHeight="1">
      <c r="A120" s="185"/>
      <c r="B120" s="186" t="s">
        <v>25</v>
      </c>
      <c r="C120" s="187">
        <f t="shared" ref="C120:E120" si="223">SUM(C117:C119)</f>
        <v>16710630</v>
      </c>
      <c r="D120" s="188">
        <f t="shared" si="223"/>
        <v>14215685</v>
      </c>
      <c r="E120" s="187">
        <f t="shared" si="223"/>
        <v>550142</v>
      </c>
      <c r="F120" s="98">
        <f t="shared" si="221"/>
        <v>3.2921679194620433E-2</v>
      </c>
    </row>
    <row r="121" spans="1:15" ht="15.75" customHeight="1">
      <c r="A121" s="189" t="s">
        <v>79</v>
      </c>
      <c r="B121" s="147"/>
      <c r="C121" s="147"/>
      <c r="D121" s="147"/>
      <c r="E121" s="147"/>
      <c r="F121" s="98" t="e">
        <f t="shared" si="221"/>
        <v>#DIV/0!</v>
      </c>
    </row>
    <row r="122" spans="1:15" ht="15.75" customHeight="1">
      <c r="A122" s="190" t="s">
        <v>109</v>
      </c>
      <c r="B122" s="173" t="s">
        <v>21</v>
      </c>
      <c r="C122" s="174">
        <v>9905586</v>
      </c>
      <c r="D122" s="174">
        <f>ROUND(C122*75%,0)</f>
        <v>7429190</v>
      </c>
      <c r="E122" s="174">
        <v>195708</v>
      </c>
      <c r="F122" s="98">
        <f t="shared" si="221"/>
        <v>1.9757336920804079E-2</v>
      </c>
    </row>
    <row r="123" spans="1:15" ht="15.75" customHeight="1">
      <c r="A123" s="176" t="s">
        <v>110</v>
      </c>
      <c r="B123" s="177" t="s">
        <v>21</v>
      </c>
      <c r="C123" s="178">
        <v>6941037</v>
      </c>
      <c r="D123" s="178">
        <v>6800513</v>
      </c>
      <c r="E123" s="178">
        <v>184700</v>
      </c>
      <c r="F123" s="98">
        <f t="shared" si="221"/>
        <v>2.6609856711612399E-2</v>
      </c>
    </row>
    <row r="124" spans="1:15" ht="15.75" customHeight="1">
      <c r="A124" s="181" t="s">
        <v>111</v>
      </c>
      <c r="B124" s="182" t="s">
        <v>21</v>
      </c>
      <c r="C124" s="183">
        <v>20000</v>
      </c>
      <c r="D124" s="183">
        <v>20000</v>
      </c>
      <c r="E124" s="183">
        <v>0</v>
      </c>
      <c r="F124" s="98">
        <f t="shared" si="221"/>
        <v>0</v>
      </c>
    </row>
    <row r="125" spans="1:15" ht="15.75" customHeight="1">
      <c r="A125" s="185"/>
      <c r="B125" s="191" t="s">
        <v>25</v>
      </c>
      <c r="C125" s="192">
        <f t="shared" ref="C125:E125" si="224">SUM(C122:C124)</f>
        <v>16866623</v>
      </c>
      <c r="D125" s="192">
        <f t="shared" si="224"/>
        <v>14249703</v>
      </c>
      <c r="E125" s="192">
        <f t="shared" si="224"/>
        <v>380408</v>
      </c>
      <c r="F125" s="98">
        <f t="shared" si="221"/>
        <v>2.2553892382606761E-2</v>
      </c>
    </row>
    <row r="126" spans="1:15" ht="15.75" customHeight="1">
      <c r="A126" s="193"/>
      <c r="B126" s="194" t="s">
        <v>83</v>
      </c>
      <c r="C126" s="195">
        <f t="shared" ref="C126:E126" si="225">C120-C125</f>
        <v>-155993</v>
      </c>
      <c r="D126" s="195">
        <f t="shared" si="225"/>
        <v>-34018</v>
      </c>
      <c r="E126" s="195">
        <f t="shared" si="225"/>
        <v>169734</v>
      </c>
      <c r="F126" s="98">
        <f t="shared" si="221"/>
        <v>-1.08808728596796</v>
      </c>
    </row>
    <row r="127" spans="1:15" ht="15.75" customHeight="1">
      <c r="A127" s="189"/>
      <c r="B127" s="147"/>
      <c r="C127" s="147"/>
      <c r="D127" s="147"/>
      <c r="E127" s="147"/>
      <c r="F127" s="196"/>
    </row>
    <row r="128" spans="1:15" ht="15.75" customHeight="1">
      <c r="A128" s="185" t="s">
        <v>112</v>
      </c>
      <c r="B128" s="197" t="s">
        <v>32</v>
      </c>
      <c r="C128" s="187">
        <v>293605</v>
      </c>
      <c r="D128" s="198">
        <f>ROUND(C128*75%,0)</f>
        <v>220204</v>
      </c>
      <c r="E128" s="187">
        <v>118247</v>
      </c>
      <c r="F128" s="98">
        <f t="shared" ref="F128:F132" si="226">E128/C128</f>
        <v>0.40274177892065871</v>
      </c>
    </row>
    <row r="129" spans="1:6" ht="15.75" customHeight="1">
      <c r="A129" s="189"/>
      <c r="B129" s="199"/>
      <c r="C129" s="200"/>
      <c r="D129" s="201"/>
      <c r="E129" s="200"/>
      <c r="F129" s="98" t="e">
        <f t="shared" si="226"/>
        <v>#DIV/0!</v>
      </c>
    </row>
    <row r="130" spans="1:6" ht="15.75" customHeight="1">
      <c r="A130" s="970" t="s">
        <v>113</v>
      </c>
      <c r="B130" s="966"/>
      <c r="C130" s="202">
        <f t="shared" ref="C130:E130" si="227">C101+C120</f>
        <v>31952583</v>
      </c>
      <c r="D130" s="202">
        <f t="shared" si="227"/>
        <v>29455138</v>
      </c>
      <c r="E130" s="202">
        <f t="shared" si="227"/>
        <v>3723262</v>
      </c>
      <c r="F130" s="98">
        <f t="shared" si="226"/>
        <v>0.1165246014696214</v>
      </c>
    </row>
    <row r="131" spans="1:6" ht="15.75" customHeight="1">
      <c r="A131" s="971" t="s">
        <v>114</v>
      </c>
      <c r="B131" s="931"/>
      <c r="C131" s="203">
        <f t="shared" ref="C131:E131" si="228">C125</f>
        <v>16866623</v>
      </c>
      <c r="D131" s="203">
        <f t="shared" si="228"/>
        <v>14249703</v>
      </c>
      <c r="E131" s="203">
        <f t="shared" si="228"/>
        <v>380408</v>
      </c>
      <c r="F131" s="98">
        <f t="shared" si="226"/>
        <v>2.2553892382606761E-2</v>
      </c>
    </row>
    <row r="132" spans="1:6" ht="15.75" customHeight="1">
      <c r="A132" s="204" t="s">
        <v>115</v>
      </c>
      <c r="B132" s="205"/>
      <c r="C132" s="206">
        <f t="shared" ref="C132:E132" si="229">C130-C131</f>
        <v>15085960</v>
      </c>
      <c r="D132" s="206">
        <f t="shared" si="229"/>
        <v>15205435</v>
      </c>
      <c r="E132" s="206">
        <f t="shared" si="229"/>
        <v>3342854</v>
      </c>
      <c r="F132" s="98">
        <f t="shared" si="226"/>
        <v>0.22158709157388726</v>
      </c>
    </row>
    <row r="133" spans="1:6" ht="15.75" customHeight="1"/>
    <row r="134" spans="1:6" ht="15.75" customHeight="1"/>
    <row r="135" spans="1:6" ht="15.75" customHeight="1"/>
    <row r="136" spans="1:6" ht="15.75" customHeight="1"/>
    <row r="137" spans="1:6" ht="15.75" customHeight="1"/>
    <row r="138" spans="1:6" ht="15.75" customHeight="1"/>
    <row r="139" spans="1:6" ht="15.75" customHeight="1"/>
    <row r="140" spans="1:6" ht="15.75" customHeight="1"/>
    <row r="141" spans="1:6" ht="15.75" customHeight="1"/>
    <row r="142" spans="1:6" ht="15.75" customHeight="1"/>
    <row r="143" spans="1:6" ht="15.75" customHeight="1"/>
    <row r="144" spans="1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9">
    <mergeCell ref="A43:A45"/>
    <mergeCell ref="A47:A48"/>
    <mergeCell ref="G72:G77"/>
    <mergeCell ref="G79:G82"/>
    <mergeCell ref="G84:G88"/>
    <mergeCell ref="G90:G94"/>
    <mergeCell ref="G96:G99"/>
    <mergeCell ref="G101:G108"/>
    <mergeCell ref="G39:G41"/>
    <mergeCell ref="G43:G45"/>
    <mergeCell ref="G47:G48"/>
    <mergeCell ref="G50:G53"/>
    <mergeCell ref="G55:G58"/>
    <mergeCell ref="G60:G64"/>
    <mergeCell ref="G66:G70"/>
    <mergeCell ref="A83:F83"/>
    <mergeCell ref="A89:F89"/>
    <mergeCell ref="A95:F95"/>
    <mergeCell ref="A100:F100"/>
    <mergeCell ref="A46:F46"/>
    <mergeCell ref="A49:F49"/>
    <mergeCell ref="A54:F54"/>
    <mergeCell ref="A59:F59"/>
    <mergeCell ref="A65:F65"/>
    <mergeCell ref="A35:F35"/>
    <mergeCell ref="G36:G37"/>
    <mergeCell ref="A38:F38"/>
    <mergeCell ref="A42:F42"/>
    <mergeCell ref="A18:A23"/>
    <mergeCell ref="A25:A28"/>
    <mergeCell ref="A30:A34"/>
    <mergeCell ref="A36:A37"/>
    <mergeCell ref="A39:A41"/>
    <mergeCell ref="G35:L35"/>
    <mergeCell ref="A10:F10"/>
    <mergeCell ref="A11:A12"/>
    <mergeCell ref="A13:F13"/>
    <mergeCell ref="A14:A16"/>
    <mergeCell ref="A17:F17"/>
    <mergeCell ref="G25:G28"/>
    <mergeCell ref="A24:F24"/>
    <mergeCell ref="A29:F29"/>
    <mergeCell ref="G30:G34"/>
    <mergeCell ref="G29:L29"/>
    <mergeCell ref="G11:G12"/>
    <mergeCell ref="G14:G16"/>
    <mergeCell ref="G18:G23"/>
    <mergeCell ref="G10:L10"/>
    <mergeCell ref="G13:L13"/>
    <mergeCell ref="G17:L17"/>
    <mergeCell ref="G24:L24"/>
    <mergeCell ref="A115:A116"/>
    <mergeCell ref="A130:B130"/>
    <mergeCell ref="A131:B131"/>
    <mergeCell ref="A50:A53"/>
    <mergeCell ref="A55:A58"/>
    <mergeCell ref="A60:A64"/>
    <mergeCell ref="A66:A70"/>
    <mergeCell ref="A72:A77"/>
    <mergeCell ref="A79:A82"/>
    <mergeCell ref="A84:A88"/>
    <mergeCell ref="B115:B116"/>
    <mergeCell ref="A71:F71"/>
    <mergeCell ref="A78:F78"/>
    <mergeCell ref="G100:L100"/>
    <mergeCell ref="M78:R78"/>
    <mergeCell ref="M83:R83"/>
    <mergeCell ref="M89:R89"/>
    <mergeCell ref="M95:R95"/>
    <mergeCell ref="M100:R100"/>
    <mergeCell ref="A90:A94"/>
    <mergeCell ref="A96:A99"/>
    <mergeCell ref="A101:A108"/>
    <mergeCell ref="M101:M108"/>
    <mergeCell ref="G78:L78"/>
    <mergeCell ref="M10:R10"/>
    <mergeCell ref="M11:M12"/>
    <mergeCell ref="M13:R13"/>
    <mergeCell ref="M14:M16"/>
    <mergeCell ref="M17:R17"/>
    <mergeCell ref="M18:M23"/>
    <mergeCell ref="M24:R24"/>
    <mergeCell ref="M25:M28"/>
    <mergeCell ref="M29:R29"/>
    <mergeCell ref="A4:A5"/>
    <mergeCell ref="B4:B5"/>
    <mergeCell ref="F4:F5"/>
    <mergeCell ref="H4:H5"/>
    <mergeCell ref="L4:L5"/>
    <mergeCell ref="M4:M5"/>
    <mergeCell ref="M6:M9"/>
    <mergeCell ref="N4:N5"/>
    <mergeCell ref="R4:R5"/>
    <mergeCell ref="A6:A9"/>
    <mergeCell ref="G4:G5"/>
    <mergeCell ref="G6:G9"/>
    <mergeCell ref="G3:L3"/>
    <mergeCell ref="M3:R3"/>
    <mergeCell ref="A1:F1"/>
    <mergeCell ref="G1:L1"/>
    <mergeCell ref="M1:R1"/>
    <mergeCell ref="A2:F2"/>
    <mergeCell ref="G2:L2"/>
    <mergeCell ref="M2:R2"/>
    <mergeCell ref="A3:F3"/>
    <mergeCell ref="M50:M53"/>
    <mergeCell ref="M55:M58"/>
    <mergeCell ref="M60:M64"/>
    <mergeCell ref="G42:L42"/>
    <mergeCell ref="G46:L46"/>
    <mergeCell ref="G49:L49"/>
    <mergeCell ref="G54:L54"/>
    <mergeCell ref="G59:L59"/>
    <mergeCell ref="M38:R38"/>
    <mergeCell ref="G38:L38"/>
    <mergeCell ref="M72:M77"/>
    <mergeCell ref="M79:M82"/>
    <mergeCell ref="M84:M88"/>
    <mergeCell ref="M90:M94"/>
    <mergeCell ref="M96:M99"/>
    <mergeCell ref="M30:M34"/>
    <mergeCell ref="M35:R35"/>
    <mergeCell ref="G83:L83"/>
    <mergeCell ref="G89:L89"/>
    <mergeCell ref="G95:L95"/>
    <mergeCell ref="G65:L65"/>
    <mergeCell ref="G71:L71"/>
    <mergeCell ref="M42:R42"/>
    <mergeCell ref="M46:R46"/>
    <mergeCell ref="M49:R49"/>
    <mergeCell ref="M54:R54"/>
    <mergeCell ref="M59:R59"/>
    <mergeCell ref="M65:R65"/>
    <mergeCell ref="M71:R71"/>
    <mergeCell ref="M66:M70"/>
    <mergeCell ref="M36:M37"/>
    <mergeCell ref="M39:M41"/>
    <mergeCell ref="M43:M45"/>
    <mergeCell ref="M47:M4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R1000"/>
  <sheetViews>
    <sheetView workbookViewId="0"/>
  </sheetViews>
  <sheetFormatPr defaultColWidth="12.625" defaultRowHeight="15" customHeight="1"/>
  <cols>
    <col min="1" max="1" width="22.625" customWidth="1"/>
    <col min="2" max="2" width="15.75" customWidth="1"/>
    <col min="3" max="3" width="16.625" customWidth="1"/>
    <col min="4" max="4" width="13.25" hidden="1" customWidth="1"/>
    <col min="5" max="5" width="16.5" customWidth="1"/>
    <col min="6" max="6" width="13.375" customWidth="1"/>
    <col min="7" max="7" width="19.375" customWidth="1"/>
    <col min="8" max="8" width="16.125" customWidth="1"/>
    <col min="9" max="9" width="17.125" customWidth="1"/>
    <col min="10" max="10" width="13.375" hidden="1" customWidth="1"/>
    <col min="11" max="11" width="16" customWidth="1"/>
    <col min="12" max="12" width="15.625" customWidth="1"/>
    <col min="13" max="13" width="17.625" customWidth="1"/>
    <col min="14" max="14" width="18.125" customWidth="1"/>
    <col min="15" max="15" width="16.75" customWidth="1"/>
    <col min="16" max="16" width="0.25" hidden="1" customWidth="1"/>
    <col min="17" max="17" width="17.25" customWidth="1"/>
    <col min="18" max="18" width="15.375" customWidth="1"/>
    <col min="19" max="26" width="7.875" customWidth="1"/>
  </cols>
  <sheetData>
    <row r="1" spans="1:18" ht="21" customHeight="1">
      <c r="A1" s="962" t="s">
        <v>88</v>
      </c>
      <c r="B1" s="928"/>
      <c r="C1" s="928"/>
      <c r="D1" s="928"/>
      <c r="E1" s="928"/>
      <c r="F1" s="928"/>
      <c r="G1" s="963" t="str">
        <f>A1</f>
        <v xml:space="preserve">Capex review on OBG 2021-22 </v>
      </c>
      <c r="H1" s="957"/>
      <c r="I1" s="957"/>
      <c r="J1" s="957"/>
      <c r="K1" s="957"/>
      <c r="L1" s="957"/>
      <c r="M1" s="964" t="str">
        <f>G1</f>
        <v xml:space="preserve">Capex review on OBG 2021-22 </v>
      </c>
      <c r="N1" s="957"/>
      <c r="O1" s="957"/>
      <c r="P1" s="957"/>
      <c r="Q1" s="957"/>
      <c r="R1" s="957"/>
    </row>
    <row r="2" spans="1:18">
      <c r="A2" s="965" t="s">
        <v>1</v>
      </c>
      <c r="B2" s="966"/>
      <c r="C2" s="966"/>
      <c r="D2" s="966"/>
      <c r="E2" s="966"/>
      <c r="F2" s="967"/>
      <c r="G2" s="965" t="s">
        <v>89</v>
      </c>
      <c r="H2" s="966"/>
      <c r="I2" s="966"/>
      <c r="J2" s="966"/>
      <c r="K2" s="966"/>
      <c r="L2" s="967"/>
      <c r="M2" s="965" t="s">
        <v>90</v>
      </c>
      <c r="N2" s="966"/>
      <c r="O2" s="966"/>
      <c r="P2" s="966"/>
      <c r="Q2" s="966"/>
      <c r="R2" s="967"/>
    </row>
    <row r="3" spans="1:18" ht="15.75">
      <c r="A3" s="959" t="s">
        <v>91</v>
      </c>
      <c r="B3" s="960"/>
      <c r="C3" s="960"/>
      <c r="D3" s="960"/>
      <c r="E3" s="960"/>
      <c r="F3" s="961"/>
      <c r="G3" s="959" t="s">
        <v>91</v>
      </c>
      <c r="H3" s="960"/>
      <c r="I3" s="960"/>
      <c r="J3" s="960"/>
      <c r="K3" s="960"/>
      <c r="L3" s="961"/>
      <c r="M3" s="959" t="s">
        <v>91</v>
      </c>
      <c r="N3" s="960"/>
      <c r="O3" s="960"/>
      <c r="P3" s="960"/>
      <c r="Q3" s="960"/>
      <c r="R3" s="961"/>
    </row>
    <row r="4" spans="1:18" ht="53.25" customHeight="1">
      <c r="A4" s="968" t="s">
        <v>6</v>
      </c>
      <c r="B4" s="968" t="s">
        <v>7</v>
      </c>
      <c r="C4" s="89" t="s">
        <v>92</v>
      </c>
      <c r="D4" s="89" t="s">
        <v>93</v>
      </c>
      <c r="E4" s="90" t="s">
        <v>116</v>
      </c>
      <c r="F4" s="969" t="s">
        <v>95</v>
      </c>
      <c r="G4" s="968" t="s">
        <v>6</v>
      </c>
      <c r="H4" s="968" t="s">
        <v>7</v>
      </c>
      <c r="I4" s="89" t="str">
        <f t="shared" ref="I4:K4" si="0">C4</f>
        <v xml:space="preserve">OBG 2021-22 </v>
      </c>
      <c r="J4" s="89" t="str">
        <f t="shared" si="0"/>
        <v>Spending Limit 2021-22 ( S L)</v>
      </c>
      <c r="K4" s="91" t="str">
        <f t="shared" si="0"/>
        <v>Actual Exp. up to May-2021</v>
      </c>
      <c r="L4" s="969" t="s">
        <v>96</v>
      </c>
      <c r="M4" s="968" t="s">
        <v>6</v>
      </c>
      <c r="N4" s="968" t="s">
        <v>7</v>
      </c>
      <c r="O4" s="89" t="str">
        <f t="shared" ref="O4:Q4" si="1">C4</f>
        <v xml:space="preserve">OBG 2021-22 </v>
      </c>
      <c r="P4" s="89" t="str">
        <f t="shared" si="1"/>
        <v>Spending Limit 2021-22 ( S L)</v>
      </c>
      <c r="Q4" s="91" t="str">
        <f t="shared" si="1"/>
        <v>Actual Exp. up to May-2021</v>
      </c>
      <c r="R4" s="969" t="s">
        <v>95</v>
      </c>
    </row>
    <row r="5" spans="1:18" ht="33.75" customHeight="1">
      <c r="A5" s="949"/>
      <c r="B5" s="949"/>
      <c r="C5" s="92" t="s">
        <v>19</v>
      </c>
      <c r="D5" s="92" t="s">
        <v>19</v>
      </c>
      <c r="E5" s="93" t="s">
        <v>19</v>
      </c>
      <c r="F5" s="934"/>
      <c r="G5" s="949"/>
      <c r="H5" s="949"/>
      <c r="I5" s="94" t="s">
        <v>19</v>
      </c>
      <c r="J5" s="92" t="s">
        <v>19</v>
      </c>
      <c r="K5" s="93" t="s">
        <v>19</v>
      </c>
      <c r="L5" s="958"/>
      <c r="M5" s="949"/>
      <c r="N5" s="949"/>
      <c r="O5" s="92" t="s">
        <v>19</v>
      </c>
      <c r="P5" s="92" t="s">
        <v>19</v>
      </c>
      <c r="Q5" s="93" t="s">
        <v>19</v>
      </c>
      <c r="R5" s="958"/>
    </row>
    <row r="6" spans="1:18" ht="15.75" customHeight="1">
      <c r="A6" s="951" t="s">
        <v>97</v>
      </c>
      <c r="B6" s="95" t="s">
        <v>21</v>
      </c>
      <c r="C6" s="96">
        <v>10001</v>
      </c>
      <c r="D6" s="95">
        <f t="shared" ref="D6:D7" si="2">C6</f>
        <v>10001</v>
      </c>
      <c r="E6" s="97">
        <v>0</v>
      </c>
      <c r="F6" s="98">
        <f t="shared" ref="F6:F9" si="3">E6/C6</f>
        <v>0</v>
      </c>
      <c r="G6" s="951" t="s">
        <v>97</v>
      </c>
      <c r="H6" s="95" t="s">
        <v>21</v>
      </c>
      <c r="I6" s="96">
        <v>10001</v>
      </c>
      <c r="J6" s="95">
        <f t="shared" ref="J6:J7" si="4">I6</f>
        <v>10001</v>
      </c>
      <c r="K6" s="97">
        <v>0</v>
      </c>
      <c r="L6" s="98">
        <f t="shared" ref="L6:L9" si="5">K6/I6</f>
        <v>0</v>
      </c>
      <c r="M6" s="951" t="s">
        <v>97</v>
      </c>
      <c r="N6" s="99" t="s">
        <v>21</v>
      </c>
      <c r="O6" s="95">
        <f t="shared" ref="O6:Q6" si="6">C6-I6</f>
        <v>0</v>
      </c>
      <c r="P6" s="95">
        <f t="shared" si="6"/>
        <v>0</v>
      </c>
      <c r="Q6" s="100">
        <f t="shared" si="6"/>
        <v>0</v>
      </c>
      <c r="R6" s="101"/>
    </row>
    <row r="7" spans="1:18">
      <c r="A7" s="952"/>
      <c r="B7" s="102" t="s">
        <v>22</v>
      </c>
      <c r="C7" s="103">
        <v>0</v>
      </c>
      <c r="D7" s="102">
        <f t="shared" si="2"/>
        <v>0</v>
      </c>
      <c r="E7" s="104">
        <v>0</v>
      </c>
      <c r="F7" s="105" t="e">
        <f t="shared" si="3"/>
        <v>#DIV/0!</v>
      </c>
      <c r="G7" s="952"/>
      <c r="H7" s="102" t="s">
        <v>22</v>
      </c>
      <c r="I7" s="103">
        <v>0</v>
      </c>
      <c r="J7" s="102">
        <f t="shared" si="4"/>
        <v>0</v>
      </c>
      <c r="K7" s="104">
        <v>0</v>
      </c>
      <c r="L7" s="105" t="e">
        <f t="shared" si="5"/>
        <v>#DIV/0!</v>
      </c>
      <c r="M7" s="952"/>
      <c r="N7" s="106" t="s">
        <v>22</v>
      </c>
      <c r="O7" s="102">
        <f t="shared" ref="O7:Q7" si="7">C7-I7</f>
        <v>0</v>
      </c>
      <c r="P7" s="102">
        <f t="shared" si="7"/>
        <v>0</v>
      </c>
      <c r="Q7" s="107">
        <f t="shared" si="7"/>
        <v>0</v>
      </c>
      <c r="R7" s="101"/>
    </row>
    <row r="8" spans="1:18">
      <c r="A8" s="952"/>
      <c r="B8" s="102" t="s">
        <v>40</v>
      </c>
      <c r="C8" s="108">
        <v>2</v>
      </c>
      <c r="D8" s="109"/>
      <c r="E8" s="110">
        <v>424</v>
      </c>
      <c r="F8" s="105">
        <f t="shared" si="3"/>
        <v>212</v>
      </c>
      <c r="G8" s="952"/>
      <c r="H8" s="102" t="s">
        <v>40</v>
      </c>
      <c r="I8" s="108">
        <v>2</v>
      </c>
      <c r="J8" s="109"/>
      <c r="K8" s="110">
        <v>424</v>
      </c>
      <c r="L8" s="105">
        <f t="shared" si="5"/>
        <v>212</v>
      </c>
      <c r="M8" s="952"/>
      <c r="N8" s="102" t="s">
        <v>40</v>
      </c>
      <c r="O8" s="102">
        <f t="shared" ref="O8:Q8" si="8">C8-I8</f>
        <v>0</v>
      </c>
      <c r="P8" s="102">
        <f t="shared" si="8"/>
        <v>0</v>
      </c>
      <c r="Q8" s="107">
        <f t="shared" si="8"/>
        <v>0</v>
      </c>
      <c r="R8" s="101"/>
    </row>
    <row r="9" spans="1:18" ht="15.75">
      <c r="A9" s="953"/>
      <c r="B9" s="113" t="s">
        <v>25</v>
      </c>
      <c r="C9" s="114">
        <f t="shared" ref="C9:E9" si="9">SUM(C6:C8)</f>
        <v>10003</v>
      </c>
      <c r="D9" s="115">
        <f t="shared" si="9"/>
        <v>10001</v>
      </c>
      <c r="E9" s="115">
        <f t="shared" si="9"/>
        <v>424</v>
      </c>
      <c r="F9" s="116">
        <f t="shared" si="3"/>
        <v>4.2387283814855542E-2</v>
      </c>
      <c r="G9" s="953"/>
      <c r="H9" s="113" t="s">
        <v>25</v>
      </c>
      <c r="I9" s="114">
        <f t="shared" ref="I9:K9" si="10">SUM(I6:I8)</f>
        <v>10003</v>
      </c>
      <c r="J9" s="115">
        <f t="shared" si="10"/>
        <v>10001</v>
      </c>
      <c r="K9" s="115">
        <f t="shared" si="10"/>
        <v>424</v>
      </c>
      <c r="L9" s="116">
        <f t="shared" si="5"/>
        <v>4.2387283814855542E-2</v>
      </c>
      <c r="M9" s="953"/>
      <c r="N9" s="117" t="s">
        <v>25</v>
      </c>
      <c r="O9" s="118">
        <f t="shared" ref="O9:Q9" si="11">SUM(O6:O7)</f>
        <v>0</v>
      </c>
      <c r="P9" s="118">
        <f t="shared" si="11"/>
        <v>0</v>
      </c>
      <c r="Q9" s="118">
        <f t="shared" si="11"/>
        <v>0</v>
      </c>
      <c r="R9" s="101"/>
    </row>
    <row r="10" spans="1:18" ht="15.75">
      <c r="A10" s="954"/>
      <c r="B10" s="928"/>
      <c r="C10" s="928"/>
      <c r="D10" s="928"/>
      <c r="E10" s="928"/>
      <c r="F10" s="955"/>
      <c r="G10" s="954"/>
      <c r="H10" s="928"/>
      <c r="I10" s="928"/>
      <c r="J10" s="928"/>
      <c r="K10" s="928"/>
      <c r="L10" s="955"/>
      <c r="M10" s="954"/>
      <c r="N10" s="928"/>
      <c r="O10" s="928"/>
      <c r="P10" s="928"/>
      <c r="Q10" s="928"/>
      <c r="R10" s="955"/>
    </row>
    <row r="11" spans="1:18" ht="15.75" customHeight="1">
      <c r="A11" s="951" t="s">
        <v>26</v>
      </c>
      <c r="B11" s="119" t="s">
        <v>21</v>
      </c>
      <c r="C11" s="119">
        <v>260001</v>
      </c>
      <c r="D11" s="119">
        <f>C11</f>
        <v>260001</v>
      </c>
      <c r="E11" s="120">
        <v>13678</v>
      </c>
      <c r="F11" s="98">
        <f t="shared" ref="F11:F12" si="12">E11/C11</f>
        <v>5.2607489971192418E-2</v>
      </c>
      <c r="G11" s="951" t="s">
        <v>26</v>
      </c>
      <c r="H11" s="119" t="s">
        <v>21</v>
      </c>
      <c r="I11" s="119">
        <v>260001</v>
      </c>
      <c r="J11" s="119">
        <f>I11</f>
        <v>260001</v>
      </c>
      <c r="K11" s="120">
        <v>13678</v>
      </c>
      <c r="L11" s="98">
        <f t="shared" ref="L11:L12" si="13">K11/I11</f>
        <v>5.2607489971192418E-2</v>
      </c>
      <c r="M11" s="951" t="s">
        <v>26</v>
      </c>
      <c r="N11" s="119" t="s">
        <v>21</v>
      </c>
      <c r="O11" s="102">
        <f t="shared" ref="O11:Q11" si="14">C11-I11</f>
        <v>0</v>
      </c>
      <c r="P11" s="102">
        <f t="shared" si="14"/>
        <v>0</v>
      </c>
      <c r="Q11" s="107">
        <f t="shared" si="14"/>
        <v>0</v>
      </c>
      <c r="R11" s="105"/>
    </row>
    <row r="12" spans="1:18" ht="15.75">
      <c r="A12" s="953"/>
      <c r="B12" s="118" t="s">
        <v>25</v>
      </c>
      <c r="C12" s="118">
        <f t="shared" ref="C12:E12" si="15">SUM(C11)</f>
        <v>260001</v>
      </c>
      <c r="D12" s="118">
        <f t="shared" si="15"/>
        <v>260001</v>
      </c>
      <c r="E12" s="121">
        <f t="shared" si="15"/>
        <v>13678</v>
      </c>
      <c r="F12" s="116">
        <f t="shared" si="12"/>
        <v>5.2607489971192418E-2</v>
      </c>
      <c r="G12" s="953"/>
      <c r="H12" s="118" t="s">
        <v>25</v>
      </c>
      <c r="I12" s="118">
        <f t="shared" ref="I12:K12" si="16">SUM(I11)</f>
        <v>260001</v>
      </c>
      <c r="J12" s="118">
        <f t="shared" si="16"/>
        <v>260001</v>
      </c>
      <c r="K12" s="121">
        <f t="shared" si="16"/>
        <v>13678</v>
      </c>
      <c r="L12" s="116">
        <f t="shared" si="13"/>
        <v>5.2607489971192418E-2</v>
      </c>
      <c r="M12" s="953"/>
      <c r="N12" s="118" t="s">
        <v>25</v>
      </c>
      <c r="O12" s="118">
        <f t="shared" ref="O12:Q12" si="17">SUM(O11)</f>
        <v>0</v>
      </c>
      <c r="P12" s="118">
        <f t="shared" si="17"/>
        <v>0</v>
      </c>
      <c r="Q12" s="118">
        <f t="shared" si="17"/>
        <v>0</v>
      </c>
      <c r="R12" s="105"/>
    </row>
    <row r="13" spans="1:18" ht="15.75">
      <c r="A13" s="954"/>
      <c r="B13" s="928"/>
      <c r="C13" s="928"/>
      <c r="D13" s="928"/>
      <c r="E13" s="928"/>
      <c r="F13" s="955"/>
      <c r="G13" s="954"/>
      <c r="H13" s="928"/>
      <c r="I13" s="928"/>
      <c r="J13" s="928"/>
      <c r="K13" s="928"/>
      <c r="L13" s="955"/>
      <c r="M13" s="954"/>
      <c r="N13" s="928"/>
      <c r="O13" s="928"/>
      <c r="P13" s="928"/>
      <c r="Q13" s="928"/>
      <c r="R13" s="955"/>
    </row>
    <row r="14" spans="1:18">
      <c r="A14" s="948" t="s">
        <v>27</v>
      </c>
      <c r="B14" s="95" t="s">
        <v>21</v>
      </c>
      <c r="C14" s="99">
        <v>6780400</v>
      </c>
      <c r="D14" s="99">
        <f t="shared" ref="D14:D15" si="18">C14</f>
        <v>6780400</v>
      </c>
      <c r="E14" s="97">
        <v>988</v>
      </c>
      <c r="F14" s="98">
        <f t="shared" ref="F14:F16" si="19">E14/C14</f>
        <v>1.4571411716122942E-4</v>
      </c>
      <c r="G14" s="948" t="s">
        <v>27</v>
      </c>
      <c r="H14" s="95" t="s">
        <v>21</v>
      </c>
      <c r="I14" s="99">
        <f>2700400+4000000</f>
        <v>6700400</v>
      </c>
      <c r="J14" s="99">
        <f t="shared" ref="J14:J15" si="20">I14</f>
        <v>6700400</v>
      </c>
      <c r="K14" s="97">
        <v>988</v>
      </c>
      <c r="L14" s="98">
        <f t="shared" ref="L14:L16" si="21">K14/I14</f>
        <v>1.4745388335024774E-4</v>
      </c>
      <c r="M14" s="948" t="s">
        <v>27</v>
      </c>
      <c r="N14" s="95" t="s">
        <v>21</v>
      </c>
      <c r="O14" s="102">
        <f t="shared" ref="O14:Q14" si="22">C14-I14</f>
        <v>80000</v>
      </c>
      <c r="P14" s="102">
        <f t="shared" si="22"/>
        <v>80000</v>
      </c>
      <c r="Q14" s="107">
        <f t="shared" si="22"/>
        <v>0</v>
      </c>
      <c r="R14" s="105">
        <f t="shared" ref="R14:R15" si="23">Q14/O14</f>
        <v>0</v>
      </c>
    </row>
    <row r="15" spans="1:18">
      <c r="A15" s="949"/>
      <c r="B15" s="102" t="s">
        <v>29</v>
      </c>
      <c r="C15" s="106">
        <v>12020015</v>
      </c>
      <c r="D15" s="106">
        <f t="shared" si="18"/>
        <v>12020015</v>
      </c>
      <c r="E15" s="104">
        <v>2131399</v>
      </c>
      <c r="F15" s="105">
        <f t="shared" si="19"/>
        <v>0.17732082697068183</v>
      </c>
      <c r="G15" s="949"/>
      <c r="H15" s="102" t="s">
        <v>29</v>
      </c>
      <c r="I15" s="106">
        <f>6920014+5000001</f>
        <v>11920015</v>
      </c>
      <c r="J15" s="106">
        <f t="shared" si="20"/>
        <v>11920015</v>
      </c>
      <c r="K15" s="104">
        <f>259589+1871700</f>
        <v>2131289</v>
      </c>
      <c r="L15" s="105">
        <f t="shared" si="21"/>
        <v>0.17879918775269998</v>
      </c>
      <c r="M15" s="949"/>
      <c r="N15" s="102" t="s">
        <v>29</v>
      </c>
      <c r="O15" s="102">
        <f t="shared" ref="O15:Q15" si="24">C15-I15</f>
        <v>100000</v>
      </c>
      <c r="P15" s="102">
        <f t="shared" si="24"/>
        <v>100000</v>
      </c>
      <c r="Q15" s="107">
        <f t="shared" si="24"/>
        <v>110</v>
      </c>
      <c r="R15" s="105">
        <f t="shared" si="23"/>
        <v>1.1000000000000001E-3</v>
      </c>
    </row>
    <row r="16" spans="1:18" ht="15.75">
      <c r="A16" s="950"/>
      <c r="B16" s="118" t="s">
        <v>25</v>
      </c>
      <c r="C16" s="115">
        <f t="shared" ref="C16:E16" si="25">SUM(C14:C15)</f>
        <v>18800415</v>
      </c>
      <c r="D16" s="115">
        <f t="shared" si="25"/>
        <v>18800415</v>
      </c>
      <c r="E16" s="121">
        <f t="shared" si="25"/>
        <v>2132387</v>
      </c>
      <c r="F16" s="116">
        <f t="shared" si="19"/>
        <v>0.11342233668778057</v>
      </c>
      <c r="G16" s="950"/>
      <c r="H16" s="118" t="s">
        <v>25</v>
      </c>
      <c r="I16" s="115">
        <f t="shared" ref="I16:K16" si="26">SUM(I14:I15)</f>
        <v>18620415</v>
      </c>
      <c r="J16" s="115">
        <f t="shared" si="26"/>
        <v>18620415</v>
      </c>
      <c r="K16" s="121">
        <f t="shared" si="26"/>
        <v>2132277</v>
      </c>
      <c r="L16" s="116">
        <f t="shared" si="21"/>
        <v>0.1145128612869262</v>
      </c>
      <c r="M16" s="950"/>
      <c r="N16" s="118" t="s">
        <v>25</v>
      </c>
      <c r="O16" s="115">
        <f t="shared" ref="O16:Q16" si="27">SUM(O14:O15)</f>
        <v>180000</v>
      </c>
      <c r="P16" s="115">
        <f t="shared" si="27"/>
        <v>180000</v>
      </c>
      <c r="Q16" s="115">
        <f t="shared" si="27"/>
        <v>110</v>
      </c>
      <c r="R16" s="105">
        <f>Q16/P16</f>
        <v>6.111111111111111E-4</v>
      </c>
    </row>
    <row r="17" spans="1:18" ht="15.75">
      <c r="A17" s="954"/>
      <c r="B17" s="928"/>
      <c r="C17" s="928"/>
      <c r="D17" s="928"/>
      <c r="E17" s="928"/>
      <c r="F17" s="955"/>
      <c r="G17" s="954"/>
      <c r="H17" s="928"/>
      <c r="I17" s="928"/>
      <c r="J17" s="928"/>
      <c r="K17" s="928"/>
      <c r="L17" s="955"/>
      <c r="M17" s="954"/>
      <c r="N17" s="928"/>
      <c r="O17" s="928"/>
      <c r="P17" s="928"/>
      <c r="Q17" s="928"/>
      <c r="R17" s="955"/>
    </row>
    <row r="18" spans="1:18" ht="15.75" customHeight="1">
      <c r="A18" s="948" t="s">
        <v>30</v>
      </c>
      <c r="B18" s="95" t="s">
        <v>21</v>
      </c>
      <c r="C18" s="99">
        <v>150007</v>
      </c>
      <c r="D18" s="99">
        <f>C18</f>
        <v>150007</v>
      </c>
      <c r="E18" s="97">
        <v>19171</v>
      </c>
      <c r="F18" s="98">
        <f t="shared" ref="F18:F23" si="28">E18/C18</f>
        <v>0.12780070263387708</v>
      </c>
      <c r="G18" s="948" t="s">
        <v>30</v>
      </c>
      <c r="H18" s="95" t="s">
        <v>21</v>
      </c>
      <c r="I18" s="99">
        <v>150007</v>
      </c>
      <c r="J18" s="99">
        <f>I18</f>
        <v>150007</v>
      </c>
      <c r="K18" s="97">
        <v>14768</v>
      </c>
      <c r="L18" s="98">
        <f t="shared" ref="L18:L23" si="29">K18/I18</f>
        <v>9.8448739058843923E-2</v>
      </c>
      <c r="M18" s="948" t="s">
        <v>30</v>
      </c>
      <c r="N18" s="95" t="s">
        <v>21</v>
      </c>
      <c r="O18" s="102">
        <f t="shared" ref="O18:Q18" si="30">C18-I18</f>
        <v>0</v>
      </c>
      <c r="P18" s="102">
        <f t="shared" si="30"/>
        <v>0</v>
      </c>
      <c r="Q18" s="107">
        <f t="shared" si="30"/>
        <v>4403</v>
      </c>
      <c r="R18" s="105" t="e">
        <f t="shared" ref="R18:R23" si="31">Q18/O18</f>
        <v>#DIV/0!</v>
      </c>
    </row>
    <row r="19" spans="1:18">
      <c r="A19" s="949"/>
      <c r="B19" s="102" t="s">
        <v>28</v>
      </c>
      <c r="C19" s="106">
        <v>0</v>
      </c>
      <c r="D19" s="106">
        <f t="shared" ref="D19:D20" si="32">SUM(ROUND(C19*50%,0))</f>
        <v>0</v>
      </c>
      <c r="E19" s="104">
        <v>0</v>
      </c>
      <c r="F19" s="105" t="e">
        <f t="shared" si="28"/>
        <v>#DIV/0!</v>
      </c>
      <c r="G19" s="949"/>
      <c r="H19" s="102" t="s">
        <v>28</v>
      </c>
      <c r="I19" s="106">
        <v>0</v>
      </c>
      <c r="J19" s="106">
        <f t="shared" ref="J19:J20" si="33">SUM(ROUND(I19*50%,0))</f>
        <v>0</v>
      </c>
      <c r="K19" s="104">
        <v>0</v>
      </c>
      <c r="L19" s="105" t="e">
        <f t="shared" si="29"/>
        <v>#DIV/0!</v>
      </c>
      <c r="M19" s="949"/>
      <c r="N19" s="102" t="s">
        <v>28</v>
      </c>
      <c r="O19" s="102">
        <f t="shared" ref="O19:Q19" si="34">C19-I19</f>
        <v>0</v>
      </c>
      <c r="P19" s="102">
        <f t="shared" si="34"/>
        <v>0</v>
      </c>
      <c r="Q19" s="107">
        <f t="shared" si="34"/>
        <v>0</v>
      </c>
      <c r="R19" s="105" t="e">
        <f t="shared" si="31"/>
        <v>#DIV/0!</v>
      </c>
    </row>
    <row r="20" spans="1:18">
      <c r="A20" s="949"/>
      <c r="B20" s="102" t="s">
        <v>31</v>
      </c>
      <c r="C20" s="106">
        <v>100039</v>
      </c>
      <c r="D20" s="106">
        <f t="shared" si="32"/>
        <v>50020</v>
      </c>
      <c r="E20" s="104">
        <v>19392</v>
      </c>
      <c r="F20" s="105">
        <f t="shared" si="28"/>
        <v>0.19384440068373335</v>
      </c>
      <c r="G20" s="949"/>
      <c r="H20" s="102" t="s">
        <v>31</v>
      </c>
      <c r="I20" s="106">
        <v>50026</v>
      </c>
      <c r="J20" s="106">
        <f t="shared" si="33"/>
        <v>25013</v>
      </c>
      <c r="K20" s="104">
        <v>11080</v>
      </c>
      <c r="L20" s="105">
        <f t="shared" si="29"/>
        <v>0.22148482788949747</v>
      </c>
      <c r="M20" s="949"/>
      <c r="N20" s="102" t="s">
        <v>31</v>
      </c>
      <c r="O20" s="102">
        <f t="shared" ref="O20:Q20" si="35">C20-I20</f>
        <v>50013</v>
      </c>
      <c r="P20" s="102">
        <f t="shared" si="35"/>
        <v>25007</v>
      </c>
      <c r="Q20" s="107">
        <f t="shared" si="35"/>
        <v>8312</v>
      </c>
      <c r="R20" s="105">
        <f t="shared" si="31"/>
        <v>0.16619678883490294</v>
      </c>
    </row>
    <row r="21" spans="1:18" ht="15.75" customHeight="1">
      <c r="A21" s="949"/>
      <c r="B21" s="122" t="s">
        <v>32</v>
      </c>
      <c r="C21" s="123">
        <v>2</v>
      </c>
      <c r="D21" s="106">
        <f>SUM(ROUND(C21*75%,0))</f>
        <v>2</v>
      </c>
      <c r="E21" s="104">
        <v>16939</v>
      </c>
      <c r="F21" s="105">
        <f t="shared" si="28"/>
        <v>8469.5</v>
      </c>
      <c r="G21" s="949"/>
      <c r="H21" s="122" t="s">
        <v>32</v>
      </c>
      <c r="I21" s="123">
        <v>2</v>
      </c>
      <c r="J21" s="106">
        <f>SUM(ROUND(I21*75%,0))</f>
        <v>2</v>
      </c>
      <c r="K21" s="104">
        <v>3837</v>
      </c>
      <c r="L21" s="105">
        <f t="shared" si="29"/>
        <v>1918.5</v>
      </c>
      <c r="M21" s="949"/>
      <c r="N21" s="122" t="s">
        <v>32</v>
      </c>
      <c r="O21" s="102">
        <f t="shared" ref="O21:Q21" si="36">C21-I21</f>
        <v>0</v>
      </c>
      <c r="P21" s="102">
        <f t="shared" si="36"/>
        <v>0</v>
      </c>
      <c r="Q21" s="107">
        <f t="shared" si="36"/>
        <v>13102</v>
      </c>
      <c r="R21" s="105" t="e">
        <f t="shared" si="31"/>
        <v>#DIV/0!</v>
      </c>
    </row>
    <row r="22" spans="1:18" ht="15.75" customHeight="1">
      <c r="A22" s="949"/>
      <c r="B22" s="102" t="s">
        <v>29</v>
      </c>
      <c r="C22" s="123">
        <v>13416785</v>
      </c>
      <c r="D22" s="123">
        <f>C22</f>
        <v>13416785</v>
      </c>
      <c r="E22" s="104">
        <v>25924</v>
      </c>
      <c r="F22" s="105">
        <f t="shared" si="28"/>
        <v>1.9322065606626328E-3</v>
      </c>
      <c r="G22" s="949"/>
      <c r="H22" s="102" t="s">
        <v>29</v>
      </c>
      <c r="I22" s="123">
        <v>0</v>
      </c>
      <c r="J22" s="123">
        <f>I22</f>
        <v>0</v>
      </c>
      <c r="K22" s="104">
        <v>0</v>
      </c>
      <c r="L22" s="105" t="e">
        <f t="shared" si="29"/>
        <v>#DIV/0!</v>
      </c>
      <c r="M22" s="949"/>
      <c r="N22" s="102" t="s">
        <v>29</v>
      </c>
      <c r="O22" s="102">
        <f t="shared" ref="O22:Q22" si="37">C22-I22</f>
        <v>13416785</v>
      </c>
      <c r="P22" s="102">
        <f t="shared" si="37"/>
        <v>13416785</v>
      </c>
      <c r="Q22" s="107">
        <f t="shared" si="37"/>
        <v>25924</v>
      </c>
      <c r="R22" s="105">
        <f t="shared" si="31"/>
        <v>1.9322065606626328E-3</v>
      </c>
    </row>
    <row r="23" spans="1:18" ht="15.75" customHeight="1">
      <c r="A23" s="950"/>
      <c r="B23" s="118" t="s">
        <v>25</v>
      </c>
      <c r="C23" s="115">
        <f t="shared" ref="C23:E23" si="38">SUM(C18:C22)</f>
        <v>13666833</v>
      </c>
      <c r="D23" s="115">
        <f t="shared" si="38"/>
        <v>13616814</v>
      </c>
      <c r="E23" s="121">
        <f t="shared" si="38"/>
        <v>81426</v>
      </c>
      <c r="F23" s="116">
        <f t="shared" si="28"/>
        <v>5.9579274876630159E-3</v>
      </c>
      <c r="G23" s="950"/>
      <c r="H23" s="118" t="s">
        <v>25</v>
      </c>
      <c r="I23" s="115">
        <f t="shared" ref="I23:K23" si="39">SUM(I18:I22)</f>
        <v>200035</v>
      </c>
      <c r="J23" s="115">
        <f t="shared" si="39"/>
        <v>175022</v>
      </c>
      <c r="K23" s="121">
        <f t="shared" si="39"/>
        <v>29685</v>
      </c>
      <c r="L23" s="116">
        <f t="shared" si="29"/>
        <v>0.14839903016972031</v>
      </c>
      <c r="M23" s="950"/>
      <c r="N23" s="118" t="s">
        <v>25</v>
      </c>
      <c r="O23" s="115">
        <f t="shared" ref="O23:Q23" si="40">SUM(O18:O22)</f>
        <v>13466798</v>
      </c>
      <c r="P23" s="115">
        <f t="shared" si="40"/>
        <v>13441792</v>
      </c>
      <c r="Q23" s="115">
        <f t="shared" si="40"/>
        <v>51741</v>
      </c>
      <c r="R23" s="105">
        <f t="shared" si="31"/>
        <v>3.8421159952053935E-3</v>
      </c>
    </row>
    <row r="24" spans="1:18" ht="15.75" customHeight="1">
      <c r="A24" s="954"/>
      <c r="B24" s="928"/>
      <c r="C24" s="928"/>
      <c r="D24" s="928"/>
      <c r="E24" s="928"/>
      <c r="F24" s="955"/>
      <c r="G24" s="954"/>
      <c r="H24" s="928"/>
      <c r="I24" s="928"/>
      <c r="J24" s="928"/>
      <c r="K24" s="928"/>
      <c r="L24" s="955"/>
      <c r="M24" s="954"/>
      <c r="N24" s="928"/>
      <c r="O24" s="928"/>
      <c r="P24" s="928"/>
      <c r="Q24" s="928"/>
      <c r="R24" s="955"/>
    </row>
    <row r="25" spans="1:18" ht="15.75" customHeight="1">
      <c r="A25" s="948" t="s">
        <v>34</v>
      </c>
      <c r="B25" s="95" t="s">
        <v>21</v>
      </c>
      <c r="C25" s="99">
        <v>5000</v>
      </c>
      <c r="D25" s="99">
        <f>C25</f>
        <v>5000</v>
      </c>
      <c r="E25" s="97">
        <v>0</v>
      </c>
      <c r="F25" s="98">
        <f t="shared" ref="F25:F28" si="41">E25/C25</f>
        <v>0</v>
      </c>
      <c r="G25" s="948" t="s">
        <v>34</v>
      </c>
      <c r="H25" s="95" t="s">
        <v>21</v>
      </c>
      <c r="I25" s="99">
        <v>0</v>
      </c>
      <c r="J25" s="99">
        <f>I25</f>
        <v>0</v>
      </c>
      <c r="K25" s="97">
        <v>0</v>
      </c>
      <c r="L25" s="98" t="e">
        <f t="shared" ref="L25:L28" si="42">K25/I25</f>
        <v>#DIV/0!</v>
      </c>
      <c r="M25" s="948" t="s">
        <v>34</v>
      </c>
      <c r="N25" s="95" t="s">
        <v>21</v>
      </c>
      <c r="O25" s="102">
        <f t="shared" ref="O25:Q25" si="43">C25-I25</f>
        <v>5000</v>
      </c>
      <c r="P25" s="102">
        <f t="shared" si="43"/>
        <v>5000</v>
      </c>
      <c r="Q25" s="107">
        <f t="shared" si="43"/>
        <v>0</v>
      </c>
      <c r="R25" s="105">
        <f t="shared" ref="R25:R28" si="44">Q25/O25</f>
        <v>0</v>
      </c>
    </row>
    <row r="26" spans="1:18" ht="15.75" customHeight="1">
      <c r="A26" s="949"/>
      <c r="B26" s="102" t="s">
        <v>28</v>
      </c>
      <c r="C26" s="106">
        <v>30000</v>
      </c>
      <c r="D26" s="106">
        <f t="shared" ref="D26:D27" si="45">SUM(ROUND(C26*50%,0))</f>
        <v>15000</v>
      </c>
      <c r="E26" s="104">
        <v>0</v>
      </c>
      <c r="F26" s="105">
        <f t="shared" si="41"/>
        <v>0</v>
      </c>
      <c r="G26" s="949"/>
      <c r="H26" s="102" t="s">
        <v>28</v>
      </c>
      <c r="I26" s="106">
        <v>0</v>
      </c>
      <c r="J26" s="106">
        <f t="shared" ref="J26:J27" si="46">SUM(ROUND(I26*50%,0))</f>
        <v>0</v>
      </c>
      <c r="K26" s="104">
        <v>0</v>
      </c>
      <c r="L26" s="105" t="e">
        <f t="shared" si="42"/>
        <v>#DIV/0!</v>
      </c>
      <c r="M26" s="949"/>
      <c r="N26" s="102" t="s">
        <v>28</v>
      </c>
      <c r="O26" s="102">
        <f t="shared" ref="O26:Q26" si="47">C26-I26</f>
        <v>30000</v>
      </c>
      <c r="P26" s="102">
        <f t="shared" si="47"/>
        <v>15000</v>
      </c>
      <c r="Q26" s="107">
        <f t="shared" si="47"/>
        <v>0</v>
      </c>
      <c r="R26" s="105">
        <f t="shared" si="44"/>
        <v>0</v>
      </c>
    </row>
    <row r="27" spans="1:18" ht="15.75" customHeight="1">
      <c r="A27" s="949"/>
      <c r="B27" s="102" t="s">
        <v>31</v>
      </c>
      <c r="C27" s="106">
        <v>104</v>
      </c>
      <c r="D27" s="106">
        <f t="shared" si="45"/>
        <v>52</v>
      </c>
      <c r="E27" s="104">
        <v>117</v>
      </c>
      <c r="F27" s="105">
        <f t="shared" si="41"/>
        <v>1.125</v>
      </c>
      <c r="G27" s="949"/>
      <c r="H27" s="102" t="s">
        <v>31</v>
      </c>
      <c r="I27" s="106">
        <v>0</v>
      </c>
      <c r="J27" s="106">
        <f t="shared" si="46"/>
        <v>0</v>
      </c>
      <c r="K27" s="104">
        <v>0</v>
      </c>
      <c r="L27" s="105" t="e">
        <f t="shared" si="42"/>
        <v>#DIV/0!</v>
      </c>
      <c r="M27" s="949"/>
      <c r="N27" s="102" t="s">
        <v>31</v>
      </c>
      <c r="O27" s="102">
        <f t="shared" ref="O27:Q27" si="48">C27-I27</f>
        <v>104</v>
      </c>
      <c r="P27" s="102">
        <f t="shared" si="48"/>
        <v>52</v>
      </c>
      <c r="Q27" s="107">
        <f t="shared" si="48"/>
        <v>117</v>
      </c>
      <c r="R27" s="105">
        <f t="shared" si="44"/>
        <v>1.125</v>
      </c>
    </row>
    <row r="28" spans="1:18" ht="15.75" customHeight="1">
      <c r="A28" s="950"/>
      <c r="B28" s="118" t="s">
        <v>25</v>
      </c>
      <c r="C28" s="115">
        <f t="shared" ref="C28:E28" si="49">SUM(C25:C27)</f>
        <v>35104</v>
      </c>
      <c r="D28" s="115">
        <f t="shared" si="49"/>
        <v>20052</v>
      </c>
      <c r="E28" s="121">
        <f t="shared" si="49"/>
        <v>117</v>
      </c>
      <c r="F28" s="116">
        <f t="shared" si="41"/>
        <v>3.3329535095715586E-3</v>
      </c>
      <c r="G28" s="950"/>
      <c r="H28" s="118" t="s">
        <v>25</v>
      </c>
      <c r="I28" s="115">
        <f t="shared" ref="I28:K28" si="50">SUM(I25:I27)</f>
        <v>0</v>
      </c>
      <c r="J28" s="115">
        <f t="shared" si="50"/>
        <v>0</v>
      </c>
      <c r="K28" s="121">
        <f t="shared" si="50"/>
        <v>0</v>
      </c>
      <c r="L28" s="116" t="e">
        <f t="shared" si="42"/>
        <v>#DIV/0!</v>
      </c>
      <c r="M28" s="950"/>
      <c r="N28" s="118" t="s">
        <v>25</v>
      </c>
      <c r="O28" s="115">
        <f t="shared" ref="O28:Q28" si="51">SUM(O25:O27)</f>
        <v>35104</v>
      </c>
      <c r="P28" s="115">
        <f t="shared" si="51"/>
        <v>20052</v>
      </c>
      <c r="Q28" s="115">
        <f t="shared" si="51"/>
        <v>117</v>
      </c>
      <c r="R28" s="105">
        <f t="shared" si="44"/>
        <v>3.3329535095715586E-3</v>
      </c>
    </row>
    <row r="29" spans="1:18" ht="15.75" customHeight="1">
      <c r="A29" s="954"/>
      <c r="B29" s="928"/>
      <c r="C29" s="928"/>
      <c r="D29" s="928"/>
      <c r="E29" s="928"/>
      <c r="F29" s="955"/>
      <c r="G29" s="954"/>
      <c r="H29" s="928"/>
      <c r="I29" s="928"/>
      <c r="J29" s="928"/>
      <c r="K29" s="928"/>
      <c r="L29" s="955"/>
      <c r="M29" s="954"/>
      <c r="N29" s="928"/>
      <c r="O29" s="928"/>
      <c r="P29" s="928"/>
      <c r="Q29" s="928"/>
      <c r="R29" s="955"/>
    </row>
    <row r="30" spans="1:18" ht="15.75" customHeight="1">
      <c r="A30" s="948" t="s">
        <v>98</v>
      </c>
      <c r="B30" s="95" t="s">
        <v>21</v>
      </c>
      <c r="C30" s="99">
        <v>17001</v>
      </c>
      <c r="D30" s="99">
        <f>C30</f>
        <v>17001</v>
      </c>
      <c r="E30" s="97">
        <v>3968</v>
      </c>
      <c r="F30" s="98">
        <f t="shared" ref="F30:F34" si="52">E30/C30</f>
        <v>0.23339803540968179</v>
      </c>
      <c r="G30" s="948" t="s">
        <v>98</v>
      </c>
      <c r="H30" s="95" t="s">
        <v>21</v>
      </c>
      <c r="I30" s="99">
        <v>0</v>
      </c>
      <c r="J30" s="99">
        <f>I30</f>
        <v>0</v>
      </c>
      <c r="K30" s="97">
        <v>0</v>
      </c>
      <c r="L30" s="98" t="e">
        <f t="shared" ref="L30:L34" si="53">K30/I30</f>
        <v>#DIV/0!</v>
      </c>
      <c r="M30" s="948" t="s">
        <v>98</v>
      </c>
      <c r="N30" s="95" t="s">
        <v>21</v>
      </c>
      <c r="O30" s="102">
        <f t="shared" ref="O30:Q30" si="54">C30-I30</f>
        <v>17001</v>
      </c>
      <c r="P30" s="102">
        <f t="shared" si="54"/>
        <v>17001</v>
      </c>
      <c r="Q30" s="107">
        <f t="shared" si="54"/>
        <v>3968</v>
      </c>
      <c r="R30" s="105">
        <f t="shared" ref="R30:R34" si="55">Q30/O30</f>
        <v>0.23339803540968179</v>
      </c>
    </row>
    <row r="31" spans="1:18" ht="15.75" customHeight="1">
      <c r="A31" s="949"/>
      <c r="B31" s="102" t="s">
        <v>28</v>
      </c>
      <c r="C31" s="106">
        <v>0</v>
      </c>
      <c r="D31" s="106">
        <f t="shared" ref="D31:D32" si="56">SUM(ROUND(C31*50%,0))</f>
        <v>0</v>
      </c>
      <c r="E31" s="104">
        <v>0</v>
      </c>
      <c r="F31" s="105" t="e">
        <f t="shared" si="52"/>
        <v>#DIV/0!</v>
      </c>
      <c r="G31" s="949"/>
      <c r="H31" s="102" t="s">
        <v>28</v>
      </c>
      <c r="I31" s="106">
        <v>0</v>
      </c>
      <c r="J31" s="106">
        <f t="shared" ref="J31:J32" si="57">SUM(ROUND(I31*50%,0))</f>
        <v>0</v>
      </c>
      <c r="K31" s="104">
        <v>0</v>
      </c>
      <c r="L31" s="105" t="e">
        <f t="shared" si="53"/>
        <v>#DIV/0!</v>
      </c>
      <c r="M31" s="949"/>
      <c r="N31" s="102" t="s">
        <v>28</v>
      </c>
      <c r="O31" s="102">
        <f t="shared" ref="O31:Q31" si="58">C31-I31</f>
        <v>0</v>
      </c>
      <c r="P31" s="102">
        <f t="shared" si="58"/>
        <v>0</v>
      </c>
      <c r="Q31" s="107">
        <f t="shared" si="58"/>
        <v>0</v>
      </c>
      <c r="R31" s="105" t="e">
        <f t="shared" si="55"/>
        <v>#DIV/0!</v>
      </c>
    </row>
    <row r="32" spans="1:18" ht="15.75" customHeight="1">
      <c r="A32" s="949"/>
      <c r="B32" s="102" t="s">
        <v>31</v>
      </c>
      <c r="C32" s="106">
        <v>75646</v>
      </c>
      <c r="D32" s="106">
        <f t="shared" si="56"/>
        <v>37823</v>
      </c>
      <c r="E32" s="104">
        <v>0</v>
      </c>
      <c r="F32" s="105">
        <f t="shared" si="52"/>
        <v>0</v>
      </c>
      <c r="G32" s="949"/>
      <c r="H32" s="102" t="s">
        <v>31</v>
      </c>
      <c r="I32" s="106">
        <v>0</v>
      </c>
      <c r="J32" s="106">
        <f t="shared" si="57"/>
        <v>0</v>
      </c>
      <c r="K32" s="104">
        <v>0</v>
      </c>
      <c r="L32" s="105" t="e">
        <f t="shared" si="53"/>
        <v>#DIV/0!</v>
      </c>
      <c r="M32" s="949"/>
      <c r="N32" s="102" t="s">
        <v>31</v>
      </c>
      <c r="O32" s="102">
        <f t="shared" ref="O32:Q32" si="59">C32-I32</f>
        <v>75646</v>
      </c>
      <c r="P32" s="102">
        <f t="shared" si="59"/>
        <v>37823</v>
      </c>
      <c r="Q32" s="107">
        <f t="shared" si="59"/>
        <v>0</v>
      </c>
      <c r="R32" s="105">
        <f t="shared" si="55"/>
        <v>0</v>
      </c>
    </row>
    <row r="33" spans="1:18" ht="15.75" customHeight="1">
      <c r="A33" s="949"/>
      <c r="B33" s="122" t="s">
        <v>32</v>
      </c>
      <c r="C33" s="123">
        <v>87373</v>
      </c>
      <c r="D33" s="106">
        <f>SUM(ROUND(C33*75%,0))</f>
        <v>65530</v>
      </c>
      <c r="E33" s="104">
        <v>4167</v>
      </c>
      <c r="F33" s="105">
        <f t="shared" si="52"/>
        <v>4.7692078788641803E-2</v>
      </c>
      <c r="G33" s="949"/>
      <c r="H33" s="122" t="s">
        <v>32</v>
      </c>
      <c r="I33" s="123">
        <v>0</v>
      </c>
      <c r="J33" s="106">
        <f>SUM(ROUND(I33*75%,0))</f>
        <v>0</v>
      </c>
      <c r="K33" s="104">
        <v>0</v>
      </c>
      <c r="L33" s="105" t="e">
        <f t="shared" si="53"/>
        <v>#DIV/0!</v>
      </c>
      <c r="M33" s="949"/>
      <c r="N33" s="122" t="s">
        <v>32</v>
      </c>
      <c r="O33" s="102">
        <f t="shared" ref="O33:Q33" si="60">C33-I33</f>
        <v>87373</v>
      </c>
      <c r="P33" s="102">
        <f t="shared" si="60"/>
        <v>65530</v>
      </c>
      <c r="Q33" s="107">
        <f t="shared" si="60"/>
        <v>4167</v>
      </c>
      <c r="R33" s="105">
        <f t="shared" si="55"/>
        <v>4.7692078788641803E-2</v>
      </c>
    </row>
    <row r="34" spans="1:18" ht="15.75" customHeight="1">
      <c r="A34" s="950"/>
      <c r="B34" s="118" t="s">
        <v>25</v>
      </c>
      <c r="C34" s="115">
        <f t="shared" ref="C34:E34" si="61">SUM(C30:C33)</f>
        <v>180020</v>
      </c>
      <c r="D34" s="115">
        <f t="shared" si="61"/>
        <v>120354</v>
      </c>
      <c r="E34" s="121">
        <f t="shared" si="61"/>
        <v>8135</v>
      </c>
      <c r="F34" s="116">
        <f t="shared" si="52"/>
        <v>4.5189423397400286E-2</v>
      </c>
      <c r="G34" s="950"/>
      <c r="H34" s="118" t="s">
        <v>25</v>
      </c>
      <c r="I34" s="115">
        <f t="shared" ref="I34:K34" si="62">SUM(I30:I33)</f>
        <v>0</v>
      </c>
      <c r="J34" s="115">
        <f t="shared" si="62"/>
        <v>0</v>
      </c>
      <c r="K34" s="121">
        <f t="shared" si="62"/>
        <v>0</v>
      </c>
      <c r="L34" s="116" t="e">
        <f t="shared" si="53"/>
        <v>#DIV/0!</v>
      </c>
      <c r="M34" s="950"/>
      <c r="N34" s="118" t="s">
        <v>25</v>
      </c>
      <c r="O34" s="115">
        <f t="shared" ref="O34:Q34" si="63">SUM(O30:O33)</f>
        <v>180020</v>
      </c>
      <c r="P34" s="115">
        <f t="shared" si="63"/>
        <v>120354</v>
      </c>
      <c r="Q34" s="115">
        <f t="shared" si="63"/>
        <v>8135</v>
      </c>
      <c r="R34" s="105">
        <f t="shared" si="55"/>
        <v>4.5189423397400286E-2</v>
      </c>
    </row>
    <row r="35" spans="1:18" ht="15.75" customHeight="1">
      <c r="A35" s="954"/>
      <c r="B35" s="928"/>
      <c r="C35" s="928"/>
      <c r="D35" s="928"/>
      <c r="E35" s="928"/>
      <c r="F35" s="955"/>
      <c r="G35" s="954"/>
      <c r="H35" s="928"/>
      <c r="I35" s="928"/>
      <c r="J35" s="928"/>
      <c r="K35" s="928"/>
      <c r="L35" s="955"/>
      <c r="M35" s="954"/>
      <c r="N35" s="928"/>
      <c r="O35" s="928"/>
      <c r="P35" s="928"/>
      <c r="Q35" s="928"/>
      <c r="R35" s="955"/>
    </row>
    <row r="36" spans="1:18" ht="15.75" customHeight="1">
      <c r="A36" s="948" t="s">
        <v>99</v>
      </c>
      <c r="B36" s="95" t="s">
        <v>21</v>
      </c>
      <c r="C36" s="99">
        <v>6167100</v>
      </c>
      <c r="D36" s="99">
        <f>C36</f>
        <v>6167100</v>
      </c>
      <c r="E36" s="97">
        <v>3077600</v>
      </c>
      <c r="F36" s="98">
        <f t="shared" ref="F36:F37" si="64">E36/C36</f>
        <v>0.49903520293168591</v>
      </c>
      <c r="G36" s="948" t="s">
        <v>99</v>
      </c>
      <c r="H36" s="95" t="s">
        <v>21</v>
      </c>
      <c r="I36" s="99">
        <v>0</v>
      </c>
      <c r="J36" s="99">
        <f>I36</f>
        <v>0</v>
      </c>
      <c r="K36" s="97">
        <v>0</v>
      </c>
      <c r="L36" s="98" t="e">
        <f t="shared" ref="L36:L37" si="65">K36/I36</f>
        <v>#DIV/0!</v>
      </c>
      <c r="M36" s="948" t="s">
        <v>100</v>
      </c>
      <c r="N36" s="95" t="s">
        <v>21</v>
      </c>
      <c r="O36" s="102">
        <f t="shared" ref="O36:Q36" si="66">C36-I36</f>
        <v>6167100</v>
      </c>
      <c r="P36" s="102">
        <f t="shared" si="66"/>
        <v>6167100</v>
      </c>
      <c r="Q36" s="107">
        <f t="shared" si="66"/>
        <v>3077600</v>
      </c>
      <c r="R36" s="105">
        <f t="shared" ref="R36:R37" si="67">Q36/O36</f>
        <v>0.49903520293168591</v>
      </c>
    </row>
    <row r="37" spans="1:18" ht="15.75" customHeight="1">
      <c r="A37" s="950"/>
      <c r="B37" s="118" t="s">
        <v>25</v>
      </c>
      <c r="C37" s="115">
        <f t="shared" ref="C37:E37" si="68">SUM(C36)</f>
        <v>6167100</v>
      </c>
      <c r="D37" s="115">
        <f t="shared" si="68"/>
        <v>6167100</v>
      </c>
      <c r="E37" s="121">
        <f t="shared" si="68"/>
        <v>3077600</v>
      </c>
      <c r="F37" s="116">
        <f t="shared" si="64"/>
        <v>0.49903520293168591</v>
      </c>
      <c r="G37" s="950"/>
      <c r="H37" s="118" t="s">
        <v>25</v>
      </c>
      <c r="I37" s="115">
        <f t="shared" ref="I37:K37" si="69">SUM(I36)</f>
        <v>0</v>
      </c>
      <c r="J37" s="115">
        <f t="shared" si="69"/>
        <v>0</v>
      </c>
      <c r="K37" s="121">
        <f t="shared" si="69"/>
        <v>0</v>
      </c>
      <c r="L37" s="116" t="e">
        <f t="shared" si="65"/>
        <v>#DIV/0!</v>
      </c>
      <c r="M37" s="950"/>
      <c r="N37" s="118" t="s">
        <v>25</v>
      </c>
      <c r="O37" s="115">
        <f t="shared" ref="O37:Q37" si="70">SUM(O36)</f>
        <v>6167100</v>
      </c>
      <c r="P37" s="115">
        <f t="shared" si="70"/>
        <v>6167100</v>
      </c>
      <c r="Q37" s="115">
        <f t="shared" si="70"/>
        <v>3077600</v>
      </c>
      <c r="R37" s="105">
        <f t="shared" si="67"/>
        <v>0.49903520293168591</v>
      </c>
    </row>
    <row r="38" spans="1:18" ht="15.75" customHeight="1">
      <c r="A38" s="954"/>
      <c r="B38" s="928"/>
      <c r="C38" s="928"/>
      <c r="D38" s="928"/>
      <c r="E38" s="928"/>
      <c r="F38" s="955"/>
      <c r="G38" s="954"/>
      <c r="H38" s="928"/>
      <c r="I38" s="928"/>
      <c r="J38" s="928"/>
      <c r="K38" s="928"/>
      <c r="L38" s="955"/>
      <c r="M38" s="954"/>
      <c r="N38" s="928"/>
      <c r="O38" s="928"/>
      <c r="P38" s="928"/>
      <c r="Q38" s="928"/>
      <c r="R38" s="955"/>
    </row>
    <row r="39" spans="1:18" ht="15.75" customHeight="1">
      <c r="A39" s="948" t="s">
        <v>101</v>
      </c>
      <c r="B39" s="119" t="s">
        <v>40</v>
      </c>
      <c r="C39" s="119">
        <v>244105</v>
      </c>
      <c r="D39" s="119">
        <f>C39</f>
        <v>244105</v>
      </c>
      <c r="E39" s="120">
        <v>0</v>
      </c>
      <c r="F39" s="98">
        <f t="shared" ref="F39:F41" si="71">E39/C39</f>
        <v>0</v>
      </c>
      <c r="G39" s="948" t="s">
        <v>101</v>
      </c>
      <c r="H39" s="119" t="s">
        <v>40</v>
      </c>
      <c r="I39" s="119">
        <v>10000</v>
      </c>
      <c r="J39" s="119">
        <f>I39</f>
        <v>10000</v>
      </c>
      <c r="K39" s="120">
        <v>0</v>
      </c>
      <c r="L39" s="98">
        <f t="shared" ref="L39:L41" si="72">K39/I39</f>
        <v>0</v>
      </c>
      <c r="M39" s="948" t="s">
        <v>101</v>
      </c>
      <c r="N39" s="119" t="s">
        <v>40</v>
      </c>
      <c r="O39" s="102">
        <f t="shared" ref="O39:Q39" si="73">C39-I39</f>
        <v>234105</v>
      </c>
      <c r="P39" s="102">
        <f t="shared" si="73"/>
        <v>234105</v>
      </c>
      <c r="Q39" s="107">
        <f t="shared" si="73"/>
        <v>0</v>
      </c>
      <c r="R39" s="105">
        <f t="shared" ref="R39:R41" si="74">Q39/O39</f>
        <v>0</v>
      </c>
    </row>
    <row r="40" spans="1:18" ht="15.75" customHeight="1">
      <c r="A40" s="949"/>
      <c r="B40" s="122" t="s">
        <v>32</v>
      </c>
      <c r="C40" s="122">
        <v>0</v>
      </c>
      <c r="D40" s="106">
        <f>SUM(ROUND(C40*75%,0))</f>
        <v>0</v>
      </c>
      <c r="E40" s="104">
        <v>893</v>
      </c>
      <c r="F40" s="105" t="e">
        <f t="shared" si="71"/>
        <v>#DIV/0!</v>
      </c>
      <c r="G40" s="949"/>
      <c r="H40" s="122" t="s">
        <v>32</v>
      </c>
      <c r="I40" s="122">
        <v>0</v>
      </c>
      <c r="J40" s="106">
        <f>SUM(ROUND(I40*75%,0))</f>
        <v>0</v>
      </c>
      <c r="K40" s="104">
        <v>0</v>
      </c>
      <c r="L40" s="105" t="e">
        <f t="shared" si="72"/>
        <v>#DIV/0!</v>
      </c>
      <c r="M40" s="949"/>
      <c r="N40" s="122" t="s">
        <v>32</v>
      </c>
      <c r="O40" s="102">
        <f t="shared" ref="O40:Q40" si="75">C40-I40</f>
        <v>0</v>
      </c>
      <c r="P40" s="102">
        <f t="shared" si="75"/>
        <v>0</v>
      </c>
      <c r="Q40" s="107">
        <f t="shared" si="75"/>
        <v>893</v>
      </c>
      <c r="R40" s="105" t="e">
        <f t="shared" si="74"/>
        <v>#DIV/0!</v>
      </c>
    </row>
    <row r="41" spans="1:18" ht="15.75" customHeight="1">
      <c r="A41" s="950"/>
      <c r="B41" s="118" t="s">
        <v>25</v>
      </c>
      <c r="C41" s="118">
        <f t="shared" ref="C41:E41" si="76">SUM(C40)</f>
        <v>0</v>
      </c>
      <c r="D41" s="118">
        <f t="shared" si="76"/>
        <v>0</v>
      </c>
      <c r="E41" s="121">
        <f t="shared" si="76"/>
        <v>893</v>
      </c>
      <c r="F41" s="116" t="e">
        <f t="shared" si="71"/>
        <v>#DIV/0!</v>
      </c>
      <c r="G41" s="950"/>
      <c r="H41" s="118" t="s">
        <v>25</v>
      </c>
      <c r="I41" s="118">
        <f t="shared" ref="I41:K41" si="77">SUM(I40)</f>
        <v>0</v>
      </c>
      <c r="J41" s="118">
        <f t="shared" si="77"/>
        <v>0</v>
      </c>
      <c r="K41" s="121">
        <f t="shared" si="77"/>
        <v>0</v>
      </c>
      <c r="L41" s="116" t="e">
        <f t="shared" si="72"/>
        <v>#DIV/0!</v>
      </c>
      <c r="M41" s="950"/>
      <c r="N41" s="118" t="s">
        <v>25</v>
      </c>
      <c r="O41" s="118">
        <f t="shared" ref="O41:Q41" si="78">SUM(O40)</f>
        <v>0</v>
      </c>
      <c r="P41" s="118">
        <f t="shared" si="78"/>
        <v>0</v>
      </c>
      <c r="Q41" s="118">
        <f t="shared" si="78"/>
        <v>893</v>
      </c>
      <c r="R41" s="105" t="e">
        <f t="shared" si="74"/>
        <v>#DIV/0!</v>
      </c>
    </row>
    <row r="42" spans="1:18" ht="15.75" customHeight="1">
      <c r="A42" s="956"/>
      <c r="B42" s="957"/>
      <c r="C42" s="957"/>
      <c r="D42" s="957"/>
      <c r="E42" s="957"/>
      <c r="F42" s="958"/>
      <c r="G42" s="956"/>
      <c r="H42" s="957"/>
      <c r="I42" s="957"/>
      <c r="J42" s="957"/>
      <c r="K42" s="957"/>
      <c r="L42" s="958"/>
      <c r="M42" s="956"/>
      <c r="N42" s="957"/>
      <c r="O42" s="957"/>
      <c r="P42" s="957"/>
      <c r="Q42" s="957"/>
      <c r="R42" s="958"/>
    </row>
    <row r="43" spans="1:18" ht="15.75" customHeight="1">
      <c r="A43" s="948" t="s">
        <v>39</v>
      </c>
      <c r="B43" s="95" t="s">
        <v>40</v>
      </c>
      <c r="C43" s="99">
        <v>4613304</v>
      </c>
      <c r="D43" s="99">
        <f>C43</f>
        <v>4613304</v>
      </c>
      <c r="E43" s="97">
        <v>49300</v>
      </c>
      <c r="F43" s="98">
        <f t="shared" ref="F43:F45" si="79">E43/C43</f>
        <v>1.0686484133714145E-2</v>
      </c>
      <c r="G43" s="948" t="s">
        <v>39</v>
      </c>
      <c r="H43" s="95" t="s">
        <v>40</v>
      </c>
      <c r="I43" s="99">
        <v>1281400</v>
      </c>
      <c r="J43" s="99">
        <f>I43</f>
        <v>1281400</v>
      </c>
      <c r="K43" s="97">
        <v>48716</v>
      </c>
      <c r="L43" s="98">
        <f t="shared" ref="L43:L45" si="80">K43/I43</f>
        <v>3.801779303886374E-2</v>
      </c>
      <c r="M43" s="948" t="s">
        <v>39</v>
      </c>
      <c r="N43" s="95" t="s">
        <v>40</v>
      </c>
      <c r="O43" s="102">
        <f t="shared" ref="O43:Q43" si="81">C43-I43</f>
        <v>3331904</v>
      </c>
      <c r="P43" s="102">
        <f t="shared" si="81"/>
        <v>3331904</v>
      </c>
      <c r="Q43" s="107">
        <f t="shared" si="81"/>
        <v>584</v>
      </c>
      <c r="R43" s="105">
        <f t="shared" ref="R43:R45" si="82">Q43/O43</f>
        <v>1.7527515798774514E-4</v>
      </c>
    </row>
    <row r="44" spans="1:18" ht="15.75" customHeight="1">
      <c r="A44" s="949"/>
      <c r="B44" s="122" t="s">
        <v>32</v>
      </c>
      <c r="C44" s="123">
        <v>636735</v>
      </c>
      <c r="D44" s="106">
        <f>SUM(ROUND(C44*75%,0))</f>
        <v>477551</v>
      </c>
      <c r="E44" s="104">
        <v>108879</v>
      </c>
      <c r="F44" s="105">
        <f t="shared" si="79"/>
        <v>0.17099578317510425</v>
      </c>
      <c r="G44" s="949"/>
      <c r="H44" s="122" t="s">
        <v>32</v>
      </c>
      <c r="I44" s="123">
        <v>153861</v>
      </c>
      <c r="J44" s="106">
        <f>SUM(ROUND(I44*75%,0))</f>
        <v>115396</v>
      </c>
      <c r="K44" s="104">
        <v>15151</v>
      </c>
      <c r="L44" s="105">
        <f t="shared" si="80"/>
        <v>9.8471997452245857E-2</v>
      </c>
      <c r="M44" s="949"/>
      <c r="N44" s="122" t="s">
        <v>32</v>
      </c>
      <c r="O44" s="102">
        <f t="shared" ref="O44:Q44" si="83">C44-I44</f>
        <v>482874</v>
      </c>
      <c r="P44" s="102">
        <f t="shared" si="83"/>
        <v>362155</v>
      </c>
      <c r="Q44" s="107">
        <f t="shared" si="83"/>
        <v>93728</v>
      </c>
      <c r="R44" s="105">
        <f t="shared" si="82"/>
        <v>0.19410446617544122</v>
      </c>
    </row>
    <row r="45" spans="1:18" ht="15.75" customHeight="1">
      <c r="A45" s="950"/>
      <c r="B45" s="118" t="s">
        <v>25</v>
      </c>
      <c r="C45" s="115">
        <f t="shared" ref="C45:E45" si="84">SUM(C43:C44)</f>
        <v>5250039</v>
      </c>
      <c r="D45" s="115">
        <f t="shared" si="84"/>
        <v>5090855</v>
      </c>
      <c r="E45" s="115">
        <f t="shared" si="84"/>
        <v>158179</v>
      </c>
      <c r="F45" s="116">
        <f t="shared" si="79"/>
        <v>3.0129109517091208E-2</v>
      </c>
      <c r="G45" s="950"/>
      <c r="H45" s="118" t="s">
        <v>25</v>
      </c>
      <c r="I45" s="115">
        <f t="shared" ref="I45:K45" si="85">SUM(I43:I44)</f>
        <v>1435261</v>
      </c>
      <c r="J45" s="115">
        <f t="shared" si="85"/>
        <v>1396796</v>
      </c>
      <c r="K45" s="115">
        <f t="shared" si="85"/>
        <v>63867</v>
      </c>
      <c r="L45" s="116">
        <f t="shared" si="80"/>
        <v>4.4498526748793427E-2</v>
      </c>
      <c r="M45" s="950"/>
      <c r="N45" s="118" t="s">
        <v>25</v>
      </c>
      <c r="O45" s="115">
        <f t="shared" ref="O45:Q45" si="86">SUM(O43:O44)</f>
        <v>3814778</v>
      </c>
      <c r="P45" s="115">
        <f t="shared" si="86"/>
        <v>3694059</v>
      </c>
      <c r="Q45" s="115">
        <f t="shared" si="86"/>
        <v>94312</v>
      </c>
      <c r="R45" s="105">
        <f t="shared" si="82"/>
        <v>2.4722801693833823E-2</v>
      </c>
    </row>
    <row r="46" spans="1:18" ht="15.75" customHeight="1">
      <c r="A46" s="954"/>
      <c r="B46" s="928"/>
      <c r="C46" s="928"/>
      <c r="D46" s="928"/>
      <c r="E46" s="928"/>
      <c r="F46" s="955"/>
      <c r="G46" s="954"/>
      <c r="H46" s="928"/>
      <c r="I46" s="928"/>
      <c r="J46" s="928"/>
      <c r="K46" s="928"/>
      <c r="L46" s="955"/>
      <c r="M46" s="954"/>
      <c r="N46" s="928"/>
      <c r="O46" s="928"/>
      <c r="P46" s="928"/>
      <c r="Q46" s="928"/>
      <c r="R46" s="955"/>
    </row>
    <row r="47" spans="1:18" ht="15.75" customHeight="1">
      <c r="A47" s="948" t="s">
        <v>41</v>
      </c>
      <c r="B47" s="124" t="s">
        <v>32</v>
      </c>
      <c r="C47" s="125">
        <v>6000000</v>
      </c>
      <c r="D47" s="106">
        <f>SUM(ROUND(C47*75%,0))</f>
        <v>4500000</v>
      </c>
      <c r="E47" s="97">
        <v>1162392</v>
      </c>
      <c r="F47" s="98">
        <f t="shared" ref="F47:F48" si="87">E47/C47</f>
        <v>0.19373199999999999</v>
      </c>
      <c r="G47" s="948" t="s">
        <v>41</v>
      </c>
      <c r="H47" s="124" t="s">
        <v>32</v>
      </c>
      <c r="I47" s="125">
        <v>0</v>
      </c>
      <c r="J47" s="106">
        <f>SUM(ROUND(I47*75%,0))</f>
        <v>0</v>
      </c>
      <c r="K47" s="97">
        <v>0</v>
      </c>
      <c r="L47" s="98" t="e">
        <f t="shared" ref="L47:L48" si="88">K47/I47</f>
        <v>#DIV/0!</v>
      </c>
      <c r="M47" s="948" t="s">
        <v>41</v>
      </c>
      <c r="N47" s="124" t="s">
        <v>32</v>
      </c>
      <c r="O47" s="102">
        <f t="shared" ref="O47:Q47" si="89">C47-I47</f>
        <v>6000000</v>
      </c>
      <c r="P47" s="102">
        <f t="shared" si="89"/>
        <v>4500000</v>
      </c>
      <c r="Q47" s="107">
        <f t="shared" si="89"/>
        <v>1162392</v>
      </c>
      <c r="R47" s="105">
        <f t="shared" ref="R47:R48" si="90">Q47/O47</f>
        <v>0.19373199999999999</v>
      </c>
    </row>
    <row r="48" spans="1:18" ht="15.75" customHeight="1">
      <c r="A48" s="950"/>
      <c r="B48" s="118" t="s">
        <v>25</v>
      </c>
      <c r="C48" s="115">
        <f t="shared" ref="C48:E48" si="91">SUM(C47)</f>
        <v>6000000</v>
      </c>
      <c r="D48" s="115">
        <f t="shared" si="91"/>
        <v>4500000</v>
      </c>
      <c r="E48" s="121">
        <f t="shared" si="91"/>
        <v>1162392</v>
      </c>
      <c r="F48" s="116">
        <f t="shared" si="87"/>
        <v>0.19373199999999999</v>
      </c>
      <c r="G48" s="950"/>
      <c r="H48" s="118" t="s">
        <v>25</v>
      </c>
      <c r="I48" s="115">
        <f t="shared" ref="I48:K48" si="92">SUM(I47)</f>
        <v>0</v>
      </c>
      <c r="J48" s="115">
        <f t="shared" si="92"/>
        <v>0</v>
      </c>
      <c r="K48" s="121">
        <f t="shared" si="92"/>
        <v>0</v>
      </c>
      <c r="L48" s="116" t="e">
        <f t="shared" si="88"/>
        <v>#DIV/0!</v>
      </c>
      <c r="M48" s="950"/>
      <c r="N48" s="118" t="s">
        <v>25</v>
      </c>
      <c r="O48" s="115">
        <f t="shared" ref="O48:Q48" si="93">SUM(O47)</f>
        <v>6000000</v>
      </c>
      <c r="P48" s="115">
        <f t="shared" si="93"/>
        <v>4500000</v>
      </c>
      <c r="Q48" s="115">
        <f t="shared" si="93"/>
        <v>1162392</v>
      </c>
      <c r="R48" s="105">
        <f t="shared" si="90"/>
        <v>0.19373199999999999</v>
      </c>
    </row>
    <row r="49" spans="1:18" ht="15.75" customHeight="1">
      <c r="A49" s="954"/>
      <c r="B49" s="928"/>
      <c r="C49" s="928"/>
      <c r="D49" s="928"/>
      <c r="E49" s="928"/>
      <c r="F49" s="955"/>
      <c r="G49" s="954"/>
      <c r="H49" s="928"/>
      <c r="I49" s="928"/>
      <c r="J49" s="928"/>
      <c r="K49" s="928"/>
      <c r="L49" s="955"/>
      <c r="M49" s="954"/>
      <c r="N49" s="928"/>
      <c r="O49" s="928"/>
      <c r="P49" s="928"/>
      <c r="Q49" s="928"/>
      <c r="R49" s="955"/>
    </row>
    <row r="50" spans="1:18" ht="15.75" customHeight="1">
      <c r="A50" s="948" t="s">
        <v>42</v>
      </c>
      <c r="B50" s="95" t="s">
        <v>21</v>
      </c>
      <c r="C50" s="99">
        <v>4500</v>
      </c>
      <c r="D50" s="99">
        <f>C50</f>
        <v>4500</v>
      </c>
      <c r="E50" s="97">
        <v>0</v>
      </c>
      <c r="F50" s="98">
        <f t="shared" ref="F50:F53" si="94">E50/C50</f>
        <v>0</v>
      </c>
      <c r="G50" s="948" t="s">
        <v>42</v>
      </c>
      <c r="H50" s="95" t="s">
        <v>21</v>
      </c>
      <c r="I50" s="99">
        <v>0</v>
      </c>
      <c r="J50" s="99">
        <f>I50</f>
        <v>0</v>
      </c>
      <c r="K50" s="97">
        <v>0</v>
      </c>
      <c r="L50" s="98" t="e">
        <f t="shared" ref="L50:L53" si="95">K50/I50</f>
        <v>#DIV/0!</v>
      </c>
      <c r="M50" s="948" t="s">
        <v>42</v>
      </c>
      <c r="N50" s="95" t="s">
        <v>21</v>
      </c>
      <c r="O50" s="102">
        <f t="shared" ref="O50:Q50" si="96">C50-I50</f>
        <v>4500</v>
      </c>
      <c r="P50" s="102">
        <f t="shared" si="96"/>
        <v>4500</v>
      </c>
      <c r="Q50" s="107">
        <f t="shared" si="96"/>
        <v>0</v>
      </c>
      <c r="R50" s="105">
        <f t="shared" ref="R50:R53" si="97">Q50/O50</f>
        <v>0</v>
      </c>
    </row>
    <row r="51" spans="1:18" ht="15.75" customHeight="1">
      <c r="A51" s="949"/>
      <c r="B51" s="102" t="s">
        <v>28</v>
      </c>
      <c r="C51" s="106">
        <v>0</v>
      </c>
      <c r="D51" s="106">
        <f>SUM(ROUND(C51*50%,0))</f>
        <v>0</v>
      </c>
      <c r="E51" s="104">
        <v>0</v>
      </c>
      <c r="F51" s="105" t="e">
        <f t="shared" si="94"/>
        <v>#DIV/0!</v>
      </c>
      <c r="G51" s="949"/>
      <c r="H51" s="102" t="s">
        <v>28</v>
      </c>
      <c r="I51" s="106">
        <v>0</v>
      </c>
      <c r="J51" s="106">
        <f>SUM(ROUND(I51*50%,0))</f>
        <v>0</v>
      </c>
      <c r="K51" s="104">
        <v>0</v>
      </c>
      <c r="L51" s="105" t="e">
        <f t="shared" si="95"/>
        <v>#DIV/0!</v>
      </c>
      <c r="M51" s="949"/>
      <c r="N51" s="102" t="s">
        <v>28</v>
      </c>
      <c r="O51" s="102">
        <f t="shared" ref="O51:Q51" si="98">C51-I51</f>
        <v>0</v>
      </c>
      <c r="P51" s="102">
        <f t="shared" si="98"/>
        <v>0</v>
      </c>
      <c r="Q51" s="107">
        <f t="shared" si="98"/>
        <v>0</v>
      </c>
      <c r="R51" s="105" t="e">
        <f t="shared" si="97"/>
        <v>#DIV/0!</v>
      </c>
    </row>
    <row r="52" spans="1:18" ht="15.75" customHeight="1">
      <c r="A52" s="949"/>
      <c r="B52" s="122" t="s">
        <v>32</v>
      </c>
      <c r="C52" s="123">
        <v>145500</v>
      </c>
      <c r="D52" s="106">
        <f>SUM(ROUND(C52*75%,0))</f>
        <v>109125</v>
      </c>
      <c r="E52" s="104">
        <v>27207</v>
      </c>
      <c r="F52" s="105">
        <f t="shared" si="94"/>
        <v>0.18698969072164948</v>
      </c>
      <c r="G52" s="949"/>
      <c r="H52" s="122" t="s">
        <v>32</v>
      </c>
      <c r="I52" s="123">
        <v>2</v>
      </c>
      <c r="J52" s="106">
        <f>SUM(ROUND(I52*75%,0))</f>
        <v>2</v>
      </c>
      <c r="K52" s="104">
        <v>0</v>
      </c>
      <c r="L52" s="105">
        <f t="shared" si="95"/>
        <v>0</v>
      </c>
      <c r="M52" s="949"/>
      <c r="N52" s="122" t="s">
        <v>32</v>
      </c>
      <c r="O52" s="102">
        <f t="shared" ref="O52:Q52" si="99">C52-I52</f>
        <v>145498</v>
      </c>
      <c r="P52" s="102">
        <f t="shared" si="99"/>
        <v>109123</v>
      </c>
      <c r="Q52" s="107">
        <f t="shared" si="99"/>
        <v>27207</v>
      </c>
      <c r="R52" s="105">
        <f t="shared" si="97"/>
        <v>0.18699226106200773</v>
      </c>
    </row>
    <row r="53" spans="1:18" ht="15.75" customHeight="1">
      <c r="A53" s="950"/>
      <c r="B53" s="118" t="s">
        <v>25</v>
      </c>
      <c r="C53" s="115">
        <f t="shared" ref="C53:E53" si="100">SUM(C50:C52)</f>
        <v>150000</v>
      </c>
      <c r="D53" s="115">
        <f t="shared" si="100"/>
        <v>113625</v>
      </c>
      <c r="E53" s="121">
        <f t="shared" si="100"/>
        <v>27207</v>
      </c>
      <c r="F53" s="116">
        <f t="shared" si="94"/>
        <v>0.18138000000000001</v>
      </c>
      <c r="G53" s="950"/>
      <c r="H53" s="118" t="s">
        <v>25</v>
      </c>
      <c r="I53" s="115">
        <f t="shared" ref="I53:K53" si="101">SUM(I50:I52)</f>
        <v>2</v>
      </c>
      <c r="J53" s="115">
        <f t="shared" si="101"/>
        <v>2</v>
      </c>
      <c r="K53" s="121">
        <f t="shared" si="101"/>
        <v>0</v>
      </c>
      <c r="L53" s="116">
        <f t="shared" si="95"/>
        <v>0</v>
      </c>
      <c r="M53" s="950"/>
      <c r="N53" s="118" t="s">
        <v>25</v>
      </c>
      <c r="O53" s="115">
        <f t="shared" ref="O53:Q53" si="102">SUM(O50:O52)</f>
        <v>149998</v>
      </c>
      <c r="P53" s="115">
        <f t="shared" si="102"/>
        <v>113623</v>
      </c>
      <c r="Q53" s="115">
        <f t="shared" si="102"/>
        <v>27207</v>
      </c>
      <c r="R53" s="105">
        <f t="shared" si="97"/>
        <v>0.18138241843224576</v>
      </c>
    </row>
    <row r="54" spans="1:18" ht="15.75" customHeight="1">
      <c r="A54" s="954"/>
      <c r="B54" s="928"/>
      <c r="C54" s="928"/>
      <c r="D54" s="928"/>
      <c r="E54" s="928"/>
      <c r="F54" s="955"/>
      <c r="G54" s="954"/>
      <c r="H54" s="928"/>
      <c r="I54" s="928"/>
      <c r="J54" s="928"/>
      <c r="K54" s="928"/>
      <c r="L54" s="955"/>
      <c r="M54" s="954"/>
      <c r="N54" s="928"/>
      <c r="O54" s="928"/>
      <c r="P54" s="928"/>
      <c r="Q54" s="928"/>
      <c r="R54" s="955"/>
    </row>
    <row r="55" spans="1:18" ht="15.75" customHeight="1">
      <c r="A55" s="948" t="s">
        <v>43</v>
      </c>
      <c r="B55" s="95" t="s">
        <v>21</v>
      </c>
      <c r="C55" s="99">
        <v>519984</v>
      </c>
      <c r="D55" s="99">
        <f>C55</f>
        <v>519984</v>
      </c>
      <c r="E55" s="97">
        <v>6418</v>
      </c>
      <c r="F55" s="98">
        <f t="shared" ref="F55:F58" si="103">E55/C55</f>
        <v>1.2342687467306686E-2</v>
      </c>
      <c r="G55" s="948" t="s">
        <v>43</v>
      </c>
      <c r="H55" s="95" t="s">
        <v>21</v>
      </c>
      <c r="I55" s="99">
        <v>0</v>
      </c>
      <c r="J55" s="99">
        <f>I55</f>
        <v>0</v>
      </c>
      <c r="K55" s="97">
        <v>0</v>
      </c>
      <c r="L55" s="98" t="e">
        <f t="shared" ref="L55:L58" si="104">K55/I55</f>
        <v>#DIV/0!</v>
      </c>
      <c r="M55" s="948" t="s">
        <v>43</v>
      </c>
      <c r="N55" s="95" t="s">
        <v>21</v>
      </c>
      <c r="O55" s="102">
        <f t="shared" ref="O55:Q55" si="105">C55-I55</f>
        <v>519984</v>
      </c>
      <c r="P55" s="102">
        <f t="shared" si="105"/>
        <v>519984</v>
      </c>
      <c r="Q55" s="107">
        <f t="shared" si="105"/>
        <v>6418</v>
      </c>
      <c r="R55" s="105">
        <f t="shared" ref="R55:R58" si="106">Q55/O55</f>
        <v>1.2342687467306686E-2</v>
      </c>
    </row>
    <row r="56" spans="1:18" ht="15.75" customHeight="1">
      <c r="A56" s="949"/>
      <c r="B56" s="122" t="s">
        <v>32</v>
      </c>
      <c r="C56" s="123">
        <v>2533439</v>
      </c>
      <c r="D56" s="106">
        <f>SUM(ROUND(C56*75%,0))</f>
        <v>1900079</v>
      </c>
      <c r="E56" s="104">
        <v>252839</v>
      </c>
      <c r="F56" s="105">
        <f t="shared" si="103"/>
        <v>9.9800705681091992E-2</v>
      </c>
      <c r="G56" s="949"/>
      <c r="H56" s="122" t="s">
        <v>32</v>
      </c>
      <c r="I56" s="123">
        <v>1004</v>
      </c>
      <c r="J56" s="106">
        <f>SUM(ROUND(I56*75%,0))</f>
        <v>753</v>
      </c>
      <c r="K56" s="104">
        <v>13860</v>
      </c>
      <c r="L56" s="105">
        <f t="shared" si="104"/>
        <v>13.804780876494023</v>
      </c>
      <c r="M56" s="949"/>
      <c r="N56" s="122" t="s">
        <v>32</v>
      </c>
      <c r="O56" s="102">
        <f t="shared" ref="O56:Q56" si="107">C56-I56</f>
        <v>2532435</v>
      </c>
      <c r="P56" s="102">
        <f t="shared" si="107"/>
        <v>1899326</v>
      </c>
      <c r="Q56" s="107">
        <f t="shared" si="107"/>
        <v>238979</v>
      </c>
      <c r="R56" s="105">
        <f t="shared" si="106"/>
        <v>9.4367278923249753E-2</v>
      </c>
    </row>
    <row r="57" spans="1:18" ht="15.75" customHeight="1">
      <c r="A57" s="949"/>
      <c r="B57" s="102" t="s">
        <v>29</v>
      </c>
      <c r="C57" s="126">
        <v>1</v>
      </c>
      <c r="D57" s="127"/>
      <c r="E57" s="110">
        <v>0</v>
      </c>
      <c r="F57" s="105">
        <f t="shared" si="103"/>
        <v>0</v>
      </c>
      <c r="G57" s="949"/>
      <c r="H57" s="102" t="s">
        <v>29</v>
      </c>
      <c r="I57" s="126">
        <v>1</v>
      </c>
      <c r="J57" s="127"/>
      <c r="K57" s="110">
        <v>0</v>
      </c>
      <c r="L57" s="105">
        <f t="shared" si="104"/>
        <v>0</v>
      </c>
      <c r="M57" s="949"/>
      <c r="N57" s="102" t="s">
        <v>29</v>
      </c>
      <c r="O57" s="102">
        <f>C57-I57</f>
        <v>0</v>
      </c>
      <c r="P57" s="127"/>
      <c r="Q57" s="107">
        <f>E57-K57</f>
        <v>0</v>
      </c>
      <c r="R57" s="105" t="e">
        <f t="shared" si="106"/>
        <v>#DIV/0!</v>
      </c>
    </row>
    <row r="58" spans="1:18" ht="15.75" customHeight="1">
      <c r="A58" s="950"/>
      <c r="B58" s="118" t="s">
        <v>25</v>
      </c>
      <c r="C58" s="115">
        <f t="shared" ref="C58:E58" si="108">SUM(C55:C57)</f>
        <v>3053424</v>
      </c>
      <c r="D58" s="115">
        <f t="shared" si="108"/>
        <v>2420063</v>
      </c>
      <c r="E58" s="115">
        <f t="shared" si="108"/>
        <v>259257</v>
      </c>
      <c r="F58" s="116">
        <f t="shared" si="103"/>
        <v>8.490697656139469E-2</v>
      </c>
      <c r="G58" s="950"/>
      <c r="H58" s="118" t="s">
        <v>25</v>
      </c>
      <c r="I58" s="115">
        <f t="shared" ref="I58:K58" si="109">SUM(I55:I57)</f>
        <v>1005</v>
      </c>
      <c r="J58" s="115">
        <f t="shared" si="109"/>
        <v>753</v>
      </c>
      <c r="K58" s="115">
        <f t="shared" si="109"/>
        <v>13860</v>
      </c>
      <c r="L58" s="116">
        <f t="shared" si="104"/>
        <v>13.791044776119403</v>
      </c>
      <c r="M58" s="950"/>
      <c r="N58" s="118" t="s">
        <v>25</v>
      </c>
      <c r="O58" s="115">
        <f t="shared" ref="O58:Q58" si="110">SUM(O55:O56)</f>
        <v>3052419</v>
      </c>
      <c r="P58" s="115">
        <f t="shared" si="110"/>
        <v>2419310</v>
      </c>
      <c r="Q58" s="115">
        <f t="shared" si="110"/>
        <v>245397</v>
      </c>
      <c r="R58" s="105">
        <f t="shared" si="106"/>
        <v>8.0394270904485921E-2</v>
      </c>
    </row>
    <row r="59" spans="1:18" ht="15.75" customHeight="1">
      <c r="A59" s="954"/>
      <c r="B59" s="928"/>
      <c r="C59" s="928"/>
      <c r="D59" s="928"/>
      <c r="E59" s="928"/>
      <c r="F59" s="955"/>
      <c r="G59" s="954"/>
      <c r="H59" s="928"/>
      <c r="I59" s="928"/>
      <c r="J59" s="928"/>
      <c r="K59" s="928"/>
      <c r="L59" s="955"/>
      <c r="M59" s="954"/>
      <c r="N59" s="928"/>
      <c r="O59" s="928"/>
      <c r="P59" s="928"/>
      <c r="Q59" s="928"/>
      <c r="R59" s="955"/>
    </row>
    <row r="60" spans="1:18" ht="15.75" customHeight="1">
      <c r="A60" s="948" t="s">
        <v>44</v>
      </c>
      <c r="B60" s="95" t="s">
        <v>21</v>
      </c>
      <c r="C60" s="99">
        <v>368321</v>
      </c>
      <c r="D60" s="99">
        <f>C60</f>
        <v>368321</v>
      </c>
      <c r="E60" s="97">
        <v>3634</v>
      </c>
      <c r="F60" s="98">
        <f t="shared" ref="F60:F64" si="111">E60/C60</f>
        <v>9.866393716350683E-3</v>
      </c>
      <c r="G60" s="948" t="s">
        <v>44</v>
      </c>
      <c r="H60" s="95" t="s">
        <v>21</v>
      </c>
      <c r="I60" s="99">
        <v>350210</v>
      </c>
      <c r="J60" s="99">
        <f>I60</f>
        <v>350210</v>
      </c>
      <c r="K60" s="97">
        <v>3634</v>
      </c>
      <c r="L60" s="98">
        <f t="shared" ref="L60:L64" si="112">K60/I60</f>
        <v>1.0376631164158647E-2</v>
      </c>
      <c r="M60" s="948" t="s">
        <v>44</v>
      </c>
      <c r="N60" s="95" t="s">
        <v>21</v>
      </c>
      <c r="O60" s="102">
        <f t="shared" ref="O60:Q60" si="113">C60-I60</f>
        <v>18111</v>
      </c>
      <c r="P60" s="102">
        <f t="shared" si="113"/>
        <v>18111</v>
      </c>
      <c r="Q60" s="107">
        <f t="shared" si="113"/>
        <v>0</v>
      </c>
      <c r="R60" s="105">
        <f t="shared" ref="R60:R64" si="114">Q60/O60</f>
        <v>0</v>
      </c>
    </row>
    <row r="61" spans="1:18" ht="15.75" customHeight="1">
      <c r="A61" s="949"/>
      <c r="B61" s="102" t="s">
        <v>28</v>
      </c>
      <c r="C61" s="106">
        <v>33979</v>
      </c>
      <c r="D61" s="106">
        <f t="shared" ref="D61:D62" si="115">SUM(ROUND(C61*50%,0))</f>
        <v>16990</v>
      </c>
      <c r="E61" s="104">
        <v>0</v>
      </c>
      <c r="F61" s="105">
        <f t="shared" si="111"/>
        <v>0</v>
      </c>
      <c r="G61" s="949"/>
      <c r="H61" s="102" t="s">
        <v>28</v>
      </c>
      <c r="I61" s="106">
        <v>0</v>
      </c>
      <c r="J61" s="106">
        <f t="shared" ref="J61:J62" si="116">SUM(ROUND(I61*50%,0))</f>
        <v>0</v>
      </c>
      <c r="K61" s="104">
        <v>0</v>
      </c>
      <c r="L61" s="105" t="e">
        <f t="shared" si="112"/>
        <v>#DIV/0!</v>
      </c>
      <c r="M61" s="949"/>
      <c r="N61" s="102" t="s">
        <v>28</v>
      </c>
      <c r="O61" s="102">
        <f t="shared" ref="O61:Q61" si="117">C61-I61</f>
        <v>33979</v>
      </c>
      <c r="P61" s="102">
        <f t="shared" si="117"/>
        <v>16990</v>
      </c>
      <c r="Q61" s="107">
        <f t="shared" si="117"/>
        <v>0</v>
      </c>
      <c r="R61" s="105">
        <f t="shared" si="114"/>
        <v>0</v>
      </c>
    </row>
    <row r="62" spans="1:18" ht="15.75" customHeight="1">
      <c r="A62" s="949"/>
      <c r="B62" s="102" t="s">
        <v>31</v>
      </c>
      <c r="C62" s="106">
        <v>104631</v>
      </c>
      <c r="D62" s="106">
        <f t="shared" si="115"/>
        <v>52316</v>
      </c>
      <c r="E62" s="104">
        <v>0</v>
      </c>
      <c r="F62" s="105">
        <f t="shared" si="111"/>
        <v>0</v>
      </c>
      <c r="G62" s="949"/>
      <c r="H62" s="102" t="s">
        <v>31</v>
      </c>
      <c r="I62" s="106">
        <v>84000</v>
      </c>
      <c r="J62" s="106">
        <f t="shared" si="116"/>
        <v>42000</v>
      </c>
      <c r="K62" s="104">
        <v>0</v>
      </c>
      <c r="L62" s="105">
        <f t="shared" si="112"/>
        <v>0</v>
      </c>
      <c r="M62" s="949"/>
      <c r="N62" s="102" t="s">
        <v>31</v>
      </c>
      <c r="O62" s="102">
        <f t="shared" ref="O62:Q62" si="118">C62-I62</f>
        <v>20631</v>
      </c>
      <c r="P62" s="102">
        <f t="shared" si="118"/>
        <v>10316</v>
      </c>
      <c r="Q62" s="107">
        <f t="shared" si="118"/>
        <v>0</v>
      </c>
      <c r="R62" s="105">
        <f t="shared" si="114"/>
        <v>0</v>
      </c>
    </row>
    <row r="63" spans="1:18" ht="15.75" customHeight="1">
      <c r="A63" s="949"/>
      <c r="B63" s="122" t="s">
        <v>32</v>
      </c>
      <c r="C63" s="123">
        <v>495422</v>
      </c>
      <c r="D63" s="106">
        <f>SUM(ROUND(C63*75%,0))</f>
        <v>371567</v>
      </c>
      <c r="E63" s="104">
        <v>25383</v>
      </c>
      <c r="F63" s="105">
        <f t="shared" si="111"/>
        <v>5.123510865484375E-2</v>
      </c>
      <c r="G63" s="949"/>
      <c r="H63" s="122" t="s">
        <v>32</v>
      </c>
      <c r="I63" s="123">
        <v>76700</v>
      </c>
      <c r="J63" s="106">
        <f>SUM(ROUND(I63*75%,0))</f>
        <v>57525</v>
      </c>
      <c r="K63" s="104">
        <v>0</v>
      </c>
      <c r="L63" s="105">
        <f t="shared" si="112"/>
        <v>0</v>
      </c>
      <c r="M63" s="949"/>
      <c r="N63" s="122" t="s">
        <v>32</v>
      </c>
      <c r="O63" s="102">
        <f t="shared" ref="O63:Q63" si="119">C63-I63</f>
        <v>418722</v>
      </c>
      <c r="P63" s="102">
        <f t="shared" si="119"/>
        <v>314042</v>
      </c>
      <c r="Q63" s="107">
        <f t="shared" si="119"/>
        <v>25383</v>
      </c>
      <c r="R63" s="105">
        <f t="shared" si="114"/>
        <v>6.0620172811555163E-2</v>
      </c>
    </row>
    <row r="64" spans="1:18" ht="15.75" customHeight="1">
      <c r="A64" s="950"/>
      <c r="B64" s="118" t="s">
        <v>25</v>
      </c>
      <c r="C64" s="115">
        <f t="shared" ref="C64:E64" si="120">SUM(C60:C63)</f>
        <v>1002353</v>
      </c>
      <c r="D64" s="115">
        <f t="shared" si="120"/>
        <v>809194</v>
      </c>
      <c r="E64" s="115">
        <f t="shared" si="120"/>
        <v>29017</v>
      </c>
      <c r="F64" s="116">
        <f t="shared" si="111"/>
        <v>2.8948883277647695E-2</v>
      </c>
      <c r="G64" s="950"/>
      <c r="H64" s="118" t="s">
        <v>25</v>
      </c>
      <c r="I64" s="115">
        <f t="shared" ref="I64:K64" si="121">SUM(I60:I63)</f>
        <v>510910</v>
      </c>
      <c r="J64" s="115">
        <f t="shared" si="121"/>
        <v>449735</v>
      </c>
      <c r="K64" s="115">
        <f t="shared" si="121"/>
        <v>3634</v>
      </c>
      <c r="L64" s="116">
        <f t="shared" si="112"/>
        <v>7.1127987316748544E-3</v>
      </c>
      <c r="M64" s="950"/>
      <c r="N64" s="118" t="s">
        <v>25</v>
      </c>
      <c r="O64" s="115">
        <f t="shared" ref="O64:Q64" si="122">SUM(O60:O63)</f>
        <v>491443</v>
      </c>
      <c r="P64" s="115">
        <f t="shared" si="122"/>
        <v>359459</v>
      </c>
      <c r="Q64" s="115">
        <f t="shared" si="122"/>
        <v>25383</v>
      </c>
      <c r="R64" s="105">
        <f t="shared" si="114"/>
        <v>5.1649937022197896E-2</v>
      </c>
    </row>
    <row r="65" spans="1:18" ht="15.75" customHeight="1">
      <c r="A65" s="954"/>
      <c r="B65" s="928"/>
      <c r="C65" s="928"/>
      <c r="D65" s="928"/>
      <c r="E65" s="928"/>
      <c r="F65" s="955"/>
      <c r="G65" s="954"/>
      <c r="H65" s="928"/>
      <c r="I65" s="928"/>
      <c r="J65" s="928"/>
      <c r="K65" s="928"/>
      <c r="L65" s="955"/>
      <c r="M65" s="954"/>
      <c r="N65" s="928"/>
      <c r="O65" s="928"/>
      <c r="P65" s="928"/>
      <c r="Q65" s="928"/>
      <c r="R65" s="955"/>
    </row>
    <row r="66" spans="1:18" ht="15.75" customHeight="1">
      <c r="A66" s="948" t="s">
        <v>45</v>
      </c>
      <c r="B66" s="95" t="s">
        <v>21</v>
      </c>
      <c r="C66" s="99">
        <v>83415</v>
      </c>
      <c r="D66" s="99">
        <f>C66</f>
        <v>83415</v>
      </c>
      <c r="E66" s="97">
        <v>51068</v>
      </c>
      <c r="F66" s="128">
        <f t="shared" ref="F66:F70" si="123">E66/C66</f>
        <v>0.61221602829227362</v>
      </c>
      <c r="G66" s="948" t="s">
        <v>45</v>
      </c>
      <c r="H66" s="95" t="s">
        <v>21</v>
      </c>
      <c r="I66" s="99">
        <v>0</v>
      </c>
      <c r="J66" s="99">
        <f>I66</f>
        <v>0</v>
      </c>
      <c r="K66" s="97">
        <v>0</v>
      </c>
      <c r="L66" s="98" t="e">
        <f t="shared" ref="L66:L70" si="124">K66/I66</f>
        <v>#DIV/0!</v>
      </c>
      <c r="M66" s="948" t="s">
        <v>45</v>
      </c>
      <c r="N66" s="95" t="s">
        <v>21</v>
      </c>
      <c r="O66" s="102">
        <f t="shared" ref="O66:Q66" si="125">C66-I66</f>
        <v>83415</v>
      </c>
      <c r="P66" s="102">
        <f t="shared" si="125"/>
        <v>83415</v>
      </c>
      <c r="Q66" s="107">
        <f t="shared" si="125"/>
        <v>51068</v>
      </c>
      <c r="R66" s="105">
        <f t="shared" ref="R66:R70" si="126">Q66/O66</f>
        <v>0.61221602829227362</v>
      </c>
    </row>
    <row r="67" spans="1:18" ht="15.75" customHeight="1">
      <c r="A67" s="949"/>
      <c r="B67" s="102" t="s">
        <v>28</v>
      </c>
      <c r="C67" s="106">
        <v>19235</v>
      </c>
      <c r="D67" s="106">
        <f t="shared" ref="D67:D68" si="127">SUM(ROUND(C67*50%,0))</f>
        <v>9618</v>
      </c>
      <c r="E67" s="104">
        <v>45743</v>
      </c>
      <c r="F67" s="128">
        <f t="shared" si="123"/>
        <v>2.3781128151806601</v>
      </c>
      <c r="G67" s="949"/>
      <c r="H67" s="102" t="s">
        <v>28</v>
      </c>
      <c r="I67" s="106">
        <v>0</v>
      </c>
      <c r="J67" s="106">
        <f t="shared" ref="J67:J68" si="128">SUM(ROUND(I67*50%,0))</f>
        <v>0</v>
      </c>
      <c r="K67" s="104">
        <v>0</v>
      </c>
      <c r="L67" s="105" t="e">
        <f t="shared" si="124"/>
        <v>#DIV/0!</v>
      </c>
      <c r="M67" s="949"/>
      <c r="N67" s="102" t="s">
        <v>28</v>
      </c>
      <c r="O67" s="102">
        <f t="shared" ref="O67:Q67" si="129">C67-I67</f>
        <v>19235</v>
      </c>
      <c r="P67" s="102">
        <f t="shared" si="129"/>
        <v>9618</v>
      </c>
      <c r="Q67" s="107">
        <f t="shared" si="129"/>
        <v>45743</v>
      </c>
      <c r="R67" s="105">
        <f t="shared" si="126"/>
        <v>2.3781128151806601</v>
      </c>
    </row>
    <row r="68" spans="1:18" ht="15.75" customHeight="1">
      <c r="A68" s="949"/>
      <c r="B68" s="102" t="s">
        <v>31</v>
      </c>
      <c r="C68" s="106">
        <v>40499</v>
      </c>
      <c r="D68" s="106">
        <f t="shared" si="127"/>
        <v>20250</v>
      </c>
      <c r="E68" s="104">
        <v>9487</v>
      </c>
      <c r="F68" s="128">
        <f t="shared" si="123"/>
        <v>0.23425269759747155</v>
      </c>
      <c r="G68" s="949"/>
      <c r="H68" s="102" t="s">
        <v>31</v>
      </c>
      <c r="I68" s="106">
        <v>0</v>
      </c>
      <c r="J68" s="106">
        <f t="shared" si="128"/>
        <v>0</v>
      </c>
      <c r="K68" s="104">
        <v>0</v>
      </c>
      <c r="L68" s="105" t="e">
        <f t="shared" si="124"/>
        <v>#DIV/0!</v>
      </c>
      <c r="M68" s="949"/>
      <c r="N68" s="102" t="s">
        <v>31</v>
      </c>
      <c r="O68" s="102">
        <f t="shared" ref="O68:Q68" si="130">C68-I68</f>
        <v>40499</v>
      </c>
      <c r="P68" s="102">
        <f t="shared" si="130"/>
        <v>20250</v>
      </c>
      <c r="Q68" s="107">
        <f t="shared" si="130"/>
        <v>9487</v>
      </c>
      <c r="R68" s="105">
        <f t="shared" si="126"/>
        <v>0.23425269759747155</v>
      </c>
    </row>
    <row r="69" spans="1:18" ht="15.75" customHeight="1">
      <c r="A69" s="949"/>
      <c r="B69" s="122" t="s">
        <v>32</v>
      </c>
      <c r="C69" s="123">
        <v>184800</v>
      </c>
      <c r="D69" s="106">
        <f>SUM(ROUND(C69*75%,0))</f>
        <v>138600</v>
      </c>
      <c r="E69" s="104">
        <v>0</v>
      </c>
      <c r="F69" s="128">
        <f t="shared" si="123"/>
        <v>0</v>
      </c>
      <c r="G69" s="949"/>
      <c r="H69" s="122" t="s">
        <v>32</v>
      </c>
      <c r="I69" s="123">
        <v>0</v>
      </c>
      <c r="J69" s="106">
        <f>SUM(ROUND(I69*75%,0))</f>
        <v>0</v>
      </c>
      <c r="K69" s="104">
        <v>0</v>
      </c>
      <c r="L69" s="105" t="e">
        <f t="shared" si="124"/>
        <v>#DIV/0!</v>
      </c>
      <c r="M69" s="949"/>
      <c r="N69" s="122" t="s">
        <v>32</v>
      </c>
      <c r="O69" s="102">
        <f t="shared" ref="O69:Q69" si="131">C69-I69</f>
        <v>184800</v>
      </c>
      <c r="P69" s="102">
        <f t="shared" si="131"/>
        <v>138600</v>
      </c>
      <c r="Q69" s="107">
        <f t="shared" si="131"/>
        <v>0</v>
      </c>
      <c r="R69" s="105">
        <f t="shared" si="126"/>
        <v>0</v>
      </c>
    </row>
    <row r="70" spans="1:18" ht="15.75" customHeight="1">
      <c r="A70" s="950"/>
      <c r="B70" s="118" t="s">
        <v>25</v>
      </c>
      <c r="C70" s="115">
        <f t="shared" ref="C70:E70" si="132">SUM(C66:C69)</f>
        <v>327949</v>
      </c>
      <c r="D70" s="115">
        <f t="shared" si="132"/>
        <v>251883</v>
      </c>
      <c r="E70" s="121">
        <f t="shared" si="132"/>
        <v>106298</v>
      </c>
      <c r="F70" s="129">
        <f t="shared" si="123"/>
        <v>0.32412966650302333</v>
      </c>
      <c r="G70" s="950"/>
      <c r="H70" s="118" t="s">
        <v>25</v>
      </c>
      <c r="I70" s="115">
        <f t="shared" ref="I70:K70" si="133">SUM(I66:I69)</f>
        <v>0</v>
      </c>
      <c r="J70" s="115">
        <f t="shared" si="133"/>
        <v>0</v>
      </c>
      <c r="K70" s="121">
        <f t="shared" si="133"/>
        <v>0</v>
      </c>
      <c r="L70" s="116" t="e">
        <f t="shared" si="124"/>
        <v>#DIV/0!</v>
      </c>
      <c r="M70" s="950"/>
      <c r="N70" s="118" t="s">
        <v>25</v>
      </c>
      <c r="O70" s="115">
        <f t="shared" ref="O70:Q70" si="134">SUM(O66:O69)</f>
        <v>327949</v>
      </c>
      <c r="P70" s="115">
        <f t="shared" si="134"/>
        <v>251883</v>
      </c>
      <c r="Q70" s="115">
        <f t="shared" si="134"/>
        <v>106298</v>
      </c>
      <c r="R70" s="105">
        <f t="shared" si="126"/>
        <v>0.32412966650302333</v>
      </c>
    </row>
    <row r="71" spans="1:18" ht="15.75" customHeight="1">
      <c r="A71" s="954"/>
      <c r="B71" s="928"/>
      <c r="C71" s="928"/>
      <c r="D71" s="928"/>
      <c r="E71" s="928"/>
      <c r="F71" s="955"/>
      <c r="G71" s="954"/>
      <c r="H71" s="928"/>
      <c r="I71" s="928"/>
      <c r="J71" s="928"/>
      <c r="K71" s="928"/>
      <c r="L71" s="955"/>
      <c r="M71" s="954"/>
      <c r="N71" s="928"/>
      <c r="O71" s="928"/>
      <c r="P71" s="928"/>
      <c r="Q71" s="928"/>
      <c r="R71" s="955"/>
    </row>
    <row r="72" spans="1:18" ht="15.75" customHeight="1">
      <c r="A72" s="948" t="s">
        <v>47</v>
      </c>
      <c r="B72" s="95" t="s">
        <v>21</v>
      </c>
      <c r="C72" s="99">
        <v>286580</v>
      </c>
      <c r="D72" s="99">
        <f>C72</f>
        <v>286580</v>
      </c>
      <c r="E72" s="97">
        <v>28206</v>
      </c>
      <c r="F72" s="98">
        <f t="shared" ref="F72:F77" si="135">E72/C72</f>
        <v>9.8422778979691539E-2</v>
      </c>
      <c r="G72" s="948" t="s">
        <v>47</v>
      </c>
      <c r="H72" s="95" t="s">
        <v>21</v>
      </c>
      <c r="I72" s="99">
        <v>100000</v>
      </c>
      <c r="J72" s="99">
        <f>I72</f>
        <v>100000</v>
      </c>
      <c r="K72" s="97">
        <v>0</v>
      </c>
      <c r="L72" s="98">
        <f t="shared" ref="L72:L77" si="136">K72/I72</f>
        <v>0</v>
      </c>
      <c r="M72" s="948" t="s">
        <v>47</v>
      </c>
      <c r="N72" s="95" t="s">
        <v>21</v>
      </c>
      <c r="O72" s="95">
        <f t="shared" ref="O72:Q72" si="137">C72-I72</f>
        <v>186580</v>
      </c>
      <c r="P72" s="106">
        <f t="shared" si="137"/>
        <v>186580</v>
      </c>
      <c r="Q72" s="95">
        <f t="shared" si="137"/>
        <v>28206</v>
      </c>
      <c r="R72" s="105">
        <f t="shared" ref="R72:R77" si="138">Q72/O72</f>
        <v>0.15117375924536391</v>
      </c>
    </row>
    <row r="73" spans="1:18" ht="15.75" customHeight="1">
      <c r="A73" s="949"/>
      <c r="B73" s="102" t="s">
        <v>28</v>
      </c>
      <c r="C73" s="106">
        <v>91000</v>
      </c>
      <c r="D73" s="106">
        <f t="shared" ref="D73:D74" si="139">SUM(ROUND(C73*50%,0))</f>
        <v>45500</v>
      </c>
      <c r="E73" s="104">
        <v>2986</v>
      </c>
      <c r="F73" s="105">
        <f t="shared" si="135"/>
        <v>3.2813186813186811E-2</v>
      </c>
      <c r="G73" s="949"/>
      <c r="H73" s="102" t="s">
        <v>28</v>
      </c>
      <c r="I73" s="106">
        <v>57500</v>
      </c>
      <c r="J73" s="106">
        <f t="shared" ref="J73:J74" si="140">SUM(ROUND(I73*50%,0))</f>
        <v>28750</v>
      </c>
      <c r="K73" s="104">
        <v>2430</v>
      </c>
      <c r="L73" s="105">
        <f t="shared" si="136"/>
        <v>4.2260869565217393E-2</v>
      </c>
      <c r="M73" s="949"/>
      <c r="N73" s="102" t="s">
        <v>28</v>
      </c>
      <c r="O73" s="102">
        <f t="shared" ref="O73:Q73" si="141">C73-I73</f>
        <v>33500</v>
      </c>
      <c r="P73" s="106">
        <f t="shared" si="141"/>
        <v>16750</v>
      </c>
      <c r="Q73" s="102">
        <f t="shared" si="141"/>
        <v>556</v>
      </c>
      <c r="R73" s="105">
        <f t="shared" si="138"/>
        <v>1.6597014925373136E-2</v>
      </c>
    </row>
    <row r="74" spans="1:18" ht="15.75" customHeight="1">
      <c r="A74" s="949"/>
      <c r="B74" s="102" t="s">
        <v>31</v>
      </c>
      <c r="C74" s="106">
        <v>81006</v>
      </c>
      <c r="D74" s="106">
        <f t="shared" si="139"/>
        <v>40503</v>
      </c>
      <c r="E74" s="104">
        <v>45459</v>
      </c>
      <c r="F74" s="105">
        <f t="shared" si="135"/>
        <v>0.56118065328494182</v>
      </c>
      <c r="G74" s="949"/>
      <c r="H74" s="102" t="s">
        <v>31</v>
      </c>
      <c r="I74" s="106">
        <v>34006</v>
      </c>
      <c r="J74" s="106">
        <f t="shared" si="140"/>
        <v>17003</v>
      </c>
      <c r="K74" s="104">
        <v>35792</v>
      </c>
      <c r="L74" s="105">
        <f t="shared" si="136"/>
        <v>1.0525201435040876</v>
      </c>
      <c r="M74" s="949"/>
      <c r="N74" s="102" t="s">
        <v>31</v>
      </c>
      <c r="O74" s="102">
        <f t="shared" ref="O74:Q74" si="142">C74-I74</f>
        <v>47000</v>
      </c>
      <c r="P74" s="106">
        <f t="shared" si="142"/>
        <v>23500</v>
      </c>
      <c r="Q74" s="102">
        <f t="shared" si="142"/>
        <v>9667</v>
      </c>
      <c r="R74" s="105">
        <f t="shared" si="138"/>
        <v>0.2056808510638298</v>
      </c>
    </row>
    <row r="75" spans="1:18" ht="15.75" customHeight="1">
      <c r="A75" s="949"/>
      <c r="B75" s="122" t="s">
        <v>32</v>
      </c>
      <c r="C75" s="123">
        <v>125000</v>
      </c>
      <c r="D75" s="106">
        <f>SUM(ROUND(C75*75%,0))</f>
        <v>93750</v>
      </c>
      <c r="E75" s="104">
        <v>3408</v>
      </c>
      <c r="F75" s="105">
        <f t="shared" si="135"/>
        <v>2.7264E-2</v>
      </c>
      <c r="G75" s="949"/>
      <c r="H75" s="122" t="s">
        <v>32</v>
      </c>
      <c r="I75" s="123">
        <v>0</v>
      </c>
      <c r="J75" s="106">
        <f>SUM(ROUND(I75*75%,0))</f>
        <v>0</v>
      </c>
      <c r="K75" s="104">
        <v>0</v>
      </c>
      <c r="L75" s="105" t="e">
        <f t="shared" si="136"/>
        <v>#DIV/0!</v>
      </c>
      <c r="M75" s="949"/>
      <c r="N75" s="122" t="s">
        <v>32</v>
      </c>
      <c r="O75" s="102">
        <f t="shared" ref="O75:Q75" si="143">C75-I75</f>
        <v>125000</v>
      </c>
      <c r="P75" s="106">
        <f t="shared" si="143"/>
        <v>93750</v>
      </c>
      <c r="Q75" s="102">
        <f t="shared" si="143"/>
        <v>3408</v>
      </c>
      <c r="R75" s="105">
        <f t="shared" si="138"/>
        <v>2.7264E-2</v>
      </c>
    </row>
    <row r="76" spans="1:18" ht="15.75" customHeight="1">
      <c r="A76" s="949"/>
      <c r="B76" s="102" t="s">
        <v>29</v>
      </c>
      <c r="C76" s="126">
        <v>10000</v>
      </c>
      <c r="D76" s="127"/>
      <c r="E76" s="110">
        <v>0</v>
      </c>
      <c r="F76" s="105">
        <f t="shared" si="135"/>
        <v>0</v>
      </c>
      <c r="G76" s="949"/>
      <c r="H76" s="102" t="s">
        <v>29</v>
      </c>
      <c r="I76" s="126">
        <v>0</v>
      </c>
      <c r="J76" s="127"/>
      <c r="K76" s="110">
        <v>0</v>
      </c>
      <c r="L76" s="105" t="e">
        <f t="shared" si="136"/>
        <v>#DIV/0!</v>
      </c>
      <c r="M76" s="949"/>
      <c r="N76" s="102" t="s">
        <v>29</v>
      </c>
      <c r="O76" s="102">
        <f>C76-I76</f>
        <v>10000</v>
      </c>
      <c r="P76" s="127"/>
      <c r="Q76" s="102">
        <f>E76-K76</f>
        <v>0</v>
      </c>
      <c r="R76" s="105">
        <f t="shared" si="138"/>
        <v>0</v>
      </c>
    </row>
    <row r="77" spans="1:18" ht="15.75" customHeight="1">
      <c r="A77" s="950"/>
      <c r="B77" s="118" t="s">
        <v>25</v>
      </c>
      <c r="C77" s="115">
        <f>SUM(C72:C76)</f>
        <v>593586</v>
      </c>
      <c r="D77" s="115">
        <f>SUM(D72:D75)</f>
        <v>466333</v>
      </c>
      <c r="E77" s="121">
        <f>SUM(E72:E76)</f>
        <v>80059</v>
      </c>
      <c r="F77" s="116">
        <f t="shared" si="135"/>
        <v>0.13487346399679237</v>
      </c>
      <c r="G77" s="950"/>
      <c r="H77" s="118" t="s">
        <v>25</v>
      </c>
      <c r="I77" s="115">
        <f>SUM(I72:I76)</f>
        <v>191506</v>
      </c>
      <c r="J77" s="115">
        <f>SUM(J72:J75)</f>
        <v>145753</v>
      </c>
      <c r="K77" s="121">
        <f>SUM(K72:K76)</f>
        <v>38222</v>
      </c>
      <c r="L77" s="116">
        <f t="shared" si="136"/>
        <v>0.19958643593412217</v>
      </c>
      <c r="M77" s="950"/>
      <c r="N77" s="118" t="s">
        <v>25</v>
      </c>
      <c r="O77" s="118">
        <f t="shared" ref="O77:Q77" si="144">SUM(O72:O75)</f>
        <v>392080</v>
      </c>
      <c r="P77" s="115">
        <f t="shared" si="144"/>
        <v>320580</v>
      </c>
      <c r="Q77" s="118">
        <f t="shared" si="144"/>
        <v>41837</v>
      </c>
      <c r="R77" s="105">
        <f t="shared" si="138"/>
        <v>0.10670526423178943</v>
      </c>
    </row>
    <row r="78" spans="1:18" ht="15.75" customHeight="1">
      <c r="A78" s="954"/>
      <c r="B78" s="928"/>
      <c r="C78" s="928"/>
      <c r="D78" s="928"/>
      <c r="E78" s="928"/>
      <c r="F78" s="955"/>
      <c r="G78" s="954"/>
      <c r="H78" s="928"/>
      <c r="I78" s="928"/>
      <c r="J78" s="928"/>
      <c r="K78" s="928"/>
      <c r="L78" s="955"/>
      <c r="M78" s="954"/>
      <c r="N78" s="928"/>
      <c r="O78" s="928"/>
      <c r="P78" s="928"/>
      <c r="Q78" s="928"/>
      <c r="R78" s="955"/>
    </row>
    <row r="79" spans="1:18" ht="15.75" customHeight="1">
      <c r="A79" s="948" t="s">
        <v>52</v>
      </c>
      <c r="B79" s="95" t="s">
        <v>21</v>
      </c>
      <c r="C79" s="99">
        <v>71102</v>
      </c>
      <c r="D79" s="99">
        <f>C79</f>
        <v>71102</v>
      </c>
      <c r="E79" s="97">
        <v>563</v>
      </c>
      <c r="F79" s="98">
        <f t="shared" ref="F79:F82" si="145">E79/C79</f>
        <v>7.918202019633766E-3</v>
      </c>
      <c r="G79" s="948" t="s">
        <v>52</v>
      </c>
      <c r="H79" s="95" t="s">
        <v>21</v>
      </c>
      <c r="I79" s="99">
        <v>102</v>
      </c>
      <c r="J79" s="99">
        <f>I79</f>
        <v>102</v>
      </c>
      <c r="K79" s="97">
        <v>0</v>
      </c>
      <c r="L79" s="98">
        <f t="shared" ref="L79:L82" si="146">K79/I79</f>
        <v>0</v>
      </c>
      <c r="M79" s="948" t="s">
        <v>52</v>
      </c>
      <c r="N79" s="95" t="s">
        <v>21</v>
      </c>
      <c r="O79" s="102">
        <f t="shared" ref="O79:Q79" si="147">C79-I79</f>
        <v>71000</v>
      </c>
      <c r="P79" s="102">
        <f t="shared" si="147"/>
        <v>71000</v>
      </c>
      <c r="Q79" s="107">
        <f t="shared" si="147"/>
        <v>563</v>
      </c>
      <c r="R79" s="105">
        <f t="shared" ref="R79:R82" si="148">Q79/O79</f>
        <v>7.929577464788732E-3</v>
      </c>
    </row>
    <row r="80" spans="1:18" ht="15.75" customHeight="1">
      <c r="A80" s="949"/>
      <c r="B80" s="102" t="s">
        <v>102</v>
      </c>
      <c r="C80" s="106">
        <v>196016</v>
      </c>
      <c r="D80" s="106">
        <f t="shared" ref="D80:D81" si="149">SUM(ROUND(C80*50%,0))</f>
        <v>98008</v>
      </c>
      <c r="E80" s="104">
        <v>29976</v>
      </c>
      <c r="F80" s="105">
        <f t="shared" si="145"/>
        <v>0.15292629173128724</v>
      </c>
      <c r="G80" s="949"/>
      <c r="H80" s="102" t="s">
        <v>102</v>
      </c>
      <c r="I80" s="106">
        <v>87509</v>
      </c>
      <c r="J80" s="106">
        <f t="shared" ref="J80:J81" si="150">SUM(ROUND(I80*50%,0))</f>
        <v>43755</v>
      </c>
      <c r="K80" s="104">
        <v>16853</v>
      </c>
      <c r="L80" s="105">
        <f t="shared" si="146"/>
        <v>0.19258590544972518</v>
      </c>
      <c r="M80" s="949"/>
      <c r="N80" s="102" t="s">
        <v>102</v>
      </c>
      <c r="O80" s="102">
        <f t="shared" ref="O80:Q80" si="151">C80-I80</f>
        <v>108507</v>
      </c>
      <c r="P80" s="102">
        <f t="shared" si="151"/>
        <v>54253</v>
      </c>
      <c r="Q80" s="107">
        <f t="shared" si="151"/>
        <v>13123</v>
      </c>
      <c r="R80" s="105">
        <f t="shared" si="148"/>
        <v>0.12094150607794889</v>
      </c>
    </row>
    <row r="81" spans="1:18" ht="15.75" customHeight="1">
      <c r="A81" s="949"/>
      <c r="B81" s="102" t="s">
        <v>31</v>
      </c>
      <c r="C81" s="106">
        <v>43025</v>
      </c>
      <c r="D81" s="106">
        <f t="shared" si="149"/>
        <v>21513</v>
      </c>
      <c r="E81" s="104">
        <v>0</v>
      </c>
      <c r="F81" s="105">
        <f t="shared" si="145"/>
        <v>0</v>
      </c>
      <c r="G81" s="949"/>
      <c r="H81" s="102" t="s">
        <v>31</v>
      </c>
      <c r="I81" s="106">
        <v>203</v>
      </c>
      <c r="J81" s="106">
        <f t="shared" si="150"/>
        <v>102</v>
      </c>
      <c r="K81" s="104">
        <v>0</v>
      </c>
      <c r="L81" s="105">
        <f t="shared" si="146"/>
        <v>0</v>
      </c>
      <c r="M81" s="949"/>
      <c r="N81" s="102" t="s">
        <v>31</v>
      </c>
      <c r="O81" s="102">
        <f t="shared" ref="O81:Q81" si="152">C81-I81</f>
        <v>42822</v>
      </c>
      <c r="P81" s="102">
        <f t="shared" si="152"/>
        <v>21411</v>
      </c>
      <c r="Q81" s="107">
        <f t="shared" si="152"/>
        <v>0</v>
      </c>
      <c r="R81" s="105">
        <f t="shared" si="148"/>
        <v>0</v>
      </c>
    </row>
    <row r="82" spans="1:18" ht="15.75" customHeight="1">
      <c r="A82" s="950"/>
      <c r="B82" s="118" t="s">
        <v>25</v>
      </c>
      <c r="C82" s="115">
        <f t="shared" ref="C82:E82" si="153">SUM(C79:C81)</f>
        <v>310143</v>
      </c>
      <c r="D82" s="115">
        <f t="shared" si="153"/>
        <v>190623</v>
      </c>
      <c r="E82" s="121">
        <f t="shared" si="153"/>
        <v>30539</v>
      </c>
      <c r="F82" s="116">
        <f t="shared" si="145"/>
        <v>9.8467481129672435E-2</v>
      </c>
      <c r="G82" s="950"/>
      <c r="H82" s="118" t="s">
        <v>25</v>
      </c>
      <c r="I82" s="115">
        <f t="shared" ref="I82:K82" si="154">SUM(I79:I81)</f>
        <v>87814</v>
      </c>
      <c r="J82" s="115">
        <f t="shared" si="154"/>
        <v>43959</v>
      </c>
      <c r="K82" s="121">
        <f t="shared" si="154"/>
        <v>16853</v>
      </c>
      <c r="L82" s="116">
        <f t="shared" si="146"/>
        <v>0.19191700639989068</v>
      </c>
      <c r="M82" s="950"/>
      <c r="N82" s="118" t="s">
        <v>25</v>
      </c>
      <c r="O82" s="115">
        <f t="shared" ref="O82:Q82" si="155">SUM(O79:O81)</f>
        <v>222329</v>
      </c>
      <c r="P82" s="115">
        <f t="shared" si="155"/>
        <v>146664</v>
      </c>
      <c r="Q82" s="115">
        <f t="shared" si="155"/>
        <v>13686</v>
      </c>
      <c r="R82" s="105">
        <f t="shared" si="148"/>
        <v>6.15574216588929E-2</v>
      </c>
    </row>
    <row r="83" spans="1:18" ht="15.75" customHeight="1">
      <c r="A83" s="954"/>
      <c r="B83" s="928"/>
      <c r="C83" s="928"/>
      <c r="D83" s="928"/>
      <c r="E83" s="928"/>
      <c r="F83" s="955"/>
      <c r="G83" s="954"/>
      <c r="H83" s="928"/>
      <c r="I83" s="928"/>
      <c r="J83" s="928"/>
      <c r="K83" s="928"/>
      <c r="L83" s="955"/>
      <c r="M83" s="954"/>
      <c r="N83" s="928"/>
      <c r="O83" s="928"/>
      <c r="P83" s="928"/>
      <c r="Q83" s="928"/>
      <c r="R83" s="955"/>
    </row>
    <row r="84" spans="1:18" ht="15.75" customHeight="1">
      <c r="A84" s="948" t="s">
        <v>54</v>
      </c>
      <c r="B84" s="95" t="s">
        <v>21</v>
      </c>
      <c r="C84" s="99">
        <v>482000</v>
      </c>
      <c r="D84" s="99">
        <f>C84</f>
        <v>482000</v>
      </c>
      <c r="E84" s="97">
        <v>3648</v>
      </c>
      <c r="F84" s="98">
        <f t="shared" ref="F84:F88" si="156">E84/C84</f>
        <v>7.5684647302904562E-3</v>
      </c>
      <c r="G84" s="948" t="s">
        <v>54</v>
      </c>
      <c r="H84" s="95" t="s">
        <v>21</v>
      </c>
      <c r="I84" s="99">
        <v>0</v>
      </c>
      <c r="J84" s="99">
        <f>I84</f>
        <v>0</v>
      </c>
      <c r="K84" s="97">
        <v>0</v>
      </c>
      <c r="L84" s="98" t="e">
        <f t="shared" ref="L84:L88" si="157">K84/I84</f>
        <v>#DIV/0!</v>
      </c>
      <c r="M84" s="948" t="s">
        <v>54</v>
      </c>
      <c r="N84" s="95" t="s">
        <v>21</v>
      </c>
      <c r="O84" s="102">
        <f t="shared" ref="O84:Q84" si="158">C84-I84</f>
        <v>482000</v>
      </c>
      <c r="P84" s="102">
        <f t="shared" si="158"/>
        <v>482000</v>
      </c>
      <c r="Q84" s="107">
        <f t="shared" si="158"/>
        <v>3648</v>
      </c>
      <c r="R84" s="105">
        <f t="shared" ref="R84:R88" si="159">Q84/O84</f>
        <v>7.5684647302904562E-3</v>
      </c>
    </row>
    <row r="85" spans="1:18" ht="15.75" customHeight="1">
      <c r="A85" s="949"/>
      <c r="B85" s="102" t="s">
        <v>28</v>
      </c>
      <c r="C85" s="106">
        <v>141003</v>
      </c>
      <c r="D85" s="106">
        <f t="shared" ref="D85:D86" si="160">SUM(ROUND(C85*50%,0))</f>
        <v>70502</v>
      </c>
      <c r="E85" s="104">
        <v>0</v>
      </c>
      <c r="F85" s="105">
        <f t="shared" si="156"/>
        <v>0</v>
      </c>
      <c r="G85" s="949"/>
      <c r="H85" s="102" t="s">
        <v>28</v>
      </c>
      <c r="I85" s="106">
        <v>0</v>
      </c>
      <c r="J85" s="106">
        <f t="shared" ref="J85:J86" si="161">SUM(ROUND(I85*50%,0))</f>
        <v>0</v>
      </c>
      <c r="K85" s="104">
        <v>0</v>
      </c>
      <c r="L85" s="105" t="e">
        <f t="shared" si="157"/>
        <v>#DIV/0!</v>
      </c>
      <c r="M85" s="949"/>
      <c r="N85" s="102" t="s">
        <v>28</v>
      </c>
      <c r="O85" s="102">
        <f t="shared" ref="O85:Q85" si="162">C85-I85</f>
        <v>141003</v>
      </c>
      <c r="P85" s="102">
        <f t="shared" si="162"/>
        <v>70502</v>
      </c>
      <c r="Q85" s="107">
        <f t="shared" si="162"/>
        <v>0</v>
      </c>
      <c r="R85" s="105">
        <f t="shared" si="159"/>
        <v>0</v>
      </c>
    </row>
    <row r="86" spans="1:18" ht="15.75" customHeight="1">
      <c r="A86" s="949"/>
      <c r="B86" s="102" t="s">
        <v>31</v>
      </c>
      <c r="C86" s="106">
        <v>435516</v>
      </c>
      <c r="D86" s="106">
        <f t="shared" si="160"/>
        <v>217758</v>
      </c>
      <c r="E86" s="104">
        <v>19598</v>
      </c>
      <c r="F86" s="105">
        <f t="shared" si="156"/>
        <v>4.4999494852083509E-2</v>
      </c>
      <c r="G86" s="949"/>
      <c r="H86" s="102" t="s">
        <v>31</v>
      </c>
      <c r="I86" s="106">
        <v>163102</v>
      </c>
      <c r="J86" s="106">
        <f t="shared" si="161"/>
        <v>81551</v>
      </c>
      <c r="K86" s="104">
        <v>12205</v>
      </c>
      <c r="L86" s="105">
        <f t="shared" si="157"/>
        <v>7.4830474181800347E-2</v>
      </c>
      <c r="M86" s="949"/>
      <c r="N86" s="102" t="s">
        <v>31</v>
      </c>
      <c r="O86" s="102">
        <f t="shared" ref="O86:Q86" si="163">C86-I86</f>
        <v>272414</v>
      </c>
      <c r="P86" s="102">
        <f t="shared" si="163"/>
        <v>136207</v>
      </c>
      <c r="Q86" s="107">
        <f t="shared" si="163"/>
        <v>7393</v>
      </c>
      <c r="R86" s="105">
        <f t="shared" si="159"/>
        <v>2.7138840147716344E-2</v>
      </c>
    </row>
    <row r="87" spans="1:18" ht="15.75" customHeight="1">
      <c r="A87" s="949"/>
      <c r="B87" s="122" t="s">
        <v>32</v>
      </c>
      <c r="C87" s="123">
        <v>707811</v>
      </c>
      <c r="D87" s="106">
        <f>SUM(ROUND(C87*75%,0))</f>
        <v>530858</v>
      </c>
      <c r="E87" s="104">
        <v>44494</v>
      </c>
      <c r="F87" s="105">
        <f t="shared" si="156"/>
        <v>6.2861413569441554E-2</v>
      </c>
      <c r="G87" s="949"/>
      <c r="H87" s="122" t="s">
        <v>32</v>
      </c>
      <c r="I87" s="123">
        <v>1</v>
      </c>
      <c r="J87" s="106">
        <f>SUM(ROUND(I87*75%,0))</f>
        <v>1</v>
      </c>
      <c r="K87" s="104">
        <v>0</v>
      </c>
      <c r="L87" s="105">
        <f t="shared" si="157"/>
        <v>0</v>
      </c>
      <c r="M87" s="949"/>
      <c r="N87" s="122" t="s">
        <v>32</v>
      </c>
      <c r="O87" s="102">
        <f t="shared" ref="O87:Q87" si="164">C87-I87</f>
        <v>707810</v>
      </c>
      <c r="P87" s="102">
        <f t="shared" si="164"/>
        <v>530857</v>
      </c>
      <c r="Q87" s="107">
        <f t="shared" si="164"/>
        <v>44494</v>
      </c>
      <c r="R87" s="105">
        <f t="shared" si="159"/>
        <v>6.2861502380582357E-2</v>
      </c>
    </row>
    <row r="88" spans="1:18" ht="15.75" customHeight="1">
      <c r="A88" s="950"/>
      <c r="B88" s="118" t="s">
        <v>25</v>
      </c>
      <c r="C88" s="115">
        <f t="shared" ref="C88:E88" si="165">SUM(C84:C87)</f>
        <v>1766330</v>
      </c>
      <c r="D88" s="115">
        <f t="shared" si="165"/>
        <v>1301118</v>
      </c>
      <c r="E88" s="121">
        <f t="shared" si="165"/>
        <v>67740</v>
      </c>
      <c r="F88" s="116">
        <f t="shared" si="156"/>
        <v>3.835070456822904E-2</v>
      </c>
      <c r="G88" s="950"/>
      <c r="H88" s="118" t="s">
        <v>25</v>
      </c>
      <c r="I88" s="115">
        <f t="shared" ref="I88:K88" si="166">SUM(I84:I87)</f>
        <v>163103</v>
      </c>
      <c r="J88" s="115">
        <f t="shared" si="166"/>
        <v>81552</v>
      </c>
      <c r="K88" s="121">
        <f t="shared" si="166"/>
        <v>12205</v>
      </c>
      <c r="L88" s="116">
        <f t="shared" si="157"/>
        <v>7.483001538904864E-2</v>
      </c>
      <c r="M88" s="950"/>
      <c r="N88" s="118" t="s">
        <v>25</v>
      </c>
      <c r="O88" s="115">
        <f t="shared" ref="O88:Q88" si="167">SUM(O84:O87)</f>
        <v>1603227</v>
      </c>
      <c r="P88" s="115">
        <f t="shared" si="167"/>
        <v>1219566</v>
      </c>
      <c r="Q88" s="130">
        <f t="shared" si="167"/>
        <v>55535</v>
      </c>
      <c r="R88" s="105">
        <f t="shared" si="159"/>
        <v>3.4639511435373783E-2</v>
      </c>
    </row>
    <row r="89" spans="1:18" ht="15.75" customHeight="1">
      <c r="A89" s="954"/>
      <c r="B89" s="928"/>
      <c r="C89" s="928"/>
      <c r="D89" s="928"/>
      <c r="E89" s="928"/>
      <c r="F89" s="955"/>
      <c r="G89" s="954"/>
      <c r="H89" s="928"/>
      <c r="I89" s="928"/>
      <c r="J89" s="928"/>
      <c r="K89" s="928"/>
      <c r="L89" s="955"/>
      <c r="M89" s="954"/>
      <c r="N89" s="928"/>
      <c r="O89" s="928"/>
      <c r="P89" s="928"/>
      <c r="Q89" s="928"/>
      <c r="R89" s="955"/>
    </row>
    <row r="90" spans="1:18" ht="15.75" customHeight="1">
      <c r="A90" s="948" t="s">
        <v>56</v>
      </c>
      <c r="B90" s="95" t="s">
        <v>21</v>
      </c>
      <c r="C90" s="99">
        <v>31541</v>
      </c>
      <c r="D90" s="99">
        <f>C90</f>
        <v>31541</v>
      </c>
      <c r="E90" s="97">
        <v>0</v>
      </c>
      <c r="F90" s="98">
        <f t="shared" ref="F90:F94" si="168">E90/C90</f>
        <v>0</v>
      </c>
      <c r="G90" s="948" t="s">
        <v>56</v>
      </c>
      <c r="H90" s="95" t="s">
        <v>21</v>
      </c>
      <c r="I90" s="99">
        <v>441</v>
      </c>
      <c r="J90" s="99">
        <f>I90</f>
        <v>441</v>
      </c>
      <c r="K90" s="97">
        <v>0</v>
      </c>
      <c r="L90" s="98">
        <f t="shared" ref="L90:L94" si="169">K90/I90</f>
        <v>0</v>
      </c>
      <c r="M90" s="948" t="s">
        <v>56</v>
      </c>
      <c r="N90" s="95" t="s">
        <v>21</v>
      </c>
      <c r="O90" s="102">
        <f t="shared" ref="O90:Q90" si="170">C90-I90</f>
        <v>31100</v>
      </c>
      <c r="P90" s="102">
        <f t="shared" si="170"/>
        <v>31100</v>
      </c>
      <c r="Q90" s="107">
        <f t="shared" si="170"/>
        <v>0</v>
      </c>
      <c r="R90" s="105">
        <f t="shared" ref="R90:R94" si="171">Q90/O90</f>
        <v>0</v>
      </c>
    </row>
    <row r="91" spans="1:18" ht="15.75" customHeight="1">
      <c r="A91" s="949"/>
      <c r="B91" s="102" t="s">
        <v>28</v>
      </c>
      <c r="C91" s="106">
        <v>9731</v>
      </c>
      <c r="D91" s="106">
        <f t="shared" ref="D91:D92" si="172">SUM(ROUND(C91*50%,0))</f>
        <v>4866</v>
      </c>
      <c r="E91" s="104">
        <v>3012</v>
      </c>
      <c r="F91" s="105">
        <f t="shared" si="168"/>
        <v>0.30952625629431713</v>
      </c>
      <c r="G91" s="949"/>
      <c r="H91" s="102" t="s">
        <v>28</v>
      </c>
      <c r="I91" s="106">
        <v>1</v>
      </c>
      <c r="J91" s="106">
        <f t="shared" ref="J91:J92" si="173">SUM(ROUND(I91*50%,0))</f>
        <v>1</v>
      </c>
      <c r="K91" s="104">
        <v>0</v>
      </c>
      <c r="L91" s="105">
        <f t="shared" si="169"/>
        <v>0</v>
      </c>
      <c r="M91" s="949"/>
      <c r="N91" s="102" t="s">
        <v>28</v>
      </c>
      <c r="O91" s="102">
        <f t="shared" ref="O91:Q91" si="174">C91-I91</f>
        <v>9730</v>
      </c>
      <c r="P91" s="102">
        <f t="shared" si="174"/>
        <v>4865</v>
      </c>
      <c r="Q91" s="107">
        <f t="shared" si="174"/>
        <v>3012</v>
      </c>
      <c r="R91" s="105">
        <f t="shared" si="171"/>
        <v>0.30955806783144912</v>
      </c>
    </row>
    <row r="92" spans="1:18" ht="15.75" customHeight="1">
      <c r="A92" s="949"/>
      <c r="B92" s="102" t="s">
        <v>103</v>
      </c>
      <c r="C92" s="106">
        <v>24603</v>
      </c>
      <c r="D92" s="106">
        <f t="shared" si="172"/>
        <v>12302</v>
      </c>
      <c r="E92" s="104">
        <v>52544</v>
      </c>
      <c r="F92" s="105">
        <f t="shared" si="168"/>
        <v>2.135674511238467</v>
      </c>
      <c r="G92" s="949"/>
      <c r="H92" s="102" t="s">
        <v>103</v>
      </c>
      <c r="I92" s="106">
        <v>1519</v>
      </c>
      <c r="J92" s="106">
        <f t="shared" si="173"/>
        <v>760</v>
      </c>
      <c r="K92" s="104">
        <v>0</v>
      </c>
      <c r="L92" s="105">
        <f t="shared" si="169"/>
        <v>0</v>
      </c>
      <c r="M92" s="949"/>
      <c r="N92" s="102" t="s">
        <v>103</v>
      </c>
      <c r="O92" s="102">
        <f t="shared" ref="O92:Q92" si="175">C92-I92</f>
        <v>23084</v>
      </c>
      <c r="P92" s="102">
        <f t="shared" si="175"/>
        <v>11542</v>
      </c>
      <c r="Q92" s="107">
        <f t="shared" si="175"/>
        <v>52544</v>
      </c>
      <c r="R92" s="105">
        <f t="shared" si="171"/>
        <v>2.2762086293536647</v>
      </c>
    </row>
    <row r="93" spans="1:18" ht="15.75" customHeight="1">
      <c r="A93" s="949"/>
      <c r="B93" s="122" t="s">
        <v>32</v>
      </c>
      <c r="C93" s="123">
        <v>334764</v>
      </c>
      <c r="D93" s="106">
        <f>SUM(ROUND(C93*75%,0))</f>
        <v>251073</v>
      </c>
      <c r="E93" s="104">
        <v>852</v>
      </c>
      <c r="F93" s="105">
        <f t="shared" si="168"/>
        <v>2.5450765315266875E-3</v>
      </c>
      <c r="G93" s="949"/>
      <c r="H93" s="122" t="s">
        <v>32</v>
      </c>
      <c r="I93" s="123">
        <v>0</v>
      </c>
      <c r="J93" s="106">
        <f>SUM(ROUND(I93*75%,0))</f>
        <v>0</v>
      </c>
      <c r="K93" s="104">
        <v>0</v>
      </c>
      <c r="L93" s="105" t="e">
        <f t="shared" si="169"/>
        <v>#DIV/0!</v>
      </c>
      <c r="M93" s="949"/>
      <c r="N93" s="122" t="s">
        <v>32</v>
      </c>
      <c r="O93" s="102">
        <f t="shared" ref="O93:Q93" si="176">C93-I93</f>
        <v>334764</v>
      </c>
      <c r="P93" s="102">
        <f t="shared" si="176"/>
        <v>251073</v>
      </c>
      <c r="Q93" s="107">
        <f t="shared" si="176"/>
        <v>852</v>
      </c>
      <c r="R93" s="105">
        <f t="shared" si="171"/>
        <v>2.5450765315266875E-3</v>
      </c>
    </row>
    <row r="94" spans="1:18" ht="15.75" customHeight="1">
      <c r="A94" s="950"/>
      <c r="B94" s="118" t="s">
        <v>25</v>
      </c>
      <c r="C94" s="115">
        <f t="shared" ref="C94:E94" si="177">SUM(C90:C93)</f>
        <v>400639</v>
      </c>
      <c r="D94" s="115">
        <f t="shared" si="177"/>
        <v>299782</v>
      </c>
      <c r="E94" s="121">
        <f t="shared" si="177"/>
        <v>56408</v>
      </c>
      <c r="F94" s="116">
        <f t="shared" si="168"/>
        <v>0.14079507985992376</v>
      </c>
      <c r="G94" s="950"/>
      <c r="H94" s="118" t="s">
        <v>25</v>
      </c>
      <c r="I94" s="115">
        <f t="shared" ref="I94:K94" si="178">SUM(I90:I93)</f>
        <v>1961</v>
      </c>
      <c r="J94" s="115">
        <f t="shared" si="178"/>
        <v>1202</v>
      </c>
      <c r="K94" s="121">
        <f t="shared" si="178"/>
        <v>0</v>
      </c>
      <c r="L94" s="116">
        <f t="shared" si="169"/>
        <v>0</v>
      </c>
      <c r="M94" s="950"/>
      <c r="N94" s="118" t="s">
        <v>25</v>
      </c>
      <c r="O94" s="115">
        <f t="shared" ref="O94:Q94" si="179">SUM(O90:O93)</f>
        <v>398678</v>
      </c>
      <c r="P94" s="115">
        <f t="shared" si="179"/>
        <v>298580</v>
      </c>
      <c r="Q94" s="130">
        <f t="shared" si="179"/>
        <v>56408</v>
      </c>
      <c r="R94" s="105">
        <f t="shared" si="171"/>
        <v>0.14148761657277301</v>
      </c>
    </row>
    <row r="95" spans="1:18" ht="15.75" customHeight="1">
      <c r="A95" s="954"/>
      <c r="B95" s="928"/>
      <c r="C95" s="928"/>
      <c r="D95" s="928"/>
      <c r="E95" s="928"/>
      <c r="F95" s="955"/>
      <c r="G95" s="954"/>
      <c r="H95" s="928"/>
      <c r="I95" s="928"/>
      <c r="J95" s="928"/>
      <c r="K95" s="928"/>
      <c r="L95" s="955"/>
      <c r="M95" s="954"/>
      <c r="N95" s="928"/>
      <c r="O95" s="928"/>
      <c r="P95" s="928"/>
      <c r="Q95" s="928"/>
      <c r="R95" s="955"/>
    </row>
    <row r="96" spans="1:18" ht="15.75" customHeight="1">
      <c r="A96" s="948" t="s">
        <v>59</v>
      </c>
      <c r="B96" s="95" t="s">
        <v>21</v>
      </c>
      <c r="C96" s="99">
        <v>5000</v>
      </c>
      <c r="D96" s="106">
        <f>SUM(ROUND(C96*50%,0))</f>
        <v>2500</v>
      </c>
      <c r="E96" s="97">
        <v>0</v>
      </c>
      <c r="F96" s="98">
        <f t="shared" ref="F96:F99" si="180">E96/C96</f>
        <v>0</v>
      </c>
      <c r="G96" s="948" t="s">
        <v>59</v>
      </c>
      <c r="H96" s="95" t="s">
        <v>21</v>
      </c>
      <c r="I96" s="99">
        <v>0</v>
      </c>
      <c r="J96" s="106">
        <f>SUM(ROUND(I96*50%,0))</f>
        <v>0</v>
      </c>
      <c r="K96" s="97">
        <v>0</v>
      </c>
      <c r="L96" s="98" t="e">
        <f t="shared" ref="L96:L99" si="181">K96/I96</f>
        <v>#DIV/0!</v>
      </c>
      <c r="M96" s="951" t="s">
        <v>59</v>
      </c>
      <c r="N96" s="95" t="s">
        <v>21</v>
      </c>
      <c r="O96" s="107">
        <f t="shared" ref="O96:Q96" si="182">C96-I96</f>
        <v>5000</v>
      </c>
      <c r="P96" s="102">
        <f t="shared" si="182"/>
        <v>2500</v>
      </c>
      <c r="Q96" s="107">
        <f t="shared" si="182"/>
        <v>0</v>
      </c>
      <c r="R96" s="105">
        <f t="shared" ref="R96:R99" si="183">Q96/O96</f>
        <v>0</v>
      </c>
    </row>
    <row r="97" spans="1:18" ht="15.75" customHeight="1">
      <c r="A97" s="949"/>
      <c r="B97" s="131" t="s">
        <v>31</v>
      </c>
      <c r="C97" s="132">
        <v>7002</v>
      </c>
      <c r="D97" s="106"/>
      <c r="E97" s="133">
        <v>0</v>
      </c>
      <c r="F97" s="105">
        <f t="shared" si="180"/>
        <v>0</v>
      </c>
      <c r="G97" s="949"/>
      <c r="H97" s="131" t="s">
        <v>31</v>
      </c>
      <c r="I97" s="132">
        <v>1</v>
      </c>
      <c r="J97" s="106"/>
      <c r="K97" s="133">
        <v>0</v>
      </c>
      <c r="L97" s="105">
        <f t="shared" si="181"/>
        <v>0</v>
      </c>
      <c r="M97" s="952"/>
      <c r="N97" s="131" t="s">
        <v>31</v>
      </c>
      <c r="O97" s="107">
        <f t="shared" ref="O97:O98" si="184">C97-I97</f>
        <v>7001</v>
      </c>
      <c r="P97" s="102"/>
      <c r="Q97" s="107">
        <f>E97-K97</f>
        <v>0</v>
      </c>
      <c r="R97" s="105">
        <f t="shared" si="183"/>
        <v>0</v>
      </c>
    </row>
    <row r="98" spans="1:18" ht="15.75" customHeight="1">
      <c r="A98" s="949"/>
      <c r="B98" s="102" t="s">
        <v>32</v>
      </c>
      <c r="C98" s="106">
        <v>19000</v>
      </c>
      <c r="D98" s="106">
        <f>SUM(ROUND(C98*75%,0))</f>
        <v>14250</v>
      </c>
      <c r="E98" s="104">
        <v>15</v>
      </c>
      <c r="F98" s="105">
        <f t="shared" si="180"/>
        <v>7.894736842105263E-4</v>
      </c>
      <c r="G98" s="949"/>
      <c r="H98" s="102" t="s">
        <v>32</v>
      </c>
      <c r="I98" s="106">
        <v>0</v>
      </c>
      <c r="J98" s="106">
        <f>SUM(ROUND(I98*75%,0))</f>
        <v>0</v>
      </c>
      <c r="K98" s="104">
        <v>0</v>
      </c>
      <c r="L98" s="105" t="e">
        <f t="shared" si="181"/>
        <v>#DIV/0!</v>
      </c>
      <c r="M98" s="952"/>
      <c r="N98" s="102" t="s">
        <v>32</v>
      </c>
      <c r="O98" s="107">
        <f t="shared" si="184"/>
        <v>19000</v>
      </c>
      <c r="P98" s="102">
        <f t="shared" ref="P98:Q98" si="185">D98-J98</f>
        <v>14250</v>
      </c>
      <c r="Q98" s="107">
        <f t="shared" si="185"/>
        <v>15</v>
      </c>
      <c r="R98" s="105">
        <f t="shared" si="183"/>
        <v>7.894736842105263E-4</v>
      </c>
    </row>
    <row r="99" spans="1:18" ht="15.75" customHeight="1">
      <c r="A99" s="950"/>
      <c r="B99" s="118" t="s">
        <v>25</v>
      </c>
      <c r="C99" s="115">
        <f t="shared" ref="C99:E99" si="186">SUM(C96:C98)</f>
        <v>31002</v>
      </c>
      <c r="D99" s="115">
        <f t="shared" si="186"/>
        <v>16750</v>
      </c>
      <c r="E99" s="115">
        <f t="shared" si="186"/>
        <v>15</v>
      </c>
      <c r="F99" s="116">
        <f t="shared" si="180"/>
        <v>4.8383975227404683E-4</v>
      </c>
      <c r="G99" s="950"/>
      <c r="H99" s="118" t="s">
        <v>25</v>
      </c>
      <c r="I99" s="115">
        <f t="shared" ref="I99:K99" si="187">SUM(I96:I98)</f>
        <v>1</v>
      </c>
      <c r="J99" s="115">
        <f t="shared" si="187"/>
        <v>0</v>
      </c>
      <c r="K99" s="115">
        <f t="shared" si="187"/>
        <v>0</v>
      </c>
      <c r="L99" s="116">
        <f t="shared" si="181"/>
        <v>0</v>
      </c>
      <c r="M99" s="953"/>
      <c r="N99" s="118" t="s">
        <v>25</v>
      </c>
      <c r="O99" s="114">
        <f t="shared" ref="O99:Q99" si="188">SUM(O96:O98)</f>
        <v>31001</v>
      </c>
      <c r="P99" s="115">
        <f t="shared" si="188"/>
        <v>16750</v>
      </c>
      <c r="Q99" s="130">
        <f t="shared" si="188"/>
        <v>15</v>
      </c>
      <c r="R99" s="105">
        <f t="shared" si="183"/>
        <v>4.838553595045321E-4</v>
      </c>
    </row>
    <row r="100" spans="1:18" ht="15.75" customHeight="1">
      <c r="A100" s="954"/>
      <c r="B100" s="928"/>
      <c r="C100" s="928"/>
      <c r="D100" s="928"/>
      <c r="E100" s="928"/>
      <c r="F100" s="955"/>
      <c r="G100" s="954"/>
      <c r="H100" s="928"/>
      <c r="I100" s="928"/>
      <c r="J100" s="928"/>
      <c r="K100" s="928"/>
      <c r="L100" s="955"/>
      <c r="M100" s="954"/>
      <c r="N100" s="928"/>
      <c r="O100" s="928"/>
      <c r="P100" s="928"/>
      <c r="Q100" s="928"/>
      <c r="R100" s="955"/>
    </row>
    <row r="101" spans="1:18" ht="15.75" customHeight="1">
      <c r="A101" s="968" t="s">
        <v>60</v>
      </c>
      <c r="B101" s="134" t="s">
        <v>21</v>
      </c>
      <c r="C101" s="135">
        <f t="shared" ref="C101:E101" si="189">C6+C11+C14+C18+C25+C30+C36+C50+C55+C60+C66+C72+C79+C84+C90+C96</f>
        <v>15241953</v>
      </c>
      <c r="D101" s="135">
        <f t="shared" si="189"/>
        <v>15239453</v>
      </c>
      <c r="E101" s="136">
        <f t="shared" si="189"/>
        <v>3208942</v>
      </c>
      <c r="F101" s="137">
        <f t="shared" ref="F101:F108" si="190">E101/C101</f>
        <v>0.21053351890010422</v>
      </c>
      <c r="G101" s="968" t="s">
        <v>60</v>
      </c>
      <c r="H101" s="134" t="s">
        <v>21</v>
      </c>
      <c r="I101" s="135">
        <f t="shared" ref="I101:K101" si="191">I6+I11+I14+I18+I25+I30+I36+I50+I55+I60+I66+I72+I79+I84+I90+I96</f>
        <v>7571162</v>
      </c>
      <c r="J101" s="135">
        <f t="shared" si="191"/>
        <v>7571162</v>
      </c>
      <c r="K101" s="136">
        <f t="shared" si="191"/>
        <v>33068</v>
      </c>
      <c r="L101" s="137">
        <f t="shared" ref="L101:L108" si="192">K101/I101</f>
        <v>4.3676254714930156E-3</v>
      </c>
      <c r="M101" s="968" t="s">
        <v>60</v>
      </c>
      <c r="N101" s="134" t="s">
        <v>21</v>
      </c>
      <c r="O101" s="135">
        <f>O6+O11+O14+O18+O25+O30+O36+O50+O55+O60+O66+O72+O79+O84+O90+O96</f>
        <v>7670791</v>
      </c>
      <c r="P101" s="135">
        <f t="shared" ref="P101:Q101" si="193">P6+P11+P14+P18+P25+P30+P36+P50+P55+P60+P66+P72+P79+P84+P90</f>
        <v>7665791</v>
      </c>
      <c r="Q101" s="135">
        <f t="shared" si="193"/>
        <v>3175874</v>
      </c>
      <c r="R101" s="137">
        <f t="shared" ref="R101:R108" si="194">Q101/O101</f>
        <v>0.41402170910405461</v>
      </c>
    </row>
    <row r="102" spans="1:18" ht="15.75" customHeight="1">
      <c r="A102" s="949"/>
      <c r="B102" s="138" t="s">
        <v>22</v>
      </c>
      <c r="C102" s="139">
        <f t="shared" ref="C102:E102" si="195">C7</f>
        <v>0</v>
      </c>
      <c r="D102" s="139">
        <f t="shared" si="195"/>
        <v>0</v>
      </c>
      <c r="E102" s="140">
        <f t="shared" si="195"/>
        <v>0</v>
      </c>
      <c r="F102" s="141" t="e">
        <f t="shared" si="190"/>
        <v>#DIV/0!</v>
      </c>
      <c r="G102" s="949"/>
      <c r="H102" s="138" t="s">
        <v>22</v>
      </c>
      <c r="I102" s="139">
        <f t="shared" ref="I102:K102" si="196">I7</f>
        <v>0</v>
      </c>
      <c r="J102" s="139">
        <f t="shared" si="196"/>
        <v>0</v>
      </c>
      <c r="K102" s="140">
        <f t="shared" si="196"/>
        <v>0</v>
      </c>
      <c r="L102" s="141" t="e">
        <f t="shared" si="192"/>
        <v>#DIV/0!</v>
      </c>
      <c r="M102" s="949"/>
      <c r="N102" s="138" t="s">
        <v>22</v>
      </c>
      <c r="O102" s="139">
        <f t="shared" ref="O102:Q102" si="197">O7</f>
        <v>0</v>
      </c>
      <c r="P102" s="139">
        <f t="shared" si="197"/>
        <v>0</v>
      </c>
      <c r="Q102" s="139">
        <f t="shared" si="197"/>
        <v>0</v>
      </c>
      <c r="R102" s="141" t="e">
        <f t="shared" si="194"/>
        <v>#DIV/0!</v>
      </c>
    </row>
    <row r="103" spans="1:18" ht="15.75" customHeight="1">
      <c r="A103" s="949"/>
      <c r="B103" s="138" t="s">
        <v>28</v>
      </c>
      <c r="C103" s="139">
        <f t="shared" ref="C103:E103" si="198">C19+C26+C31+C51+C61+C67+C73+C80+C85+C91</f>
        <v>520964</v>
      </c>
      <c r="D103" s="139">
        <f t="shared" si="198"/>
        <v>260484</v>
      </c>
      <c r="E103" s="140">
        <f t="shared" si="198"/>
        <v>81717</v>
      </c>
      <c r="F103" s="141">
        <f t="shared" si="190"/>
        <v>0.15685728764367596</v>
      </c>
      <c r="G103" s="949"/>
      <c r="H103" s="138" t="s">
        <v>28</v>
      </c>
      <c r="I103" s="139">
        <f t="shared" ref="I103:K103" si="199">I19+I26+I31+I51+I61+I67+I73+I80+I85+I91</f>
        <v>145010</v>
      </c>
      <c r="J103" s="139">
        <f t="shared" si="199"/>
        <v>72506</v>
      </c>
      <c r="K103" s="140">
        <f t="shared" si="199"/>
        <v>19283</v>
      </c>
      <c r="L103" s="141">
        <f t="shared" si="192"/>
        <v>0.13297703606647818</v>
      </c>
      <c r="M103" s="949"/>
      <c r="N103" s="138" t="s">
        <v>28</v>
      </c>
      <c r="O103" s="139">
        <f t="shared" ref="O103:Q103" si="200">O19+O26+O31+O51+O61+O67+O73+O80+O85+O91</f>
        <v>375954</v>
      </c>
      <c r="P103" s="139">
        <f t="shared" si="200"/>
        <v>187978</v>
      </c>
      <c r="Q103" s="139">
        <f t="shared" si="200"/>
        <v>62434</v>
      </c>
      <c r="R103" s="141">
        <f t="shared" si="194"/>
        <v>0.16606818919335875</v>
      </c>
    </row>
    <row r="104" spans="1:18" ht="15.75" customHeight="1">
      <c r="A104" s="949"/>
      <c r="B104" s="138" t="s">
        <v>31</v>
      </c>
      <c r="C104" s="139">
        <f t="shared" ref="C104:E104" si="201">C20+C27+C32+C62+C68+C74+C81+C86+C92+C97</f>
        <v>912071</v>
      </c>
      <c r="D104" s="139">
        <f t="shared" si="201"/>
        <v>452537</v>
      </c>
      <c r="E104" s="140">
        <f t="shared" si="201"/>
        <v>146597</v>
      </c>
      <c r="F104" s="141">
        <f t="shared" si="190"/>
        <v>0.16072981160457903</v>
      </c>
      <c r="G104" s="949"/>
      <c r="H104" s="138" t="s">
        <v>31</v>
      </c>
      <c r="I104" s="139">
        <f t="shared" ref="I104:K104" si="202">I20+I27+I32+I62+I68+I74+I81+I86+I92+I97</f>
        <v>332857</v>
      </c>
      <c r="J104" s="139">
        <f t="shared" si="202"/>
        <v>166429</v>
      </c>
      <c r="K104" s="140">
        <f t="shared" si="202"/>
        <v>59077</v>
      </c>
      <c r="L104" s="141">
        <f t="shared" si="192"/>
        <v>0.1774846255298822</v>
      </c>
      <c r="M104" s="949"/>
      <c r="N104" s="138" t="s">
        <v>31</v>
      </c>
      <c r="O104" s="139">
        <f t="shared" ref="O104:Q104" si="203">O20+O27+O32+O62+O68+O74+O81+O86+O92+O97</f>
        <v>579214</v>
      </c>
      <c r="P104" s="139">
        <f t="shared" si="203"/>
        <v>286108</v>
      </c>
      <c r="Q104" s="139">
        <f t="shared" si="203"/>
        <v>87520</v>
      </c>
      <c r="R104" s="141">
        <f t="shared" si="194"/>
        <v>0.15110132006477744</v>
      </c>
    </row>
    <row r="105" spans="1:18" ht="15.75" customHeight="1">
      <c r="A105" s="949"/>
      <c r="B105" s="138" t="s">
        <v>40</v>
      </c>
      <c r="C105" s="139">
        <f t="shared" ref="C105:E105" si="204">C39+C43+C8</f>
        <v>4857411</v>
      </c>
      <c r="D105" s="139">
        <f t="shared" si="204"/>
        <v>4857409</v>
      </c>
      <c r="E105" s="140">
        <f t="shared" si="204"/>
        <v>49724</v>
      </c>
      <c r="F105" s="141">
        <f t="shared" si="190"/>
        <v>1.0236728989990758E-2</v>
      </c>
      <c r="G105" s="949"/>
      <c r="H105" s="138" t="s">
        <v>40</v>
      </c>
      <c r="I105" s="139">
        <f t="shared" ref="I105:K105" si="205">I39+I43+I8</f>
        <v>1291402</v>
      </c>
      <c r="J105" s="139">
        <f t="shared" si="205"/>
        <v>1291400</v>
      </c>
      <c r="K105" s="140">
        <f t="shared" si="205"/>
        <v>49140</v>
      </c>
      <c r="L105" s="141">
        <f t="shared" si="192"/>
        <v>3.8051667877237294E-2</v>
      </c>
      <c r="M105" s="949"/>
      <c r="N105" s="138" t="s">
        <v>40</v>
      </c>
      <c r="O105" s="139">
        <f t="shared" ref="O105:Q105" si="206">O39+O43</f>
        <v>3566009</v>
      </c>
      <c r="P105" s="139">
        <f t="shared" si="206"/>
        <v>3566009</v>
      </c>
      <c r="Q105" s="139">
        <f t="shared" si="206"/>
        <v>584</v>
      </c>
      <c r="R105" s="141">
        <f t="shared" si="194"/>
        <v>1.6376851544682024E-4</v>
      </c>
    </row>
    <row r="106" spans="1:18" ht="15.75" customHeight="1">
      <c r="A106" s="949"/>
      <c r="B106" s="142" t="s">
        <v>32</v>
      </c>
      <c r="C106" s="139">
        <f t="shared" ref="C106:E106" si="207">C21+C33++C40+C44+C47+C52+C56+C63+C69+C75+C87+C93+C98</f>
        <v>11269846</v>
      </c>
      <c r="D106" s="139">
        <f t="shared" si="207"/>
        <v>8452385</v>
      </c>
      <c r="E106" s="140">
        <f t="shared" si="207"/>
        <v>1647468</v>
      </c>
      <c r="F106" s="141">
        <f t="shared" si="190"/>
        <v>0.1461837189257067</v>
      </c>
      <c r="G106" s="949"/>
      <c r="H106" s="142" t="s">
        <v>32</v>
      </c>
      <c r="I106" s="139">
        <f t="shared" ref="I106:K106" si="208">I21+I33++I40+I44+I47+I52+I56+I63+I69+I75+I87+I93+I98</f>
        <v>231570</v>
      </c>
      <c r="J106" s="139">
        <f t="shared" si="208"/>
        <v>173679</v>
      </c>
      <c r="K106" s="140">
        <f t="shared" si="208"/>
        <v>32848</v>
      </c>
      <c r="L106" s="141">
        <f t="shared" si="192"/>
        <v>0.14184911689769833</v>
      </c>
      <c r="M106" s="949"/>
      <c r="N106" s="142" t="s">
        <v>32</v>
      </c>
      <c r="O106" s="139">
        <f t="shared" ref="O106:Q106" si="209">O21+O33++O40+O44+O47+O52+O56+O63+O69+O75+O87+O93+O98</f>
        <v>11038276</v>
      </c>
      <c r="P106" s="139">
        <f t="shared" si="209"/>
        <v>8278706</v>
      </c>
      <c r="Q106" s="139">
        <f t="shared" si="209"/>
        <v>1614620</v>
      </c>
      <c r="R106" s="141">
        <f t="shared" si="194"/>
        <v>0.14627465375933704</v>
      </c>
    </row>
    <row r="107" spans="1:18" ht="15.75" customHeight="1">
      <c r="A107" s="949"/>
      <c r="B107" s="142" t="s">
        <v>29</v>
      </c>
      <c r="C107" s="139">
        <f t="shared" ref="C107:E107" si="210">C15+C22+C57+C76</f>
        <v>25446801</v>
      </c>
      <c r="D107" s="139">
        <f t="shared" si="210"/>
        <v>25436800</v>
      </c>
      <c r="E107" s="140">
        <f t="shared" si="210"/>
        <v>2157323</v>
      </c>
      <c r="F107" s="141">
        <f t="shared" si="190"/>
        <v>8.4777768333237649E-2</v>
      </c>
      <c r="G107" s="949"/>
      <c r="H107" s="142" t="s">
        <v>29</v>
      </c>
      <c r="I107" s="139">
        <f t="shared" ref="I107:K107" si="211">I15+I22+I57+I76</f>
        <v>11920016</v>
      </c>
      <c r="J107" s="139">
        <f t="shared" si="211"/>
        <v>11920015</v>
      </c>
      <c r="K107" s="140">
        <f t="shared" si="211"/>
        <v>2131289</v>
      </c>
      <c r="L107" s="141">
        <f t="shared" si="192"/>
        <v>0.17879917275278825</v>
      </c>
      <c r="M107" s="949"/>
      <c r="N107" s="142" t="s">
        <v>29</v>
      </c>
      <c r="O107" s="139">
        <f>O15+O22+O76</f>
        <v>13526785</v>
      </c>
      <c r="P107" s="139">
        <f t="shared" ref="P107:Q107" si="212">P15+P22</f>
        <v>13516785</v>
      </c>
      <c r="Q107" s="139">
        <f t="shared" si="212"/>
        <v>26034</v>
      </c>
      <c r="R107" s="141">
        <f t="shared" si="194"/>
        <v>1.9246258442046651E-3</v>
      </c>
    </row>
    <row r="108" spans="1:18" ht="15.75" customHeight="1">
      <c r="A108" s="950"/>
      <c r="B108" s="118" t="s">
        <v>25</v>
      </c>
      <c r="C108" s="143">
        <f t="shared" ref="C108:E108" si="213">C101+C102+C103+C104+C105+C106+C107</f>
        <v>58249046</v>
      </c>
      <c r="D108" s="143">
        <f t="shared" si="213"/>
        <v>54699068</v>
      </c>
      <c r="E108" s="115">
        <f t="shared" si="213"/>
        <v>7291771</v>
      </c>
      <c r="F108" s="116">
        <f t="shared" si="190"/>
        <v>0.12518266822773372</v>
      </c>
      <c r="G108" s="950"/>
      <c r="H108" s="118" t="s">
        <v>25</v>
      </c>
      <c r="I108" s="143">
        <f t="shared" ref="I108:K108" si="214">I101+I102+I103+I104+I105+I106+I107</f>
        <v>21492017</v>
      </c>
      <c r="J108" s="143">
        <f t="shared" si="214"/>
        <v>21195191</v>
      </c>
      <c r="K108" s="115">
        <f t="shared" si="214"/>
        <v>2324705</v>
      </c>
      <c r="L108" s="116">
        <f t="shared" si="192"/>
        <v>0.1081659762320121</v>
      </c>
      <c r="M108" s="950"/>
      <c r="N108" s="118" t="s">
        <v>25</v>
      </c>
      <c r="O108" s="143">
        <f t="shared" ref="O108:Q108" si="215">SUM(O101:O107)</f>
        <v>36757029</v>
      </c>
      <c r="P108" s="143">
        <f t="shared" si="215"/>
        <v>33501377</v>
      </c>
      <c r="Q108" s="143">
        <f t="shared" si="215"/>
        <v>4967066</v>
      </c>
      <c r="R108" s="116">
        <f t="shared" si="194"/>
        <v>0.13513241236118403</v>
      </c>
    </row>
    <row r="109" spans="1:18" ht="18.75" customHeight="1">
      <c r="A109" s="144"/>
      <c r="B109" s="145"/>
      <c r="C109" s="145"/>
      <c r="D109" s="145"/>
      <c r="E109" s="145"/>
      <c r="F109" s="146"/>
      <c r="G109" s="147"/>
      <c r="H109" s="147"/>
      <c r="I109" s="147"/>
      <c r="J109" s="147"/>
      <c r="K109" s="147"/>
      <c r="L109" s="147"/>
    </row>
    <row r="110" spans="1:18" ht="21" customHeight="1">
      <c r="A110" s="148" t="s">
        <v>39</v>
      </c>
      <c r="B110" s="149" t="s">
        <v>23</v>
      </c>
      <c r="C110" s="149">
        <v>1093000</v>
      </c>
      <c r="D110" s="149">
        <v>1250000</v>
      </c>
      <c r="E110" s="150">
        <v>0</v>
      </c>
      <c r="F110" s="98">
        <f t="shared" ref="F110:F113" si="216">E110/C110</f>
        <v>0</v>
      </c>
      <c r="G110" s="151"/>
      <c r="H110" s="147"/>
      <c r="I110" s="147"/>
      <c r="J110" s="147"/>
      <c r="K110" s="147"/>
      <c r="L110" s="147"/>
    </row>
    <row r="111" spans="1:18" ht="33.75" customHeight="1">
      <c r="A111" s="152" t="s">
        <v>54</v>
      </c>
      <c r="B111" s="153" t="s">
        <v>23</v>
      </c>
      <c r="C111" s="153">
        <v>3160000</v>
      </c>
      <c r="D111" s="153">
        <v>7500000</v>
      </c>
      <c r="E111" s="154">
        <v>0</v>
      </c>
      <c r="F111" s="98">
        <f t="shared" si="216"/>
        <v>0</v>
      </c>
      <c r="G111" s="151"/>
      <c r="H111" s="147"/>
      <c r="I111" s="147"/>
      <c r="J111" s="147"/>
      <c r="K111" s="147"/>
      <c r="L111" s="155" t="s">
        <v>21</v>
      </c>
      <c r="M111" s="156">
        <f t="shared" ref="M111:M117" si="217">C101-I101</f>
        <v>7670791</v>
      </c>
      <c r="N111" s="156">
        <v>7665791</v>
      </c>
      <c r="O111" s="156">
        <f t="shared" ref="O111:O118" si="218">M111-N111</f>
        <v>5000</v>
      </c>
      <c r="P111" s="157">
        <f t="shared" ref="P111:Q111" si="219">F108-L108</f>
        <v>1.7016691995721617E-2</v>
      </c>
      <c r="Q111" s="158">
        <f t="shared" si="219"/>
        <v>0</v>
      </c>
    </row>
    <row r="112" spans="1:18" ht="21.75" customHeight="1">
      <c r="A112" s="159" t="s">
        <v>60</v>
      </c>
      <c r="B112" s="160"/>
      <c r="C112" s="160">
        <f t="shared" ref="C112:E112" si="220">C110+C111</f>
        <v>4253000</v>
      </c>
      <c r="D112" s="160">
        <f t="shared" si="220"/>
        <v>8750000</v>
      </c>
      <c r="E112" s="160">
        <f t="shared" si="220"/>
        <v>0</v>
      </c>
      <c r="F112" s="98">
        <f t="shared" si="216"/>
        <v>0</v>
      </c>
      <c r="G112" s="151"/>
      <c r="H112" s="147"/>
      <c r="I112" s="147"/>
      <c r="J112" s="147"/>
      <c r="K112" s="147"/>
      <c r="L112" s="155" t="s">
        <v>22</v>
      </c>
      <c r="M112" s="156">
        <f t="shared" si="217"/>
        <v>0</v>
      </c>
      <c r="N112" s="156">
        <v>0</v>
      </c>
      <c r="O112" s="156">
        <f t="shared" si="218"/>
        <v>0</v>
      </c>
    </row>
    <row r="113" spans="1:15" ht="15.75" customHeight="1">
      <c r="A113" s="161" t="s">
        <v>104</v>
      </c>
      <c r="B113" s="162"/>
      <c r="C113" s="162">
        <f t="shared" ref="C113:E113" si="221">C108+C112</f>
        <v>62502046</v>
      </c>
      <c r="D113" s="162">
        <f t="shared" si="221"/>
        <v>63449068</v>
      </c>
      <c r="E113" s="162">
        <f t="shared" si="221"/>
        <v>7291771</v>
      </c>
      <c r="F113" s="163">
        <f t="shared" si="216"/>
        <v>0.11666451687037573</v>
      </c>
      <c r="G113" s="151"/>
      <c r="H113" s="147"/>
      <c r="I113" s="147"/>
      <c r="J113" s="147"/>
      <c r="K113" s="147"/>
      <c r="L113" s="155" t="s">
        <v>28</v>
      </c>
      <c r="M113" s="156">
        <f t="shared" si="217"/>
        <v>375954</v>
      </c>
      <c r="N113" s="156">
        <v>375954</v>
      </c>
      <c r="O113" s="156">
        <f t="shared" si="218"/>
        <v>0</v>
      </c>
    </row>
    <row r="114" spans="1:15" ht="15.75" customHeight="1">
      <c r="A114" s="144"/>
      <c r="B114" s="164"/>
      <c r="C114" s="164"/>
      <c r="D114" s="164"/>
      <c r="E114" s="164"/>
      <c r="F114" s="165"/>
      <c r="G114" s="151"/>
      <c r="H114" s="147"/>
      <c r="I114" s="147"/>
      <c r="J114" s="147"/>
      <c r="K114" s="147"/>
      <c r="L114" s="155" t="s">
        <v>31</v>
      </c>
      <c r="M114" s="156">
        <f t="shared" si="217"/>
        <v>579214</v>
      </c>
      <c r="N114" s="156">
        <v>579214</v>
      </c>
      <c r="O114" s="156">
        <f t="shared" si="218"/>
        <v>0</v>
      </c>
    </row>
    <row r="115" spans="1:15" ht="15.75" customHeight="1">
      <c r="A115" s="968" t="s">
        <v>6</v>
      </c>
      <c r="B115" s="972" t="s">
        <v>7</v>
      </c>
      <c r="C115" s="90" t="s">
        <v>105</v>
      </c>
      <c r="D115" s="166" t="s">
        <v>106</v>
      </c>
      <c r="E115" s="90" t="s">
        <v>116</v>
      </c>
      <c r="F115" s="167" t="s">
        <v>108</v>
      </c>
      <c r="L115" s="155" t="s">
        <v>40</v>
      </c>
      <c r="M115" s="156">
        <f t="shared" si="217"/>
        <v>3566009</v>
      </c>
      <c r="N115" s="156">
        <v>3566009</v>
      </c>
      <c r="O115" s="156">
        <f t="shared" si="218"/>
        <v>0</v>
      </c>
    </row>
    <row r="116" spans="1:15" ht="15.75" customHeight="1">
      <c r="A116" s="950"/>
      <c r="B116" s="953"/>
      <c r="C116" s="168" t="s">
        <v>19</v>
      </c>
      <c r="D116" s="169" t="s">
        <v>19</v>
      </c>
      <c r="E116" s="168" t="s">
        <v>19</v>
      </c>
      <c r="F116" s="170"/>
      <c r="G116" s="147"/>
      <c r="L116" s="171" t="s">
        <v>32</v>
      </c>
      <c r="M116" s="156">
        <f t="shared" si="217"/>
        <v>11038276</v>
      </c>
      <c r="N116" s="156">
        <v>11038276</v>
      </c>
      <c r="O116" s="156">
        <f t="shared" si="218"/>
        <v>0</v>
      </c>
    </row>
    <row r="117" spans="1:15" ht="15.75" customHeight="1">
      <c r="A117" s="172" t="s">
        <v>109</v>
      </c>
      <c r="B117" s="173" t="s">
        <v>21</v>
      </c>
      <c r="C117" s="174">
        <v>9819593</v>
      </c>
      <c r="D117" s="175">
        <f>ROUND(C117*75%,0)</f>
        <v>7364695</v>
      </c>
      <c r="E117" s="174">
        <v>-51401</v>
      </c>
      <c r="F117" s="98">
        <f t="shared" ref="F117:F126" si="222">E117/C117</f>
        <v>-5.2345346696141071E-3</v>
      </c>
      <c r="L117" s="171" t="s">
        <v>29</v>
      </c>
      <c r="M117" s="156">
        <f t="shared" si="217"/>
        <v>13526785</v>
      </c>
      <c r="N117" s="156">
        <v>13516785</v>
      </c>
      <c r="O117" s="156">
        <f t="shared" si="218"/>
        <v>10000</v>
      </c>
    </row>
    <row r="118" spans="1:15" ht="15.75" customHeight="1">
      <c r="A118" s="176" t="s">
        <v>110</v>
      </c>
      <c r="B118" s="177" t="s">
        <v>21</v>
      </c>
      <c r="C118" s="178">
        <v>6871037</v>
      </c>
      <c r="D118" s="179">
        <v>6830990</v>
      </c>
      <c r="E118" s="178">
        <v>599155</v>
      </c>
      <c r="F118" s="98">
        <f t="shared" si="222"/>
        <v>8.7200083480848664E-2</v>
      </c>
      <c r="L118" s="155" t="s">
        <v>25</v>
      </c>
      <c r="M118" s="180">
        <f t="shared" ref="M118:N118" si="223">SUM(M111:M117)</f>
        <v>36757029</v>
      </c>
      <c r="N118" s="180">
        <f t="shared" si="223"/>
        <v>36742029</v>
      </c>
      <c r="O118" s="156">
        <f t="shared" si="218"/>
        <v>15000</v>
      </c>
    </row>
    <row r="119" spans="1:15" ht="15.75" customHeight="1">
      <c r="A119" s="181" t="s">
        <v>111</v>
      </c>
      <c r="B119" s="182" t="s">
        <v>21</v>
      </c>
      <c r="C119" s="183">
        <v>20000</v>
      </c>
      <c r="D119" s="184">
        <v>20000</v>
      </c>
      <c r="E119" s="183">
        <v>2388</v>
      </c>
      <c r="F119" s="98">
        <f t="shared" si="222"/>
        <v>0.11940000000000001</v>
      </c>
    </row>
    <row r="120" spans="1:15" ht="15.75" customHeight="1">
      <c r="A120" s="185"/>
      <c r="B120" s="186" t="s">
        <v>25</v>
      </c>
      <c r="C120" s="187">
        <f t="shared" ref="C120:E120" si="224">SUM(C117:C119)</f>
        <v>16710630</v>
      </c>
      <c r="D120" s="188">
        <f t="shared" si="224"/>
        <v>14215685</v>
      </c>
      <c r="E120" s="187">
        <f t="shared" si="224"/>
        <v>550142</v>
      </c>
      <c r="F120" s="98">
        <f t="shared" si="222"/>
        <v>3.2921679194620433E-2</v>
      </c>
    </row>
    <row r="121" spans="1:15" ht="15.75" customHeight="1">
      <c r="A121" s="189" t="s">
        <v>79</v>
      </c>
      <c r="B121" s="147"/>
      <c r="C121" s="147"/>
      <c r="D121" s="147"/>
      <c r="E121" s="147"/>
      <c r="F121" s="98" t="e">
        <f t="shared" si="222"/>
        <v>#DIV/0!</v>
      </c>
    </row>
    <row r="122" spans="1:15" ht="15.75" customHeight="1">
      <c r="A122" s="190" t="s">
        <v>109</v>
      </c>
      <c r="B122" s="173" t="s">
        <v>21</v>
      </c>
      <c r="C122" s="174">
        <v>9905586</v>
      </c>
      <c r="D122" s="174">
        <f>ROUND(C122*75%,0)</f>
        <v>7429190</v>
      </c>
      <c r="E122" s="174">
        <v>195708</v>
      </c>
      <c r="F122" s="98">
        <f t="shared" si="222"/>
        <v>1.9757336920804079E-2</v>
      </c>
    </row>
    <row r="123" spans="1:15" ht="15.75" customHeight="1">
      <c r="A123" s="176" t="s">
        <v>110</v>
      </c>
      <c r="B123" s="177" t="s">
        <v>21</v>
      </c>
      <c r="C123" s="178">
        <v>6941037</v>
      </c>
      <c r="D123" s="178">
        <v>6800513</v>
      </c>
      <c r="E123" s="178">
        <v>184700</v>
      </c>
      <c r="F123" s="98">
        <f t="shared" si="222"/>
        <v>2.6609856711612399E-2</v>
      </c>
    </row>
    <row r="124" spans="1:15" ht="15.75" customHeight="1">
      <c r="A124" s="181" t="s">
        <v>111</v>
      </c>
      <c r="B124" s="182" t="s">
        <v>21</v>
      </c>
      <c r="C124" s="183">
        <v>20000</v>
      </c>
      <c r="D124" s="183">
        <v>20000</v>
      </c>
      <c r="E124" s="183">
        <v>0</v>
      </c>
      <c r="F124" s="98">
        <f t="shared" si="222"/>
        <v>0</v>
      </c>
    </row>
    <row r="125" spans="1:15" ht="15.75" customHeight="1">
      <c r="A125" s="185"/>
      <c r="B125" s="191" t="s">
        <v>25</v>
      </c>
      <c r="C125" s="192">
        <f t="shared" ref="C125:E125" si="225">SUM(C122:C124)</f>
        <v>16866623</v>
      </c>
      <c r="D125" s="192">
        <f t="shared" si="225"/>
        <v>14249703</v>
      </c>
      <c r="E125" s="192">
        <f t="shared" si="225"/>
        <v>380408</v>
      </c>
      <c r="F125" s="98">
        <f t="shared" si="222"/>
        <v>2.2553892382606761E-2</v>
      </c>
    </row>
    <row r="126" spans="1:15" ht="15.75" customHeight="1">
      <c r="A126" s="193"/>
      <c r="B126" s="194" t="s">
        <v>83</v>
      </c>
      <c r="C126" s="195">
        <f t="shared" ref="C126:E126" si="226">C120-C125</f>
        <v>-155993</v>
      </c>
      <c r="D126" s="195">
        <f t="shared" si="226"/>
        <v>-34018</v>
      </c>
      <c r="E126" s="195">
        <f t="shared" si="226"/>
        <v>169734</v>
      </c>
      <c r="F126" s="98">
        <f t="shared" si="222"/>
        <v>-1.08808728596796</v>
      </c>
    </row>
    <row r="127" spans="1:15" ht="18" customHeight="1">
      <c r="A127" s="189"/>
      <c r="B127" s="147"/>
      <c r="C127" s="147"/>
      <c r="D127" s="147"/>
      <c r="E127" s="147"/>
      <c r="F127" s="196"/>
    </row>
    <row r="128" spans="1:15" ht="16.5" customHeight="1">
      <c r="A128" s="185" t="s">
        <v>117</v>
      </c>
      <c r="B128" s="197" t="s">
        <v>51</v>
      </c>
      <c r="C128" s="187"/>
      <c r="D128" s="198">
        <f t="shared" ref="D128:D130" si="227">ROUND(C128*75%,0)</f>
        <v>0</v>
      </c>
      <c r="E128" s="187">
        <v>40</v>
      </c>
      <c r="F128" s="98" t="e">
        <f t="shared" ref="F128:F134" si="228">E128/C128</f>
        <v>#DIV/0!</v>
      </c>
    </row>
    <row r="129" spans="1:6" ht="16.5" customHeight="1">
      <c r="A129" s="185" t="s">
        <v>118</v>
      </c>
      <c r="B129" s="197" t="s">
        <v>28</v>
      </c>
      <c r="C129" s="187"/>
      <c r="D129" s="198">
        <f t="shared" si="227"/>
        <v>0</v>
      </c>
      <c r="E129" s="187">
        <v>24067</v>
      </c>
      <c r="F129" s="98" t="e">
        <f t="shared" si="228"/>
        <v>#DIV/0!</v>
      </c>
    </row>
    <row r="130" spans="1:6" ht="15.75" customHeight="1">
      <c r="A130" s="185" t="s">
        <v>112</v>
      </c>
      <c r="B130" s="197" t="s">
        <v>32</v>
      </c>
      <c r="C130" s="187">
        <v>293605</v>
      </c>
      <c r="D130" s="198">
        <f t="shared" si="227"/>
        <v>220204</v>
      </c>
      <c r="E130" s="187">
        <v>151143</v>
      </c>
      <c r="F130" s="98">
        <f t="shared" si="228"/>
        <v>0.51478346758399895</v>
      </c>
    </row>
    <row r="131" spans="1:6" ht="18" customHeight="1">
      <c r="A131" s="189"/>
      <c r="B131" s="199"/>
      <c r="C131" s="200"/>
      <c r="D131" s="201"/>
      <c r="E131" s="200"/>
      <c r="F131" s="98" t="e">
        <f t="shared" si="228"/>
        <v>#DIV/0!</v>
      </c>
    </row>
    <row r="132" spans="1:6" ht="15.75" customHeight="1">
      <c r="A132" s="970" t="s">
        <v>113</v>
      </c>
      <c r="B132" s="966"/>
      <c r="C132" s="202">
        <f t="shared" ref="C132:E132" si="229">C101+C120</f>
        <v>31952583</v>
      </c>
      <c r="D132" s="202">
        <f t="shared" si="229"/>
        <v>29455138</v>
      </c>
      <c r="E132" s="202">
        <f t="shared" si="229"/>
        <v>3759084</v>
      </c>
      <c r="F132" s="98">
        <f t="shared" si="228"/>
        <v>0.11764570019268865</v>
      </c>
    </row>
    <row r="133" spans="1:6" ht="15.75" customHeight="1">
      <c r="A133" s="971" t="s">
        <v>114</v>
      </c>
      <c r="B133" s="931"/>
      <c r="C133" s="203">
        <f t="shared" ref="C133:E133" si="230">C125</f>
        <v>16866623</v>
      </c>
      <c r="D133" s="203">
        <f t="shared" si="230"/>
        <v>14249703</v>
      </c>
      <c r="E133" s="203">
        <f t="shared" si="230"/>
        <v>380408</v>
      </c>
      <c r="F133" s="98">
        <f t="shared" si="228"/>
        <v>2.2553892382606761E-2</v>
      </c>
    </row>
    <row r="134" spans="1:6" ht="15.75" customHeight="1">
      <c r="A134" s="204" t="s">
        <v>115</v>
      </c>
      <c r="B134" s="205"/>
      <c r="C134" s="206">
        <f t="shared" ref="C134:E134" si="231">C132-C133</f>
        <v>15085960</v>
      </c>
      <c r="D134" s="206">
        <f t="shared" si="231"/>
        <v>15205435</v>
      </c>
      <c r="E134" s="206">
        <f t="shared" si="231"/>
        <v>3378676</v>
      </c>
      <c r="F134" s="98">
        <f t="shared" si="228"/>
        <v>0.22396161729183955</v>
      </c>
    </row>
    <row r="135" spans="1:6" ht="15.75" customHeight="1"/>
    <row r="136" spans="1:6" ht="15.75" customHeight="1"/>
    <row r="137" spans="1:6" ht="15.75" customHeight="1"/>
    <row r="138" spans="1:6" ht="15.75" customHeight="1"/>
    <row r="139" spans="1:6" ht="15.75" customHeight="1"/>
    <row r="140" spans="1:6" ht="15.75" customHeight="1"/>
    <row r="141" spans="1:6" ht="15.75" customHeight="1"/>
    <row r="142" spans="1:6" ht="15.75" customHeight="1"/>
    <row r="143" spans="1:6" ht="15.75" customHeight="1"/>
    <row r="144" spans="1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9">
    <mergeCell ref="A43:A45"/>
    <mergeCell ref="A47:A48"/>
    <mergeCell ref="G72:G77"/>
    <mergeCell ref="G79:G82"/>
    <mergeCell ref="G84:G88"/>
    <mergeCell ref="G90:G94"/>
    <mergeCell ref="G96:G99"/>
    <mergeCell ref="G101:G108"/>
    <mergeCell ref="G39:G41"/>
    <mergeCell ref="G43:G45"/>
    <mergeCell ref="G47:G48"/>
    <mergeCell ref="G50:G53"/>
    <mergeCell ref="G55:G58"/>
    <mergeCell ref="G60:G64"/>
    <mergeCell ref="G66:G70"/>
    <mergeCell ref="A83:F83"/>
    <mergeCell ref="A89:F89"/>
    <mergeCell ref="A95:F95"/>
    <mergeCell ref="A100:F100"/>
    <mergeCell ref="A46:F46"/>
    <mergeCell ref="A49:F49"/>
    <mergeCell ref="A54:F54"/>
    <mergeCell ref="A59:F59"/>
    <mergeCell ref="A65:F65"/>
    <mergeCell ref="A35:F35"/>
    <mergeCell ref="G36:G37"/>
    <mergeCell ref="A38:F38"/>
    <mergeCell ref="A42:F42"/>
    <mergeCell ref="A18:A23"/>
    <mergeCell ref="A25:A28"/>
    <mergeCell ref="A30:A34"/>
    <mergeCell ref="A36:A37"/>
    <mergeCell ref="A39:A41"/>
    <mergeCell ref="G35:L35"/>
    <mergeCell ref="A10:F10"/>
    <mergeCell ref="A11:A12"/>
    <mergeCell ref="A13:F13"/>
    <mergeCell ref="A14:A16"/>
    <mergeCell ref="A17:F17"/>
    <mergeCell ref="G25:G28"/>
    <mergeCell ref="A24:F24"/>
    <mergeCell ref="A29:F29"/>
    <mergeCell ref="G30:G34"/>
    <mergeCell ref="G29:L29"/>
    <mergeCell ref="G11:G12"/>
    <mergeCell ref="G14:G16"/>
    <mergeCell ref="G18:G23"/>
    <mergeCell ref="G10:L10"/>
    <mergeCell ref="G13:L13"/>
    <mergeCell ref="G17:L17"/>
    <mergeCell ref="G24:L24"/>
    <mergeCell ref="A115:A116"/>
    <mergeCell ref="A132:B132"/>
    <mergeCell ref="A133:B133"/>
    <mergeCell ref="A50:A53"/>
    <mergeCell ref="A55:A58"/>
    <mergeCell ref="A60:A64"/>
    <mergeCell ref="A66:A70"/>
    <mergeCell ref="A72:A77"/>
    <mergeCell ref="A79:A82"/>
    <mergeCell ref="A84:A88"/>
    <mergeCell ref="B115:B116"/>
    <mergeCell ref="A71:F71"/>
    <mergeCell ref="A78:F78"/>
    <mergeCell ref="G100:L100"/>
    <mergeCell ref="M78:R78"/>
    <mergeCell ref="M83:R83"/>
    <mergeCell ref="M89:R89"/>
    <mergeCell ref="M95:R95"/>
    <mergeCell ref="M100:R100"/>
    <mergeCell ref="A90:A94"/>
    <mergeCell ref="A96:A99"/>
    <mergeCell ref="A101:A108"/>
    <mergeCell ref="M101:M108"/>
    <mergeCell ref="G78:L78"/>
    <mergeCell ref="M10:R10"/>
    <mergeCell ref="M11:M12"/>
    <mergeCell ref="M13:R13"/>
    <mergeCell ref="M14:M16"/>
    <mergeCell ref="M17:R17"/>
    <mergeCell ref="M18:M23"/>
    <mergeCell ref="M24:R24"/>
    <mergeCell ref="M25:M28"/>
    <mergeCell ref="M29:R29"/>
    <mergeCell ref="A4:A5"/>
    <mergeCell ref="B4:B5"/>
    <mergeCell ref="F4:F5"/>
    <mergeCell ref="H4:H5"/>
    <mergeCell ref="L4:L5"/>
    <mergeCell ref="M4:M5"/>
    <mergeCell ref="M6:M9"/>
    <mergeCell ref="N4:N5"/>
    <mergeCell ref="R4:R5"/>
    <mergeCell ref="A6:A9"/>
    <mergeCell ref="G4:G5"/>
    <mergeCell ref="G6:G9"/>
    <mergeCell ref="G3:L3"/>
    <mergeCell ref="M3:R3"/>
    <mergeCell ref="A1:F1"/>
    <mergeCell ref="G1:L1"/>
    <mergeCell ref="M1:R1"/>
    <mergeCell ref="A2:F2"/>
    <mergeCell ref="G2:L2"/>
    <mergeCell ref="M2:R2"/>
    <mergeCell ref="A3:F3"/>
    <mergeCell ref="M50:M53"/>
    <mergeCell ref="M55:M58"/>
    <mergeCell ref="M60:M64"/>
    <mergeCell ref="G42:L42"/>
    <mergeCell ref="G46:L46"/>
    <mergeCell ref="G49:L49"/>
    <mergeCell ref="G54:L54"/>
    <mergeCell ref="G59:L59"/>
    <mergeCell ref="M38:R38"/>
    <mergeCell ref="G38:L38"/>
    <mergeCell ref="M72:M77"/>
    <mergeCell ref="M79:M82"/>
    <mergeCell ref="M84:M88"/>
    <mergeCell ref="M90:M94"/>
    <mergeCell ref="M96:M99"/>
    <mergeCell ref="M30:M34"/>
    <mergeCell ref="M35:R35"/>
    <mergeCell ref="G83:L83"/>
    <mergeCell ref="G89:L89"/>
    <mergeCell ref="G95:L95"/>
    <mergeCell ref="G65:L65"/>
    <mergeCell ref="G71:L71"/>
    <mergeCell ref="M42:R42"/>
    <mergeCell ref="M46:R46"/>
    <mergeCell ref="M49:R49"/>
    <mergeCell ref="M54:R54"/>
    <mergeCell ref="M59:R59"/>
    <mergeCell ref="M65:R65"/>
    <mergeCell ref="M71:R71"/>
    <mergeCell ref="M66:M70"/>
    <mergeCell ref="M36:M37"/>
    <mergeCell ref="M39:M41"/>
    <mergeCell ref="M43:M45"/>
    <mergeCell ref="M47:M48"/>
  </mergeCells>
  <pageMargins left="0.46" right="0.34" top="0.46" bottom="0.37" header="0" footer="0"/>
  <pageSetup orientation="portrait"/>
  <rowBreaks count="3" manualBreakCount="3">
    <brk id="41" man="1"/>
    <brk id="108" man="1"/>
    <brk id="77" man="1"/>
  </rowBreaks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Z1000"/>
  <sheetViews>
    <sheetView workbookViewId="0">
      <selection sqref="A1:F1"/>
    </sheetView>
  </sheetViews>
  <sheetFormatPr defaultColWidth="12.625" defaultRowHeight="15" customHeight="1"/>
  <cols>
    <col min="1" max="1" width="22.625" customWidth="1"/>
    <col min="2" max="2" width="15.75" customWidth="1"/>
    <col min="3" max="3" width="16.625" customWidth="1"/>
    <col min="4" max="4" width="13.25" hidden="1" customWidth="1"/>
    <col min="5" max="5" width="16.5" customWidth="1"/>
    <col min="6" max="6" width="13.375" customWidth="1"/>
    <col min="7" max="7" width="19.375" customWidth="1"/>
    <col min="8" max="8" width="16.125" customWidth="1"/>
    <col min="9" max="9" width="17.125" customWidth="1"/>
    <col min="10" max="10" width="13.375" hidden="1" customWidth="1"/>
    <col min="11" max="11" width="16" customWidth="1"/>
    <col min="12" max="12" width="15.625" customWidth="1"/>
    <col min="13" max="13" width="17.625" customWidth="1"/>
    <col min="14" max="14" width="18.125" customWidth="1"/>
    <col min="15" max="15" width="16.75" customWidth="1"/>
    <col min="16" max="16" width="0.25" hidden="1" customWidth="1"/>
    <col min="17" max="17" width="17.25" customWidth="1"/>
    <col min="18" max="18" width="15.375" customWidth="1"/>
    <col min="19" max="26" width="7.875" customWidth="1"/>
  </cols>
  <sheetData>
    <row r="1" spans="1:18" ht="21" customHeight="1">
      <c r="A1" s="962" t="s">
        <v>88</v>
      </c>
      <c r="B1" s="928"/>
      <c r="C1" s="928"/>
      <c r="D1" s="928"/>
      <c r="E1" s="928"/>
      <c r="F1" s="928"/>
      <c r="G1" s="963" t="str">
        <f>A1</f>
        <v xml:space="preserve">Capex review on OBG 2021-22 </v>
      </c>
      <c r="H1" s="957"/>
      <c r="I1" s="957"/>
      <c r="J1" s="957"/>
      <c r="K1" s="957"/>
      <c r="L1" s="957"/>
      <c r="M1" s="964" t="str">
        <f>G1</f>
        <v xml:space="preserve">Capex review on OBG 2021-22 </v>
      </c>
      <c r="N1" s="957"/>
      <c r="O1" s="957"/>
      <c r="P1" s="957"/>
      <c r="Q1" s="957"/>
      <c r="R1" s="957"/>
    </row>
    <row r="2" spans="1:18">
      <c r="A2" s="965" t="s">
        <v>1</v>
      </c>
      <c r="B2" s="966"/>
      <c r="C2" s="966"/>
      <c r="D2" s="966"/>
      <c r="E2" s="966"/>
      <c r="F2" s="967"/>
      <c r="G2" s="965" t="s">
        <v>89</v>
      </c>
      <c r="H2" s="966"/>
      <c r="I2" s="966"/>
      <c r="J2" s="966"/>
      <c r="K2" s="966"/>
      <c r="L2" s="967"/>
      <c r="M2" s="965" t="s">
        <v>90</v>
      </c>
      <c r="N2" s="966"/>
      <c r="O2" s="966"/>
      <c r="P2" s="966"/>
      <c r="Q2" s="966"/>
      <c r="R2" s="967"/>
    </row>
    <row r="3" spans="1:18" ht="15.75">
      <c r="A3" s="959" t="s">
        <v>91</v>
      </c>
      <c r="B3" s="960"/>
      <c r="C3" s="960"/>
      <c r="D3" s="960"/>
      <c r="E3" s="960"/>
      <c r="F3" s="961"/>
      <c r="G3" s="959" t="s">
        <v>91</v>
      </c>
      <c r="H3" s="960"/>
      <c r="I3" s="960"/>
      <c r="J3" s="960"/>
      <c r="K3" s="960"/>
      <c r="L3" s="961"/>
      <c r="M3" s="959" t="s">
        <v>91</v>
      </c>
      <c r="N3" s="960"/>
      <c r="O3" s="960"/>
      <c r="P3" s="960"/>
      <c r="Q3" s="960"/>
      <c r="R3" s="961"/>
    </row>
    <row r="4" spans="1:18" ht="53.25" customHeight="1">
      <c r="A4" s="968" t="s">
        <v>119</v>
      </c>
      <c r="B4" s="968" t="s">
        <v>7</v>
      </c>
      <c r="C4" s="89" t="s">
        <v>92</v>
      </c>
      <c r="D4" s="89" t="s">
        <v>93</v>
      </c>
      <c r="E4" s="90" t="s">
        <v>116</v>
      </c>
      <c r="F4" s="969" t="s">
        <v>95</v>
      </c>
      <c r="G4" s="968" t="s">
        <v>119</v>
      </c>
      <c r="H4" s="968" t="s">
        <v>7</v>
      </c>
      <c r="I4" s="89" t="str">
        <f t="shared" ref="I4:K4" si="0">C4</f>
        <v xml:space="preserve">OBG 2021-22 </v>
      </c>
      <c r="J4" s="89" t="str">
        <f t="shared" si="0"/>
        <v>Spending Limit 2021-22 ( S L)</v>
      </c>
      <c r="K4" s="91" t="str">
        <f t="shared" si="0"/>
        <v>Actual Exp. up to May-2021</v>
      </c>
      <c r="L4" s="969" t="s">
        <v>96</v>
      </c>
      <c r="M4" s="968" t="s">
        <v>119</v>
      </c>
      <c r="N4" s="968" t="s">
        <v>7</v>
      </c>
      <c r="O4" s="89" t="str">
        <f t="shared" ref="O4:Q4" si="1">C4</f>
        <v xml:space="preserve">OBG 2021-22 </v>
      </c>
      <c r="P4" s="89" t="str">
        <f t="shared" si="1"/>
        <v>Spending Limit 2021-22 ( S L)</v>
      </c>
      <c r="Q4" s="91" t="str">
        <f t="shared" si="1"/>
        <v>Actual Exp. up to May-2021</v>
      </c>
      <c r="R4" s="969" t="s">
        <v>95</v>
      </c>
    </row>
    <row r="5" spans="1:18" ht="33.75" customHeight="1">
      <c r="A5" s="949"/>
      <c r="B5" s="949"/>
      <c r="C5" s="92" t="s">
        <v>19</v>
      </c>
      <c r="D5" s="92" t="s">
        <v>19</v>
      </c>
      <c r="E5" s="93" t="s">
        <v>19</v>
      </c>
      <c r="F5" s="934"/>
      <c r="G5" s="949"/>
      <c r="H5" s="949"/>
      <c r="I5" s="94" t="s">
        <v>19</v>
      </c>
      <c r="J5" s="92" t="s">
        <v>19</v>
      </c>
      <c r="K5" s="93" t="s">
        <v>19</v>
      </c>
      <c r="L5" s="958"/>
      <c r="M5" s="949"/>
      <c r="N5" s="949"/>
      <c r="O5" s="92" t="s">
        <v>19</v>
      </c>
      <c r="P5" s="92" t="s">
        <v>19</v>
      </c>
      <c r="Q5" s="93" t="s">
        <v>19</v>
      </c>
      <c r="R5" s="958"/>
    </row>
    <row r="6" spans="1:18" ht="15.75" customHeight="1">
      <c r="A6" s="951" t="s">
        <v>97</v>
      </c>
      <c r="B6" s="95" t="s">
        <v>21</v>
      </c>
      <c r="C6" s="96">
        <v>10001</v>
      </c>
      <c r="D6" s="95">
        <f t="shared" ref="D6:D7" si="2">C6</f>
        <v>10001</v>
      </c>
      <c r="E6" s="97">
        <v>0</v>
      </c>
      <c r="F6" s="98">
        <f>E6/C6</f>
        <v>0</v>
      </c>
      <c r="G6" s="951" t="s">
        <v>97</v>
      </c>
      <c r="H6" s="95" t="s">
        <v>21</v>
      </c>
      <c r="I6" s="96">
        <v>10001</v>
      </c>
      <c r="J6" s="95">
        <f t="shared" ref="J6:J7" si="3">I6</f>
        <v>10001</v>
      </c>
      <c r="K6" s="97">
        <v>0</v>
      </c>
      <c r="L6" s="98">
        <f>K6/I6</f>
        <v>0</v>
      </c>
      <c r="M6" s="951" t="s">
        <v>97</v>
      </c>
      <c r="N6" s="99" t="s">
        <v>21</v>
      </c>
      <c r="O6" s="95">
        <f t="shared" ref="O6:Q6" si="4">C6-I6</f>
        <v>0</v>
      </c>
      <c r="P6" s="95">
        <f t="shared" si="4"/>
        <v>0</v>
      </c>
      <c r="Q6" s="100">
        <f t="shared" si="4"/>
        <v>0</v>
      </c>
      <c r="R6" s="101"/>
    </row>
    <row r="7" spans="1:18">
      <c r="A7" s="952"/>
      <c r="B7" s="102" t="s">
        <v>22</v>
      </c>
      <c r="C7" s="103">
        <v>0</v>
      </c>
      <c r="D7" s="102">
        <f t="shared" si="2"/>
        <v>0</v>
      </c>
      <c r="E7" s="104">
        <v>0</v>
      </c>
      <c r="F7" s="105">
        <v>0</v>
      </c>
      <c r="G7" s="952"/>
      <c r="H7" s="102" t="s">
        <v>22</v>
      </c>
      <c r="I7" s="103">
        <v>0</v>
      </c>
      <c r="J7" s="102">
        <f t="shared" si="3"/>
        <v>0</v>
      </c>
      <c r="K7" s="104">
        <v>0</v>
      </c>
      <c r="L7" s="105">
        <v>0</v>
      </c>
      <c r="M7" s="952"/>
      <c r="N7" s="106" t="s">
        <v>22</v>
      </c>
      <c r="O7" s="102">
        <f t="shared" ref="O7:Q7" si="5">C7-I7</f>
        <v>0</v>
      </c>
      <c r="P7" s="102">
        <f t="shared" si="5"/>
        <v>0</v>
      </c>
      <c r="Q7" s="107">
        <f t="shared" si="5"/>
        <v>0</v>
      </c>
      <c r="R7" s="101"/>
    </row>
    <row r="8" spans="1:18">
      <c r="A8" s="952"/>
      <c r="B8" s="102" t="s">
        <v>40</v>
      </c>
      <c r="C8" s="108">
        <v>2</v>
      </c>
      <c r="D8" s="109"/>
      <c r="E8" s="110">
        <v>424</v>
      </c>
      <c r="F8" s="105">
        <f t="shared" ref="F8:F9" si="6">E8/C8</f>
        <v>212</v>
      </c>
      <c r="G8" s="952"/>
      <c r="H8" s="102" t="s">
        <v>40</v>
      </c>
      <c r="I8" s="108">
        <v>2</v>
      </c>
      <c r="J8" s="109"/>
      <c r="K8" s="110">
        <v>424</v>
      </c>
      <c r="L8" s="105">
        <f t="shared" ref="L8:L9" si="7">K8/I8</f>
        <v>212</v>
      </c>
      <c r="M8" s="952"/>
      <c r="N8" s="102" t="s">
        <v>40</v>
      </c>
      <c r="O8" s="102">
        <f t="shared" ref="O8:Q8" si="8">C8-I8</f>
        <v>0</v>
      </c>
      <c r="P8" s="102">
        <f t="shared" si="8"/>
        <v>0</v>
      </c>
      <c r="Q8" s="107">
        <f t="shared" si="8"/>
        <v>0</v>
      </c>
      <c r="R8" s="101"/>
    </row>
    <row r="9" spans="1:18" ht="15.75">
      <c r="A9" s="953"/>
      <c r="B9" s="113" t="s">
        <v>25</v>
      </c>
      <c r="C9" s="114">
        <f t="shared" ref="C9:E9" si="9">SUM(C6:C8)</f>
        <v>10003</v>
      </c>
      <c r="D9" s="115">
        <f t="shared" si="9"/>
        <v>10001</v>
      </c>
      <c r="E9" s="115">
        <f t="shared" si="9"/>
        <v>424</v>
      </c>
      <c r="F9" s="116">
        <f t="shared" si="6"/>
        <v>4.2387283814855542E-2</v>
      </c>
      <c r="G9" s="953"/>
      <c r="H9" s="113" t="s">
        <v>25</v>
      </c>
      <c r="I9" s="114">
        <f t="shared" ref="I9:K9" si="10">SUM(I6:I8)</f>
        <v>10003</v>
      </c>
      <c r="J9" s="115">
        <f t="shared" si="10"/>
        <v>10001</v>
      </c>
      <c r="K9" s="115">
        <f t="shared" si="10"/>
        <v>424</v>
      </c>
      <c r="L9" s="116">
        <f t="shared" si="7"/>
        <v>4.2387283814855542E-2</v>
      </c>
      <c r="M9" s="953"/>
      <c r="N9" s="117" t="s">
        <v>25</v>
      </c>
      <c r="O9" s="118">
        <f t="shared" ref="O9:Q9" si="11">SUM(O6:O7)</f>
        <v>0</v>
      </c>
      <c r="P9" s="118">
        <f t="shared" si="11"/>
        <v>0</v>
      </c>
      <c r="Q9" s="118">
        <f t="shared" si="11"/>
        <v>0</v>
      </c>
      <c r="R9" s="101"/>
    </row>
    <row r="10" spans="1:18" ht="15.75">
      <c r="A10" s="954"/>
      <c r="B10" s="928"/>
      <c r="C10" s="928"/>
      <c r="D10" s="928"/>
      <c r="E10" s="928"/>
      <c r="F10" s="955"/>
      <c r="G10" s="954"/>
      <c r="H10" s="928"/>
      <c r="I10" s="928"/>
      <c r="J10" s="928"/>
      <c r="K10" s="928"/>
      <c r="L10" s="955"/>
      <c r="M10" s="954"/>
      <c r="N10" s="928"/>
      <c r="O10" s="928"/>
      <c r="P10" s="928"/>
      <c r="Q10" s="928"/>
      <c r="R10" s="955"/>
    </row>
    <row r="11" spans="1:18" ht="15.75" customHeight="1">
      <c r="A11" s="951" t="s">
        <v>26</v>
      </c>
      <c r="B11" s="119" t="s">
        <v>21</v>
      </c>
      <c r="C11" s="119">
        <v>260001</v>
      </c>
      <c r="D11" s="119">
        <f>C11</f>
        <v>260001</v>
      </c>
      <c r="E11" s="120">
        <v>13678</v>
      </c>
      <c r="F11" s="98">
        <f t="shared" ref="F11:F12" si="12">E11/C11</f>
        <v>5.2607489971192418E-2</v>
      </c>
      <c r="G11" s="951" t="s">
        <v>26</v>
      </c>
      <c r="H11" s="119" t="s">
        <v>21</v>
      </c>
      <c r="I11" s="119">
        <v>260001</v>
      </c>
      <c r="J11" s="119">
        <f>I11</f>
        <v>260001</v>
      </c>
      <c r="K11" s="120">
        <v>13678</v>
      </c>
      <c r="L11" s="98">
        <f t="shared" ref="L11:L12" si="13">K11/I11</f>
        <v>5.2607489971192418E-2</v>
      </c>
      <c r="M11" s="951" t="s">
        <v>26</v>
      </c>
      <c r="N11" s="119" t="s">
        <v>21</v>
      </c>
      <c r="O11" s="102">
        <f t="shared" ref="O11:Q11" si="14">C11-I11</f>
        <v>0</v>
      </c>
      <c r="P11" s="102">
        <f t="shared" si="14"/>
        <v>0</v>
      </c>
      <c r="Q11" s="107">
        <f t="shared" si="14"/>
        <v>0</v>
      </c>
      <c r="R11" s="105"/>
    </row>
    <row r="12" spans="1:18" ht="15.75">
      <c r="A12" s="953"/>
      <c r="B12" s="118" t="s">
        <v>25</v>
      </c>
      <c r="C12" s="118">
        <f t="shared" ref="C12:E12" si="15">SUM(C11)</f>
        <v>260001</v>
      </c>
      <c r="D12" s="118">
        <f t="shared" si="15"/>
        <v>260001</v>
      </c>
      <c r="E12" s="121">
        <f t="shared" si="15"/>
        <v>13678</v>
      </c>
      <c r="F12" s="116">
        <f t="shared" si="12"/>
        <v>5.2607489971192418E-2</v>
      </c>
      <c r="G12" s="953"/>
      <c r="H12" s="118" t="s">
        <v>25</v>
      </c>
      <c r="I12" s="118">
        <f t="shared" ref="I12:K12" si="16">SUM(I11)</f>
        <v>260001</v>
      </c>
      <c r="J12" s="118">
        <f t="shared" si="16"/>
        <v>260001</v>
      </c>
      <c r="K12" s="121">
        <f t="shared" si="16"/>
        <v>13678</v>
      </c>
      <c r="L12" s="116">
        <f t="shared" si="13"/>
        <v>5.2607489971192418E-2</v>
      </c>
      <c r="M12" s="953"/>
      <c r="N12" s="118" t="s">
        <v>25</v>
      </c>
      <c r="O12" s="118">
        <f t="shared" ref="O12:Q12" si="17">SUM(O11)</f>
        <v>0</v>
      </c>
      <c r="P12" s="118">
        <f t="shared" si="17"/>
        <v>0</v>
      </c>
      <c r="Q12" s="118">
        <f t="shared" si="17"/>
        <v>0</v>
      </c>
      <c r="R12" s="105"/>
    </row>
    <row r="13" spans="1:18" ht="15.75">
      <c r="A13" s="954"/>
      <c r="B13" s="928"/>
      <c r="C13" s="928"/>
      <c r="D13" s="928"/>
      <c r="E13" s="928"/>
      <c r="F13" s="955"/>
      <c r="G13" s="954"/>
      <c r="H13" s="928"/>
      <c r="I13" s="928"/>
      <c r="J13" s="928"/>
      <c r="K13" s="928"/>
      <c r="L13" s="955"/>
      <c r="M13" s="954"/>
      <c r="N13" s="928"/>
      <c r="O13" s="928"/>
      <c r="P13" s="928"/>
      <c r="Q13" s="928"/>
      <c r="R13" s="955"/>
    </row>
    <row r="14" spans="1:18">
      <c r="A14" s="948" t="s">
        <v>27</v>
      </c>
      <c r="B14" s="95" t="s">
        <v>21</v>
      </c>
      <c r="C14" s="99">
        <v>6780400</v>
      </c>
      <c r="D14" s="99">
        <f>C14</f>
        <v>6780400</v>
      </c>
      <c r="E14" s="97">
        <v>988</v>
      </c>
      <c r="F14" s="98">
        <f t="shared" ref="F14:F15" si="18">E14/C14</f>
        <v>1.4571411716122942E-4</v>
      </c>
      <c r="G14" s="948" t="s">
        <v>27</v>
      </c>
      <c r="H14" s="95" t="s">
        <v>21</v>
      </c>
      <c r="I14" s="99">
        <f>2700400+4000000</f>
        <v>6700400</v>
      </c>
      <c r="J14" s="99">
        <f>I14</f>
        <v>6700400</v>
      </c>
      <c r="K14" s="97">
        <v>988</v>
      </c>
      <c r="L14" s="98">
        <f t="shared" ref="L14:L15" si="19">K14/I14</f>
        <v>1.4745388335024774E-4</v>
      </c>
      <c r="M14" s="948" t="s">
        <v>27</v>
      </c>
      <c r="N14" s="95" t="s">
        <v>21</v>
      </c>
      <c r="O14" s="102">
        <f t="shared" ref="O14:Q14" si="20">C14-I14</f>
        <v>80000</v>
      </c>
      <c r="P14" s="102">
        <f t="shared" si="20"/>
        <v>80000</v>
      </c>
      <c r="Q14" s="107">
        <f t="shared" si="20"/>
        <v>0</v>
      </c>
      <c r="R14" s="105">
        <f>Q14/O14</f>
        <v>0</v>
      </c>
    </row>
    <row r="15" spans="1:18" ht="15.75">
      <c r="A15" s="950"/>
      <c r="B15" s="118" t="s">
        <v>25</v>
      </c>
      <c r="C15" s="115">
        <f t="shared" ref="C15:E15" si="21">SUM(C14)</f>
        <v>6780400</v>
      </c>
      <c r="D15" s="115">
        <f t="shared" si="21"/>
        <v>6780400</v>
      </c>
      <c r="E15" s="121">
        <f t="shared" si="21"/>
        <v>988</v>
      </c>
      <c r="F15" s="116">
        <f t="shared" si="18"/>
        <v>1.4571411716122942E-4</v>
      </c>
      <c r="G15" s="950"/>
      <c r="H15" s="118" t="s">
        <v>25</v>
      </c>
      <c r="I15" s="115">
        <f t="shared" ref="I15:K15" si="22">SUM(I14)</f>
        <v>6700400</v>
      </c>
      <c r="J15" s="115">
        <f t="shared" si="22"/>
        <v>6700400</v>
      </c>
      <c r="K15" s="121">
        <f t="shared" si="22"/>
        <v>988</v>
      </c>
      <c r="L15" s="116">
        <f t="shared" si="19"/>
        <v>1.4745388335024774E-4</v>
      </c>
      <c r="M15" s="950"/>
      <c r="N15" s="118" t="s">
        <v>25</v>
      </c>
      <c r="O15" s="115">
        <f t="shared" ref="O15:Q15" si="23">SUM(O14)</f>
        <v>80000</v>
      </c>
      <c r="P15" s="115">
        <f t="shared" si="23"/>
        <v>80000</v>
      </c>
      <c r="Q15" s="115">
        <f t="shared" si="23"/>
        <v>0</v>
      </c>
      <c r="R15" s="105">
        <f>Q15/P15</f>
        <v>0</v>
      </c>
    </row>
    <row r="16" spans="1:18" ht="15.75">
      <c r="A16" s="954"/>
      <c r="B16" s="928"/>
      <c r="C16" s="928"/>
      <c r="D16" s="928"/>
      <c r="E16" s="928"/>
      <c r="F16" s="955"/>
      <c r="G16" s="954"/>
      <c r="H16" s="928"/>
      <c r="I16" s="928"/>
      <c r="J16" s="928"/>
      <c r="K16" s="928"/>
      <c r="L16" s="955"/>
      <c r="M16" s="954"/>
      <c r="N16" s="928"/>
      <c r="O16" s="928"/>
      <c r="P16" s="928"/>
      <c r="Q16" s="928"/>
      <c r="R16" s="955"/>
    </row>
    <row r="17" spans="1:18" ht="15.75" customHeight="1">
      <c r="A17" s="948" t="s">
        <v>30</v>
      </c>
      <c r="B17" s="95" t="s">
        <v>21</v>
      </c>
      <c r="C17" s="99">
        <v>150007</v>
      </c>
      <c r="D17" s="99">
        <f>C17</f>
        <v>150007</v>
      </c>
      <c r="E17" s="97">
        <v>19171</v>
      </c>
      <c r="F17" s="98">
        <f>E17/C17</f>
        <v>0.12780070263387708</v>
      </c>
      <c r="G17" s="948" t="s">
        <v>30</v>
      </c>
      <c r="H17" s="95" t="s">
        <v>21</v>
      </c>
      <c r="I17" s="99">
        <v>150007</v>
      </c>
      <c r="J17" s="99">
        <f>I17</f>
        <v>150007</v>
      </c>
      <c r="K17" s="97">
        <v>14768</v>
      </c>
      <c r="L17" s="98">
        <f>K17/I17</f>
        <v>9.8448739058843923E-2</v>
      </c>
      <c r="M17" s="948" t="s">
        <v>30</v>
      </c>
      <c r="N17" s="95" t="s">
        <v>21</v>
      </c>
      <c r="O17" s="102">
        <f t="shared" ref="O17:Q17" si="24">C17-I17</f>
        <v>0</v>
      </c>
      <c r="P17" s="102">
        <f t="shared" si="24"/>
        <v>0</v>
      </c>
      <c r="Q17" s="107">
        <f t="shared" si="24"/>
        <v>4403</v>
      </c>
      <c r="R17" s="105">
        <v>0</v>
      </c>
    </row>
    <row r="18" spans="1:18">
      <c r="A18" s="949"/>
      <c r="B18" s="102" t="s">
        <v>28</v>
      </c>
      <c r="C18" s="106">
        <v>0</v>
      </c>
      <c r="D18" s="106">
        <f t="shared" ref="D18:D19" si="25">SUM(ROUND(C18*50%,0))</f>
        <v>0</v>
      </c>
      <c r="E18" s="104">
        <v>0</v>
      </c>
      <c r="F18" s="105">
        <v>0</v>
      </c>
      <c r="G18" s="949"/>
      <c r="H18" s="102" t="s">
        <v>28</v>
      </c>
      <c r="I18" s="106">
        <v>0</v>
      </c>
      <c r="J18" s="106">
        <f t="shared" ref="J18:J19" si="26">SUM(ROUND(I18*50%,0))</f>
        <v>0</v>
      </c>
      <c r="K18" s="104">
        <v>0</v>
      </c>
      <c r="L18" s="105">
        <v>0</v>
      </c>
      <c r="M18" s="949"/>
      <c r="N18" s="102" t="s">
        <v>28</v>
      </c>
      <c r="O18" s="102">
        <f t="shared" ref="O18:Q18" si="27">C18-I18</f>
        <v>0</v>
      </c>
      <c r="P18" s="102">
        <f t="shared" si="27"/>
        <v>0</v>
      </c>
      <c r="Q18" s="107">
        <f t="shared" si="27"/>
        <v>0</v>
      </c>
      <c r="R18" s="105">
        <v>0</v>
      </c>
    </row>
    <row r="19" spans="1:18">
      <c r="A19" s="949"/>
      <c r="B19" s="102" t="s">
        <v>31</v>
      </c>
      <c r="C19" s="106">
        <v>100039</v>
      </c>
      <c r="D19" s="106">
        <f t="shared" si="25"/>
        <v>50020</v>
      </c>
      <c r="E19" s="104">
        <v>19392</v>
      </c>
      <c r="F19" s="105">
        <f t="shared" ref="F19:F21" si="28">E19/C19</f>
        <v>0.19384440068373335</v>
      </c>
      <c r="G19" s="949"/>
      <c r="H19" s="102" t="s">
        <v>31</v>
      </c>
      <c r="I19" s="106">
        <v>50026</v>
      </c>
      <c r="J19" s="106">
        <f t="shared" si="26"/>
        <v>25013</v>
      </c>
      <c r="K19" s="104">
        <v>11080</v>
      </c>
      <c r="L19" s="105">
        <f t="shared" ref="L19:L21" si="29">K19/I19</f>
        <v>0.22148482788949747</v>
      </c>
      <c r="M19" s="949"/>
      <c r="N19" s="102" t="s">
        <v>31</v>
      </c>
      <c r="O19" s="102">
        <f t="shared" ref="O19:Q19" si="30">C19-I19</f>
        <v>50013</v>
      </c>
      <c r="P19" s="102">
        <f t="shared" si="30"/>
        <v>25007</v>
      </c>
      <c r="Q19" s="107">
        <f t="shared" si="30"/>
        <v>8312</v>
      </c>
      <c r="R19" s="105">
        <f>Q19/O19</f>
        <v>0.16619678883490294</v>
      </c>
    </row>
    <row r="20" spans="1:18">
      <c r="A20" s="949"/>
      <c r="B20" s="122" t="s">
        <v>32</v>
      </c>
      <c r="C20" s="123">
        <v>2</v>
      </c>
      <c r="D20" s="106">
        <f>SUM(ROUND(C20*75%,0))</f>
        <v>2</v>
      </c>
      <c r="E20" s="104">
        <v>16939</v>
      </c>
      <c r="F20" s="105">
        <f t="shared" si="28"/>
        <v>8469.5</v>
      </c>
      <c r="G20" s="949"/>
      <c r="H20" s="122" t="s">
        <v>32</v>
      </c>
      <c r="I20" s="123">
        <v>2</v>
      </c>
      <c r="J20" s="106">
        <f>SUM(ROUND(I20*75%,0))</f>
        <v>2</v>
      </c>
      <c r="K20" s="104">
        <v>3837</v>
      </c>
      <c r="L20" s="105">
        <f t="shared" si="29"/>
        <v>1918.5</v>
      </c>
      <c r="M20" s="949"/>
      <c r="N20" s="122" t="s">
        <v>32</v>
      </c>
      <c r="O20" s="102">
        <f t="shared" ref="O20:Q20" si="31">C20-I20</f>
        <v>0</v>
      </c>
      <c r="P20" s="102">
        <f t="shared" si="31"/>
        <v>0</v>
      </c>
      <c r="Q20" s="107">
        <f t="shared" si="31"/>
        <v>13102</v>
      </c>
      <c r="R20" s="105">
        <v>0</v>
      </c>
    </row>
    <row r="21" spans="1:18" ht="15.75" customHeight="1">
      <c r="A21" s="950"/>
      <c r="B21" s="118" t="s">
        <v>25</v>
      </c>
      <c r="C21" s="115">
        <f t="shared" ref="C21:E21" si="32">SUM(C17:C20)</f>
        <v>250048</v>
      </c>
      <c r="D21" s="115">
        <f t="shared" si="32"/>
        <v>200029</v>
      </c>
      <c r="E21" s="121">
        <f t="shared" si="32"/>
        <v>55502</v>
      </c>
      <c r="F21" s="116">
        <f t="shared" si="28"/>
        <v>0.22196538264653187</v>
      </c>
      <c r="G21" s="950"/>
      <c r="H21" s="118" t="s">
        <v>25</v>
      </c>
      <c r="I21" s="115">
        <f t="shared" ref="I21:K21" si="33">SUM(I17:I20)</f>
        <v>200035</v>
      </c>
      <c r="J21" s="115">
        <f t="shared" si="33"/>
        <v>175022</v>
      </c>
      <c r="K21" s="121">
        <f t="shared" si="33"/>
        <v>29685</v>
      </c>
      <c r="L21" s="116">
        <f t="shared" si="29"/>
        <v>0.14839903016972031</v>
      </c>
      <c r="M21" s="950"/>
      <c r="N21" s="118" t="s">
        <v>25</v>
      </c>
      <c r="O21" s="115">
        <f t="shared" ref="O21:Q21" si="34">SUM(O17:O20)</f>
        <v>50013</v>
      </c>
      <c r="P21" s="115">
        <f t="shared" si="34"/>
        <v>25007</v>
      </c>
      <c r="Q21" s="115">
        <f t="shared" si="34"/>
        <v>25817</v>
      </c>
      <c r="R21" s="105">
        <f>Q21/O21</f>
        <v>0.51620578649551119</v>
      </c>
    </row>
    <row r="22" spans="1:18" ht="15.75" customHeight="1">
      <c r="A22" s="954"/>
      <c r="B22" s="928"/>
      <c r="C22" s="928"/>
      <c r="D22" s="928"/>
      <c r="E22" s="928"/>
      <c r="F22" s="955"/>
      <c r="G22" s="954"/>
      <c r="H22" s="928"/>
      <c r="I22" s="928"/>
      <c r="J22" s="928"/>
      <c r="K22" s="928"/>
      <c r="L22" s="955"/>
      <c r="M22" s="954"/>
      <c r="N22" s="928"/>
      <c r="O22" s="928"/>
      <c r="P22" s="928"/>
      <c r="Q22" s="928"/>
      <c r="R22" s="955"/>
    </row>
    <row r="23" spans="1:18" ht="15.75" customHeight="1">
      <c r="A23" s="948" t="s">
        <v>34</v>
      </c>
      <c r="B23" s="95" t="s">
        <v>21</v>
      </c>
      <c r="C23" s="99">
        <v>5000</v>
      </c>
      <c r="D23" s="99">
        <f>C23</f>
        <v>5000</v>
      </c>
      <c r="E23" s="97">
        <v>0</v>
      </c>
      <c r="F23" s="98">
        <f t="shared" ref="F23:F26" si="35">E23/C23</f>
        <v>0</v>
      </c>
      <c r="G23" s="948" t="s">
        <v>34</v>
      </c>
      <c r="H23" s="95" t="s">
        <v>21</v>
      </c>
      <c r="I23" s="99">
        <v>0</v>
      </c>
      <c r="J23" s="99">
        <f>I23</f>
        <v>0</v>
      </c>
      <c r="K23" s="97">
        <v>0</v>
      </c>
      <c r="L23" s="98">
        <v>0</v>
      </c>
      <c r="M23" s="948" t="s">
        <v>34</v>
      </c>
      <c r="N23" s="95" t="s">
        <v>21</v>
      </c>
      <c r="O23" s="102">
        <f t="shared" ref="O23:Q23" si="36">C23-I23</f>
        <v>5000</v>
      </c>
      <c r="P23" s="102">
        <f t="shared" si="36"/>
        <v>5000</v>
      </c>
      <c r="Q23" s="107">
        <f t="shared" si="36"/>
        <v>0</v>
      </c>
      <c r="R23" s="105">
        <f t="shared" ref="R23:R26" si="37">Q23/O23</f>
        <v>0</v>
      </c>
    </row>
    <row r="24" spans="1:18" ht="15.75" customHeight="1">
      <c r="A24" s="949"/>
      <c r="B24" s="102" t="s">
        <v>28</v>
      </c>
      <c r="C24" s="106">
        <v>30000</v>
      </c>
      <c r="D24" s="106">
        <f t="shared" ref="D24:D25" si="38">SUM(ROUND(C24*50%,0))</f>
        <v>15000</v>
      </c>
      <c r="E24" s="104">
        <v>0</v>
      </c>
      <c r="F24" s="105">
        <f t="shared" si="35"/>
        <v>0</v>
      </c>
      <c r="G24" s="949"/>
      <c r="H24" s="102" t="s">
        <v>28</v>
      </c>
      <c r="I24" s="106">
        <v>0</v>
      </c>
      <c r="J24" s="106">
        <f t="shared" ref="J24:J25" si="39">SUM(ROUND(I24*50%,0))</f>
        <v>0</v>
      </c>
      <c r="K24" s="104">
        <v>0</v>
      </c>
      <c r="L24" s="105">
        <v>0</v>
      </c>
      <c r="M24" s="949"/>
      <c r="N24" s="102" t="s">
        <v>28</v>
      </c>
      <c r="O24" s="102">
        <f t="shared" ref="O24:Q24" si="40">C24-I24</f>
        <v>30000</v>
      </c>
      <c r="P24" s="102">
        <f t="shared" si="40"/>
        <v>15000</v>
      </c>
      <c r="Q24" s="107">
        <f t="shared" si="40"/>
        <v>0</v>
      </c>
      <c r="R24" s="105">
        <f t="shared" si="37"/>
        <v>0</v>
      </c>
    </row>
    <row r="25" spans="1:18" ht="15.75" customHeight="1">
      <c r="A25" s="949"/>
      <c r="B25" s="102" t="s">
        <v>31</v>
      </c>
      <c r="C25" s="106">
        <v>104</v>
      </c>
      <c r="D25" s="106">
        <f t="shared" si="38"/>
        <v>52</v>
      </c>
      <c r="E25" s="104">
        <v>117</v>
      </c>
      <c r="F25" s="105">
        <f t="shared" si="35"/>
        <v>1.125</v>
      </c>
      <c r="G25" s="949"/>
      <c r="H25" s="102" t="s">
        <v>31</v>
      </c>
      <c r="I25" s="106">
        <v>0</v>
      </c>
      <c r="J25" s="106">
        <f t="shared" si="39"/>
        <v>0</v>
      </c>
      <c r="K25" s="104">
        <v>0</v>
      </c>
      <c r="L25" s="105">
        <v>0</v>
      </c>
      <c r="M25" s="949"/>
      <c r="N25" s="102" t="s">
        <v>31</v>
      </c>
      <c r="O25" s="102">
        <f t="shared" ref="O25:Q25" si="41">C25-I25</f>
        <v>104</v>
      </c>
      <c r="P25" s="102">
        <f t="shared" si="41"/>
        <v>52</v>
      </c>
      <c r="Q25" s="107">
        <f t="shared" si="41"/>
        <v>117</v>
      </c>
      <c r="R25" s="105">
        <f t="shared" si="37"/>
        <v>1.125</v>
      </c>
    </row>
    <row r="26" spans="1:18" ht="15.75" customHeight="1">
      <c r="A26" s="950"/>
      <c r="B26" s="118" t="s">
        <v>25</v>
      </c>
      <c r="C26" s="115">
        <f t="shared" ref="C26:E26" si="42">SUM(C23:C25)</f>
        <v>35104</v>
      </c>
      <c r="D26" s="115">
        <f t="shared" si="42"/>
        <v>20052</v>
      </c>
      <c r="E26" s="121">
        <f t="shared" si="42"/>
        <v>117</v>
      </c>
      <c r="F26" s="116">
        <f t="shared" si="35"/>
        <v>3.3329535095715586E-3</v>
      </c>
      <c r="G26" s="950"/>
      <c r="H26" s="118" t="s">
        <v>25</v>
      </c>
      <c r="I26" s="115">
        <f t="shared" ref="I26:K26" si="43">SUM(I23:I25)</f>
        <v>0</v>
      </c>
      <c r="J26" s="115">
        <f t="shared" si="43"/>
        <v>0</v>
      </c>
      <c r="K26" s="121">
        <f t="shared" si="43"/>
        <v>0</v>
      </c>
      <c r="L26" s="116">
        <v>0</v>
      </c>
      <c r="M26" s="950"/>
      <c r="N26" s="118" t="s">
        <v>25</v>
      </c>
      <c r="O26" s="115">
        <f t="shared" ref="O26:Q26" si="44">SUM(O23:O25)</f>
        <v>35104</v>
      </c>
      <c r="P26" s="115">
        <f t="shared" si="44"/>
        <v>20052</v>
      </c>
      <c r="Q26" s="115">
        <f t="shared" si="44"/>
        <v>117</v>
      </c>
      <c r="R26" s="105">
        <f t="shared" si="37"/>
        <v>3.3329535095715586E-3</v>
      </c>
    </row>
    <row r="27" spans="1:18" ht="15.75" customHeight="1">
      <c r="A27" s="954"/>
      <c r="B27" s="928"/>
      <c r="C27" s="928"/>
      <c r="D27" s="928"/>
      <c r="E27" s="928"/>
      <c r="F27" s="955"/>
      <c r="G27" s="954"/>
      <c r="H27" s="928"/>
      <c r="I27" s="928"/>
      <c r="J27" s="928"/>
      <c r="K27" s="928"/>
      <c r="L27" s="955"/>
      <c r="M27" s="954"/>
      <c r="N27" s="928"/>
      <c r="O27" s="928"/>
      <c r="P27" s="928"/>
      <c r="Q27" s="928"/>
      <c r="R27" s="955"/>
    </row>
    <row r="28" spans="1:18" ht="15.75" customHeight="1">
      <c r="A28" s="948" t="s">
        <v>98</v>
      </c>
      <c r="B28" s="95" t="s">
        <v>21</v>
      </c>
      <c r="C28" s="99">
        <v>17001</v>
      </c>
      <c r="D28" s="99">
        <f>C28</f>
        <v>17001</v>
      </c>
      <c r="E28" s="97">
        <v>3968</v>
      </c>
      <c r="F28" s="98">
        <f>E28/C28</f>
        <v>0.23339803540968179</v>
      </c>
      <c r="G28" s="948" t="s">
        <v>98</v>
      </c>
      <c r="H28" s="95" t="s">
        <v>21</v>
      </c>
      <c r="I28" s="99">
        <v>0</v>
      </c>
      <c r="J28" s="99">
        <f>I28</f>
        <v>0</v>
      </c>
      <c r="K28" s="97">
        <v>0</v>
      </c>
      <c r="L28" s="98">
        <v>0</v>
      </c>
      <c r="M28" s="948" t="s">
        <v>98</v>
      </c>
      <c r="N28" s="95" t="s">
        <v>21</v>
      </c>
      <c r="O28" s="102">
        <f t="shared" ref="O28:Q28" si="45">C28-I28</f>
        <v>17001</v>
      </c>
      <c r="P28" s="102">
        <f t="shared" si="45"/>
        <v>17001</v>
      </c>
      <c r="Q28" s="107">
        <f t="shared" si="45"/>
        <v>3968</v>
      </c>
      <c r="R28" s="105">
        <f>Q28/O28</f>
        <v>0.23339803540968179</v>
      </c>
    </row>
    <row r="29" spans="1:18" ht="15.75" customHeight="1">
      <c r="A29" s="949"/>
      <c r="B29" s="102" t="s">
        <v>28</v>
      </c>
      <c r="C29" s="106">
        <v>0</v>
      </c>
      <c r="D29" s="106">
        <f t="shared" ref="D29:D30" si="46">SUM(ROUND(C29*50%,0))</f>
        <v>0</v>
      </c>
      <c r="E29" s="104">
        <v>0</v>
      </c>
      <c r="F29" s="105">
        <v>0</v>
      </c>
      <c r="G29" s="949"/>
      <c r="H29" s="102" t="s">
        <v>28</v>
      </c>
      <c r="I29" s="106">
        <v>0</v>
      </c>
      <c r="J29" s="106">
        <f t="shared" ref="J29:J30" si="47">SUM(ROUND(I29*50%,0))</f>
        <v>0</v>
      </c>
      <c r="K29" s="104">
        <v>0</v>
      </c>
      <c r="L29" s="98">
        <v>0</v>
      </c>
      <c r="M29" s="949"/>
      <c r="N29" s="102" t="s">
        <v>28</v>
      </c>
      <c r="O29" s="102">
        <f t="shared" ref="O29:Q29" si="48">C29-I29</f>
        <v>0</v>
      </c>
      <c r="P29" s="102">
        <f t="shared" si="48"/>
        <v>0</v>
      </c>
      <c r="Q29" s="107">
        <f t="shared" si="48"/>
        <v>0</v>
      </c>
      <c r="R29" s="105">
        <v>0</v>
      </c>
    </row>
    <row r="30" spans="1:18" ht="15.75" customHeight="1">
      <c r="A30" s="949"/>
      <c r="B30" s="102" t="s">
        <v>31</v>
      </c>
      <c r="C30" s="106">
        <v>75646</v>
      </c>
      <c r="D30" s="106">
        <f t="shared" si="46"/>
        <v>37823</v>
      </c>
      <c r="E30" s="104">
        <v>0</v>
      </c>
      <c r="F30" s="105">
        <f t="shared" ref="F30:F32" si="49">E30/C30</f>
        <v>0</v>
      </c>
      <c r="G30" s="949"/>
      <c r="H30" s="102" t="s">
        <v>31</v>
      </c>
      <c r="I30" s="106">
        <v>0</v>
      </c>
      <c r="J30" s="106">
        <f t="shared" si="47"/>
        <v>0</v>
      </c>
      <c r="K30" s="104">
        <v>0</v>
      </c>
      <c r="L30" s="98">
        <v>0</v>
      </c>
      <c r="M30" s="949"/>
      <c r="N30" s="102" t="s">
        <v>31</v>
      </c>
      <c r="O30" s="102">
        <f t="shared" ref="O30:Q30" si="50">C30-I30</f>
        <v>75646</v>
      </c>
      <c r="P30" s="102">
        <f t="shared" si="50"/>
        <v>37823</v>
      </c>
      <c r="Q30" s="107">
        <f t="shared" si="50"/>
        <v>0</v>
      </c>
      <c r="R30" s="105">
        <f t="shared" ref="R30:R32" si="51">Q30/O30</f>
        <v>0</v>
      </c>
    </row>
    <row r="31" spans="1:18" ht="15.75" customHeight="1">
      <c r="A31" s="949"/>
      <c r="B31" s="122" t="s">
        <v>32</v>
      </c>
      <c r="C31" s="123">
        <v>87373</v>
      </c>
      <c r="D31" s="106">
        <f>SUM(ROUND(C31*75%,0))</f>
        <v>65530</v>
      </c>
      <c r="E31" s="104">
        <v>4167</v>
      </c>
      <c r="F31" s="105">
        <f t="shared" si="49"/>
        <v>4.7692078788641803E-2</v>
      </c>
      <c r="G31" s="949"/>
      <c r="H31" s="122" t="s">
        <v>32</v>
      </c>
      <c r="I31" s="123">
        <v>0</v>
      </c>
      <c r="J31" s="106">
        <f>SUM(ROUND(I31*75%,0))</f>
        <v>0</v>
      </c>
      <c r="K31" s="104">
        <v>0</v>
      </c>
      <c r="L31" s="98">
        <v>0</v>
      </c>
      <c r="M31" s="949"/>
      <c r="N31" s="122" t="s">
        <v>32</v>
      </c>
      <c r="O31" s="102">
        <f t="shared" ref="O31:Q31" si="52">C31-I31</f>
        <v>87373</v>
      </c>
      <c r="P31" s="102">
        <f t="shared" si="52"/>
        <v>65530</v>
      </c>
      <c r="Q31" s="107">
        <f t="shared" si="52"/>
        <v>4167</v>
      </c>
      <c r="R31" s="105">
        <f t="shared" si="51"/>
        <v>4.7692078788641803E-2</v>
      </c>
    </row>
    <row r="32" spans="1:18" ht="15.75" customHeight="1">
      <c r="A32" s="950"/>
      <c r="B32" s="118" t="s">
        <v>25</v>
      </c>
      <c r="C32" s="115">
        <f t="shared" ref="C32:E32" si="53">SUM(C28:C31)</f>
        <v>180020</v>
      </c>
      <c r="D32" s="115">
        <f t="shared" si="53"/>
        <v>120354</v>
      </c>
      <c r="E32" s="121">
        <f t="shared" si="53"/>
        <v>8135</v>
      </c>
      <c r="F32" s="116">
        <f t="shared" si="49"/>
        <v>4.5189423397400286E-2</v>
      </c>
      <c r="G32" s="950"/>
      <c r="H32" s="118" t="s">
        <v>25</v>
      </c>
      <c r="I32" s="115">
        <f t="shared" ref="I32:K32" si="54">SUM(I28:I31)</f>
        <v>0</v>
      </c>
      <c r="J32" s="115">
        <f t="shared" si="54"/>
        <v>0</v>
      </c>
      <c r="K32" s="121">
        <f t="shared" si="54"/>
        <v>0</v>
      </c>
      <c r="L32" s="116">
        <v>0</v>
      </c>
      <c r="M32" s="950"/>
      <c r="N32" s="118" t="s">
        <v>25</v>
      </c>
      <c r="O32" s="115">
        <f t="shared" ref="O32:Q32" si="55">SUM(O28:O31)</f>
        <v>180020</v>
      </c>
      <c r="P32" s="115">
        <f t="shared" si="55"/>
        <v>120354</v>
      </c>
      <c r="Q32" s="115">
        <f t="shared" si="55"/>
        <v>8135</v>
      </c>
      <c r="R32" s="105">
        <f t="shared" si="51"/>
        <v>4.5189423397400286E-2</v>
      </c>
    </row>
    <row r="33" spans="1:18" ht="15.75" customHeight="1">
      <c r="A33" s="954"/>
      <c r="B33" s="928"/>
      <c r="C33" s="928"/>
      <c r="D33" s="928"/>
      <c r="E33" s="928"/>
      <c r="F33" s="955"/>
      <c r="G33" s="954"/>
      <c r="H33" s="928"/>
      <c r="I33" s="928"/>
      <c r="J33" s="928"/>
      <c r="K33" s="928"/>
      <c r="L33" s="955"/>
      <c r="M33" s="954"/>
      <c r="N33" s="928"/>
      <c r="O33" s="928"/>
      <c r="P33" s="928"/>
      <c r="Q33" s="928"/>
      <c r="R33" s="955"/>
    </row>
    <row r="34" spans="1:18" ht="15.75" customHeight="1">
      <c r="A34" s="948" t="s">
        <v>99</v>
      </c>
      <c r="B34" s="95" t="s">
        <v>21</v>
      </c>
      <c r="C34" s="99">
        <v>6167100</v>
      </c>
      <c r="D34" s="99">
        <f>C34</f>
        <v>6167100</v>
      </c>
      <c r="E34" s="97">
        <v>3077600</v>
      </c>
      <c r="F34" s="98">
        <f t="shared" ref="F34:F35" si="56">E34/C34</f>
        <v>0.49903520293168591</v>
      </c>
      <c r="G34" s="948" t="s">
        <v>99</v>
      </c>
      <c r="H34" s="95" t="s">
        <v>21</v>
      </c>
      <c r="I34" s="99">
        <v>0</v>
      </c>
      <c r="J34" s="99">
        <f>I34</f>
        <v>0</v>
      </c>
      <c r="K34" s="97">
        <v>0</v>
      </c>
      <c r="L34" s="98">
        <v>0</v>
      </c>
      <c r="M34" s="948" t="s">
        <v>100</v>
      </c>
      <c r="N34" s="95" t="s">
        <v>21</v>
      </c>
      <c r="O34" s="102">
        <f t="shared" ref="O34:Q34" si="57">C34-I34</f>
        <v>6167100</v>
      </c>
      <c r="P34" s="102">
        <f t="shared" si="57"/>
        <v>6167100</v>
      </c>
      <c r="Q34" s="107">
        <f t="shared" si="57"/>
        <v>3077600</v>
      </c>
      <c r="R34" s="105">
        <f t="shared" ref="R34:R35" si="58">Q34/O34</f>
        <v>0.49903520293168591</v>
      </c>
    </row>
    <row r="35" spans="1:18" ht="15.75" customHeight="1">
      <c r="A35" s="950"/>
      <c r="B35" s="118" t="s">
        <v>25</v>
      </c>
      <c r="C35" s="115">
        <f t="shared" ref="C35:E35" si="59">SUM(C34)</f>
        <v>6167100</v>
      </c>
      <c r="D35" s="115">
        <f t="shared" si="59"/>
        <v>6167100</v>
      </c>
      <c r="E35" s="121">
        <f t="shared" si="59"/>
        <v>3077600</v>
      </c>
      <c r="F35" s="116">
        <f t="shared" si="56"/>
        <v>0.49903520293168591</v>
      </c>
      <c r="G35" s="950"/>
      <c r="H35" s="118" t="s">
        <v>25</v>
      </c>
      <c r="I35" s="115">
        <f t="shared" ref="I35:K35" si="60">SUM(I34)</f>
        <v>0</v>
      </c>
      <c r="J35" s="115">
        <f t="shared" si="60"/>
        <v>0</v>
      </c>
      <c r="K35" s="121">
        <f t="shared" si="60"/>
        <v>0</v>
      </c>
      <c r="L35" s="116">
        <v>0</v>
      </c>
      <c r="M35" s="950"/>
      <c r="N35" s="118" t="s">
        <v>25</v>
      </c>
      <c r="O35" s="115">
        <f t="shared" ref="O35:Q35" si="61">SUM(O34)</f>
        <v>6167100</v>
      </c>
      <c r="P35" s="115">
        <f t="shared" si="61"/>
        <v>6167100</v>
      </c>
      <c r="Q35" s="115">
        <f t="shared" si="61"/>
        <v>3077600</v>
      </c>
      <c r="R35" s="105">
        <f t="shared" si="58"/>
        <v>0.49903520293168591</v>
      </c>
    </row>
    <row r="36" spans="1:18" ht="15.75" customHeight="1">
      <c r="A36" s="954"/>
      <c r="B36" s="928"/>
      <c r="C36" s="928"/>
      <c r="D36" s="928"/>
      <c r="E36" s="928"/>
      <c r="F36" s="955"/>
      <c r="G36" s="954"/>
      <c r="H36" s="928"/>
      <c r="I36" s="928"/>
      <c r="J36" s="928"/>
      <c r="K36" s="928"/>
      <c r="L36" s="955"/>
      <c r="M36" s="954"/>
      <c r="N36" s="928"/>
      <c r="O36" s="928"/>
      <c r="P36" s="928"/>
      <c r="Q36" s="928"/>
      <c r="R36" s="955"/>
    </row>
    <row r="37" spans="1:18" ht="15.75" customHeight="1">
      <c r="A37" s="948" t="s">
        <v>101</v>
      </c>
      <c r="B37" s="119" t="s">
        <v>40</v>
      </c>
      <c r="C37" s="119">
        <v>244105</v>
      </c>
      <c r="D37" s="119">
        <f>C37</f>
        <v>244105</v>
      </c>
      <c r="E37" s="120">
        <v>0</v>
      </c>
      <c r="F37" s="98">
        <f>E37/C37</f>
        <v>0</v>
      </c>
      <c r="G37" s="948" t="s">
        <v>101</v>
      </c>
      <c r="H37" s="119" t="s">
        <v>40</v>
      </c>
      <c r="I37" s="119">
        <v>10000</v>
      </c>
      <c r="J37" s="119">
        <f>I37</f>
        <v>10000</v>
      </c>
      <c r="K37" s="120">
        <v>0</v>
      </c>
      <c r="L37" s="98">
        <f>K37/I37</f>
        <v>0</v>
      </c>
      <c r="M37" s="948" t="s">
        <v>101</v>
      </c>
      <c r="N37" s="119" t="s">
        <v>40</v>
      </c>
      <c r="O37" s="102">
        <f t="shared" ref="O37:Q37" si="62">C37-I37</f>
        <v>234105</v>
      </c>
      <c r="P37" s="102">
        <f t="shared" si="62"/>
        <v>234105</v>
      </c>
      <c r="Q37" s="107">
        <f t="shared" si="62"/>
        <v>0</v>
      </c>
      <c r="R37" s="105">
        <f>Q37/O37</f>
        <v>0</v>
      </c>
    </row>
    <row r="38" spans="1:18" ht="15.75" customHeight="1">
      <c r="A38" s="949"/>
      <c r="B38" s="122" t="s">
        <v>32</v>
      </c>
      <c r="C38" s="122">
        <v>0</v>
      </c>
      <c r="D38" s="106">
        <f>SUM(ROUND(C38*75%,0))</f>
        <v>0</v>
      </c>
      <c r="E38" s="104">
        <v>893</v>
      </c>
      <c r="F38" s="105">
        <v>0</v>
      </c>
      <c r="G38" s="949"/>
      <c r="H38" s="122" t="s">
        <v>32</v>
      </c>
      <c r="I38" s="122">
        <v>0</v>
      </c>
      <c r="J38" s="106">
        <f>SUM(ROUND(I38*75%,0))</f>
        <v>0</v>
      </c>
      <c r="K38" s="104">
        <v>0</v>
      </c>
      <c r="L38" s="105">
        <v>0</v>
      </c>
      <c r="M38" s="949"/>
      <c r="N38" s="122" t="s">
        <v>32</v>
      </c>
      <c r="O38" s="102">
        <f t="shared" ref="O38:Q38" si="63">C38-I38</f>
        <v>0</v>
      </c>
      <c r="P38" s="102">
        <f t="shared" si="63"/>
        <v>0</v>
      </c>
      <c r="Q38" s="107">
        <f t="shared" si="63"/>
        <v>893</v>
      </c>
      <c r="R38" s="105">
        <v>0</v>
      </c>
    </row>
    <row r="39" spans="1:18" ht="15.75" customHeight="1">
      <c r="A39" s="950"/>
      <c r="B39" s="118" t="s">
        <v>25</v>
      </c>
      <c r="C39" s="118">
        <f t="shared" ref="C39:E39" si="64">SUM(C38)</f>
        <v>0</v>
      </c>
      <c r="D39" s="118">
        <f t="shared" si="64"/>
        <v>0</v>
      </c>
      <c r="E39" s="121">
        <f t="shared" si="64"/>
        <v>893</v>
      </c>
      <c r="F39" s="116">
        <v>0</v>
      </c>
      <c r="G39" s="950"/>
      <c r="H39" s="118" t="s">
        <v>25</v>
      </c>
      <c r="I39" s="118">
        <f t="shared" ref="I39:K39" si="65">SUM(I38)</f>
        <v>0</v>
      </c>
      <c r="J39" s="118">
        <f t="shared" si="65"/>
        <v>0</v>
      </c>
      <c r="K39" s="121">
        <f t="shared" si="65"/>
        <v>0</v>
      </c>
      <c r="L39" s="116">
        <v>0</v>
      </c>
      <c r="M39" s="950"/>
      <c r="N39" s="118" t="s">
        <v>25</v>
      </c>
      <c r="O39" s="118">
        <f t="shared" ref="O39:Q39" si="66">SUM(O38)</f>
        <v>0</v>
      </c>
      <c r="P39" s="118">
        <f t="shared" si="66"/>
        <v>0</v>
      </c>
      <c r="Q39" s="118">
        <f t="shared" si="66"/>
        <v>893</v>
      </c>
      <c r="R39" s="105">
        <v>0</v>
      </c>
    </row>
    <row r="40" spans="1:18" ht="15.75" customHeight="1">
      <c r="A40" s="956"/>
      <c r="B40" s="957"/>
      <c r="C40" s="957"/>
      <c r="D40" s="957"/>
      <c r="E40" s="957"/>
      <c r="F40" s="958"/>
      <c r="G40" s="956"/>
      <c r="H40" s="957"/>
      <c r="I40" s="957"/>
      <c r="J40" s="957"/>
      <c r="K40" s="957"/>
      <c r="L40" s="958"/>
      <c r="M40" s="956"/>
      <c r="N40" s="957"/>
      <c r="O40" s="957"/>
      <c r="P40" s="957"/>
      <c r="Q40" s="957"/>
      <c r="R40" s="958"/>
    </row>
    <row r="41" spans="1:18" ht="15.75" customHeight="1">
      <c r="A41" s="948" t="s">
        <v>39</v>
      </c>
      <c r="B41" s="95" t="s">
        <v>40</v>
      </c>
      <c r="C41" s="99">
        <v>4613304</v>
      </c>
      <c r="D41" s="99">
        <f>C41</f>
        <v>4613304</v>
      </c>
      <c r="E41" s="97">
        <v>49300</v>
      </c>
      <c r="F41" s="98">
        <f t="shared" ref="F41:F43" si="67">E41/C41</f>
        <v>1.0686484133714145E-2</v>
      </c>
      <c r="G41" s="948" t="s">
        <v>39</v>
      </c>
      <c r="H41" s="95" t="s">
        <v>40</v>
      </c>
      <c r="I41" s="99">
        <v>1281400</v>
      </c>
      <c r="J41" s="99">
        <f>I41</f>
        <v>1281400</v>
      </c>
      <c r="K41" s="97">
        <v>48716</v>
      </c>
      <c r="L41" s="98">
        <f t="shared" ref="L41:L43" si="68">K41/I41</f>
        <v>3.801779303886374E-2</v>
      </c>
      <c r="M41" s="948" t="s">
        <v>39</v>
      </c>
      <c r="N41" s="95" t="s">
        <v>40</v>
      </c>
      <c r="O41" s="102">
        <f t="shared" ref="O41:Q41" si="69">C41-I41</f>
        <v>3331904</v>
      </c>
      <c r="P41" s="102">
        <f t="shared" si="69"/>
        <v>3331904</v>
      </c>
      <c r="Q41" s="107">
        <f t="shared" si="69"/>
        <v>584</v>
      </c>
      <c r="R41" s="105">
        <f t="shared" ref="R41:R43" si="70">Q41/O41</f>
        <v>1.7527515798774514E-4</v>
      </c>
    </row>
    <row r="42" spans="1:18" ht="15.75" customHeight="1">
      <c r="A42" s="949"/>
      <c r="B42" s="122" t="s">
        <v>32</v>
      </c>
      <c r="C42" s="123">
        <v>636735</v>
      </c>
      <c r="D42" s="106">
        <f>SUM(ROUND(C42*75%,0))</f>
        <v>477551</v>
      </c>
      <c r="E42" s="104">
        <v>108879</v>
      </c>
      <c r="F42" s="105">
        <f t="shared" si="67"/>
        <v>0.17099578317510425</v>
      </c>
      <c r="G42" s="949"/>
      <c r="H42" s="122" t="s">
        <v>32</v>
      </c>
      <c r="I42" s="123">
        <v>153861</v>
      </c>
      <c r="J42" s="106">
        <f>SUM(ROUND(I42*75%,0))</f>
        <v>115396</v>
      </c>
      <c r="K42" s="104">
        <v>15151</v>
      </c>
      <c r="L42" s="105">
        <f t="shared" si="68"/>
        <v>9.8471997452245857E-2</v>
      </c>
      <c r="M42" s="949"/>
      <c r="N42" s="122" t="s">
        <v>32</v>
      </c>
      <c r="O42" s="102">
        <f t="shared" ref="O42:Q42" si="71">C42-I42</f>
        <v>482874</v>
      </c>
      <c r="P42" s="102">
        <f t="shared" si="71"/>
        <v>362155</v>
      </c>
      <c r="Q42" s="107">
        <f t="shared" si="71"/>
        <v>93728</v>
      </c>
      <c r="R42" s="105">
        <f t="shared" si="70"/>
        <v>0.19410446617544122</v>
      </c>
    </row>
    <row r="43" spans="1:18" ht="15.75" customHeight="1">
      <c r="A43" s="950"/>
      <c r="B43" s="118" t="s">
        <v>25</v>
      </c>
      <c r="C43" s="115">
        <f t="shared" ref="C43:E43" si="72">SUM(C41:C42)</f>
        <v>5250039</v>
      </c>
      <c r="D43" s="115">
        <f t="shared" si="72"/>
        <v>5090855</v>
      </c>
      <c r="E43" s="115">
        <f t="shared" si="72"/>
        <v>158179</v>
      </c>
      <c r="F43" s="116">
        <f t="shared" si="67"/>
        <v>3.0129109517091208E-2</v>
      </c>
      <c r="G43" s="950"/>
      <c r="H43" s="118" t="s">
        <v>25</v>
      </c>
      <c r="I43" s="115">
        <f t="shared" ref="I43:K43" si="73">SUM(I41:I42)</f>
        <v>1435261</v>
      </c>
      <c r="J43" s="115">
        <f t="shared" si="73"/>
        <v>1396796</v>
      </c>
      <c r="K43" s="115">
        <f t="shared" si="73"/>
        <v>63867</v>
      </c>
      <c r="L43" s="116">
        <f t="shared" si="68"/>
        <v>4.4498526748793427E-2</v>
      </c>
      <c r="M43" s="950"/>
      <c r="N43" s="118" t="s">
        <v>25</v>
      </c>
      <c r="O43" s="115">
        <f t="shared" ref="O43:Q43" si="74">SUM(O41:O42)</f>
        <v>3814778</v>
      </c>
      <c r="P43" s="115">
        <f t="shared" si="74"/>
        <v>3694059</v>
      </c>
      <c r="Q43" s="115">
        <f t="shared" si="74"/>
        <v>94312</v>
      </c>
      <c r="R43" s="105">
        <f t="shared" si="70"/>
        <v>2.4722801693833823E-2</v>
      </c>
    </row>
    <row r="44" spans="1:18" ht="15.75" customHeight="1">
      <c r="A44" s="954"/>
      <c r="B44" s="928"/>
      <c r="C44" s="928"/>
      <c r="D44" s="928"/>
      <c r="E44" s="928"/>
      <c r="F44" s="955"/>
      <c r="G44" s="954"/>
      <c r="H44" s="928"/>
      <c r="I44" s="928"/>
      <c r="J44" s="928"/>
      <c r="K44" s="928"/>
      <c r="L44" s="955"/>
      <c r="M44" s="954"/>
      <c r="N44" s="928"/>
      <c r="O44" s="928"/>
      <c r="P44" s="928"/>
      <c r="Q44" s="928"/>
      <c r="R44" s="955"/>
    </row>
    <row r="45" spans="1:18" ht="15.75" customHeight="1">
      <c r="A45" s="948" t="s">
        <v>41</v>
      </c>
      <c r="B45" s="124" t="s">
        <v>32</v>
      </c>
      <c r="C45" s="125">
        <v>6000000</v>
      </c>
      <c r="D45" s="106">
        <f>SUM(ROUND(C45*75%,0))</f>
        <v>4500000</v>
      </c>
      <c r="E45" s="97">
        <v>1162392</v>
      </c>
      <c r="F45" s="98">
        <f t="shared" ref="F45:F46" si="75">E45/C45</f>
        <v>0.19373199999999999</v>
      </c>
      <c r="G45" s="948" t="s">
        <v>41</v>
      </c>
      <c r="H45" s="124" t="s">
        <v>32</v>
      </c>
      <c r="I45" s="125">
        <v>0</v>
      </c>
      <c r="J45" s="106">
        <f>SUM(ROUND(I45*75%,0))</f>
        <v>0</v>
      </c>
      <c r="K45" s="97">
        <v>0</v>
      </c>
      <c r="L45" s="98">
        <v>0</v>
      </c>
      <c r="M45" s="948" t="s">
        <v>41</v>
      </c>
      <c r="N45" s="124" t="s">
        <v>32</v>
      </c>
      <c r="O45" s="102">
        <f t="shared" ref="O45:Q45" si="76">C45-I45</f>
        <v>6000000</v>
      </c>
      <c r="P45" s="102">
        <f t="shared" si="76"/>
        <v>4500000</v>
      </c>
      <c r="Q45" s="107">
        <f t="shared" si="76"/>
        <v>1162392</v>
      </c>
      <c r="R45" s="105">
        <f t="shared" ref="R45:R46" si="77">Q45/O45</f>
        <v>0.19373199999999999</v>
      </c>
    </row>
    <row r="46" spans="1:18" ht="15.75" customHeight="1">
      <c r="A46" s="950"/>
      <c r="B46" s="118" t="s">
        <v>25</v>
      </c>
      <c r="C46" s="115">
        <f t="shared" ref="C46:E46" si="78">SUM(C45)</f>
        <v>6000000</v>
      </c>
      <c r="D46" s="115">
        <f t="shared" si="78"/>
        <v>4500000</v>
      </c>
      <c r="E46" s="121">
        <f t="shared" si="78"/>
        <v>1162392</v>
      </c>
      <c r="F46" s="116">
        <f t="shared" si="75"/>
        <v>0.19373199999999999</v>
      </c>
      <c r="G46" s="950"/>
      <c r="H46" s="118" t="s">
        <v>25</v>
      </c>
      <c r="I46" s="115">
        <f t="shared" ref="I46:K46" si="79">SUM(I45)</f>
        <v>0</v>
      </c>
      <c r="J46" s="115">
        <f t="shared" si="79"/>
        <v>0</v>
      </c>
      <c r="K46" s="121">
        <f t="shared" si="79"/>
        <v>0</v>
      </c>
      <c r="L46" s="116">
        <v>0</v>
      </c>
      <c r="M46" s="950"/>
      <c r="N46" s="118" t="s">
        <v>25</v>
      </c>
      <c r="O46" s="115">
        <f t="shared" ref="O46:Q46" si="80">SUM(O45)</f>
        <v>6000000</v>
      </c>
      <c r="P46" s="115">
        <f t="shared" si="80"/>
        <v>4500000</v>
      </c>
      <c r="Q46" s="115">
        <f t="shared" si="80"/>
        <v>1162392</v>
      </c>
      <c r="R46" s="105">
        <f t="shared" si="77"/>
        <v>0.19373199999999999</v>
      </c>
    </row>
    <row r="47" spans="1:18" ht="15.75" customHeight="1">
      <c r="A47" s="954"/>
      <c r="B47" s="928"/>
      <c r="C47" s="928"/>
      <c r="D47" s="928"/>
      <c r="E47" s="928"/>
      <c r="F47" s="955"/>
      <c r="G47" s="954"/>
      <c r="H47" s="928"/>
      <c r="I47" s="928"/>
      <c r="J47" s="928"/>
      <c r="K47" s="928"/>
      <c r="L47" s="955"/>
      <c r="M47" s="954"/>
      <c r="N47" s="928"/>
      <c r="O47" s="928"/>
      <c r="P47" s="928"/>
      <c r="Q47" s="928"/>
      <c r="R47" s="955"/>
    </row>
    <row r="48" spans="1:18" ht="15.75" customHeight="1">
      <c r="A48" s="948" t="s">
        <v>42</v>
      </c>
      <c r="B48" s="95" t="s">
        <v>21</v>
      </c>
      <c r="C48" s="99">
        <v>4500</v>
      </c>
      <c r="D48" s="99">
        <f>C48</f>
        <v>4500</v>
      </c>
      <c r="E48" s="97">
        <v>0</v>
      </c>
      <c r="F48" s="98">
        <f>E48/C48</f>
        <v>0</v>
      </c>
      <c r="G48" s="948" t="s">
        <v>42</v>
      </c>
      <c r="H48" s="95" t="s">
        <v>21</v>
      </c>
      <c r="I48" s="99">
        <v>0</v>
      </c>
      <c r="J48" s="99">
        <f>I48</f>
        <v>0</v>
      </c>
      <c r="K48" s="97">
        <v>0</v>
      </c>
      <c r="L48" s="98">
        <v>0</v>
      </c>
      <c r="M48" s="948" t="s">
        <v>42</v>
      </c>
      <c r="N48" s="95" t="s">
        <v>21</v>
      </c>
      <c r="O48" s="102">
        <f t="shared" ref="O48:Q48" si="81">C48-I48</f>
        <v>4500</v>
      </c>
      <c r="P48" s="102">
        <f t="shared" si="81"/>
        <v>4500</v>
      </c>
      <c r="Q48" s="107">
        <f t="shared" si="81"/>
        <v>0</v>
      </c>
      <c r="R48" s="105">
        <f>Q48/O48</f>
        <v>0</v>
      </c>
    </row>
    <row r="49" spans="1:18" ht="15.75" customHeight="1">
      <c r="A49" s="949"/>
      <c r="B49" s="102" t="s">
        <v>28</v>
      </c>
      <c r="C49" s="106">
        <v>0</v>
      </c>
      <c r="D49" s="106">
        <f>SUM(ROUND(C49*50%,0))</f>
        <v>0</v>
      </c>
      <c r="E49" s="104">
        <v>0</v>
      </c>
      <c r="F49" s="105">
        <v>0</v>
      </c>
      <c r="G49" s="949"/>
      <c r="H49" s="102" t="s">
        <v>28</v>
      </c>
      <c r="I49" s="106">
        <v>0</v>
      </c>
      <c r="J49" s="106">
        <f>SUM(ROUND(I49*50%,0))</f>
        <v>0</v>
      </c>
      <c r="K49" s="104">
        <v>0</v>
      </c>
      <c r="L49" s="105">
        <v>0</v>
      </c>
      <c r="M49" s="949"/>
      <c r="N49" s="102" t="s">
        <v>28</v>
      </c>
      <c r="O49" s="102">
        <f t="shared" ref="O49:Q49" si="82">C49-I49</f>
        <v>0</v>
      </c>
      <c r="P49" s="102">
        <f t="shared" si="82"/>
        <v>0</v>
      </c>
      <c r="Q49" s="107">
        <f t="shared" si="82"/>
        <v>0</v>
      </c>
      <c r="R49" s="105">
        <v>0</v>
      </c>
    </row>
    <row r="50" spans="1:18" ht="15.75" customHeight="1">
      <c r="A50" s="949"/>
      <c r="B50" s="122" t="s">
        <v>32</v>
      </c>
      <c r="C50" s="123">
        <v>145500</v>
      </c>
      <c r="D50" s="106">
        <f>SUM(ROUND(C50*75%,0))</f>
        <v>109125</v>
      </c>
      <c r="E50" s="104">
        <v>27207</v>
      </c>
      <c r="F50" s="105">
        <f t="shared" ref="F50:F51" si="83">E50/C50</f>
        <v>0.18698969072164948</v>
      </c>
      <c r="G50" s="949"/>
      <c r="H50" s="122" t="s">
        <v>32</v>
      </c>
      <c r="I50" s="123">
        <v>2</v>
      </c>
      <c r="J50" s="106">
        <f>SUM(ROUND(I50*75%,0))</f>
        <v>2</v>
      </c>
      <c r="K50" s="104">
        <v>0</v>
      </c>
      <c r="L50" s="105">
        <f t="shared" ref="L50:L51" si="84">K50/I50</f>
        <v>0</v>
      </c>
      <c r="M50" s="949"/>
      <c r="N50" s="122" t="s">
        <v>32</v>
      </c>
      <c r="O50" s="102">
        <f t="shared" ref="O50:Q50" si="85">C50-I50</f>
        <v>145498</v>
      </c>
      <c r="P50" s="102">
        <f t="shared" si="85"/>
        <v>109123</v>
      </c>
      <c r="Q50" s="107">
        <f t="shared" si="85"/>
        <v>27207</v>
      </c>
      <c r="R50" s="105">
        <f t="shared" ref="R50:R51" si="86">Q50/O50</f>
        <v>0.18699226106200773</v>
      </c>
    </row>
    <row r="51" spans="1:18" ht="15.75" customHeight="1">
      <c r="A51" s="950"/>
      <c r="B51" s="118" t="s">
        <v>25</v>
      </c>
      <c r="C51" s="115">
        <f t="shared" ref="C51:E51" si="87">SUM(C48:C50)</f>
        <v>150000</v>
      </c>
      <c r="D51" s="115">
        <f t="shared" si="87"/>
        <v>113625</v>
      </c>
      <c r="E51" s="121">
        <f t="shared" si="87"/>
        <v>27207</v>
      </c>
      <c r="F51" s="116">
        <f t="shared" si="83"/>
        <v>0.18138000000000001</v>
      </c>
      <c r="G51" s="950"/>
      <c r="H51" s="118" t="s">
        <v>25</v>
      </c>
      <c r="I51" s="115">
        <f t="shared" ref="I51:K51" si="88">SUM(I48:I50)</f>
        <v>2</v>
      </c>
      <c r="J51" s="115">
        <f t="shared" si="88"/>
        <v>2</v>
      </c>
      <c r="K51" s="121">
        <f t="shared" si="88"/>
        <v>0</v>
      </c>
      <c r="L51" s="116">
        <f t="shared" si="84"/>
        <v>0</v>
      </c>
      <c r="M51" s="950"/>
      <c r="N51" s="118" t="s">
        <v>25</v>
      </c>
      <c r="O51" s="115">
        <f t="shared" ref="O51:Q51" si="89">SUM(O48:O50)</f>
        <v>149998</v>
      </c>
      <c r="P51" s="115">
        <f t="shared" si="89"/>
        <v>113623</v>
      </c>
      <c r="Q51" s="115">
        <f t="shared" si="89"/>
        <v>27207</v>
      </c>
      <c r="R51" s="105">
        <f t="shared" si="86"/>
        <v>0.18138241843224576</v>
      </c>
    </row>
    <row r="52" spans="1:18" ht="15.75" customHeight="1">
      <c r="A52" s="954"/>
      <c r="B52" s="928"/>
      <c r="C52" s="928"/>
      <c r="D52" s="928"/>
      <c r="E52" s="928"/>
      <c r="F52" s="955"/>
      <c r="G52" s="954"/>
      <c r="H52" s="928"/>
      <c r="I52" s="928"/>
      <c r="J52" s="928"/>
      <c r="K52" s="928"/>
      <c r="L52" s="955"/>
      <c r="M52" s="954"/>
      <c r="N52" s="928"/>
      <c r="O52" s="928"/>
      <c r="P52" s="928"/>
      <c r="Q52" s="928"/>
      <c r="R52" s="955"/>
    </row>
    <row r="53" spans="1:18" ht="15.75" customHeight="1">
      <c r="A53" s="948" t="s">
        <v>43</v>
      </c>
      <c r="B53" s="95" t="s">
        <v>21</v>
      </c>
      <c r="C53" s="99">
        <v>519984</v>
      </c>
      <c r="D53" s="99">
        <f>C53</f>
        <v>519984</v>
      </c>
      <c r="E53" s="97">
        <v>6418</v>
      </c>
      <c r="F53" s="98">
        <f t="shared" ref="F53:F55" si="90">E53/C53</f>
        <v>1.2342687467306686E-2</v>
      </c>
      <c r="G53" s="948" t="s">
        <v>43</v>
      </c>
      <c r="H53" s="95" t="s">
        <v>21</v>
      </c>
      <c r="I53" s="99">
        <v>0</v>
      </c>
      <c r="J53" s="99">
        <f>I53</f>
        <v>0</v>
      </c>
      <c r="K53" s="97">
        <v>0</v>
      </c>
      <c r="L53" s="98">
        <v>0</v>
      </c>
      <c r="M53" s="948" t="s">
        <v>43</v>
      </c>
      <c r="N53" s="95" t="s">
        <v>21</v>
      </c>
      <c r="O53" s="102">
        <f t="shared" ref="O53:Q53" si="91">C53-I53</f>
        <v>519984</v>
      </c>
      <c r="P53" s="102">
        <f t="shared" si="91"/>
        <v>519984</v>
      </c>
      <c r="Q53" s="107">
        <f t="shared" si="91"/>
        <v>6418</v>
      </c>
      <c r="R53" s="105">
        <f t="shared" ref="R53:R55" si="92">Q53/O53</f>
        <v>1.2342687467306686E-2</v>
      </c>
    </row>
    <row r="54" spans="1:18" ht="15.75" customHeight="1">
      <c r="A54" s="949"/>
      <c r="B54" s="122" t="s">
        <v>32</v>
      </c>
      <c r="C54" s="123">
        <v>2533439</v>
      </c>
      <c r="D54" s="106">
        <f>SUM(ROUND(C54*75%,0))</f>
        <v>1900079</v>
      </c>
      <c r="E54" s="104">
        <v>252839</v>
      </c>
      <c r="F54" s="105">
        <f t="shared" si="90"/>
        <v>9.9800705681091992E-2</v>
      </c>
      <c r="G54" s="949"/>
      <c r="H54" s="122" t="s">
        <v>32</v>
      </c>
      <c r="I54" s="123">
        <v>1004</v>
      </c>
      <c r="J54" s="106">
        <f>SUM(ROUND(I54*75%,0))</f>
        <v>753</v>
      </c>
      <c r="K54" s="104">
        <v>13860</v>
      </c>
      <c r="L54" s="105">
        <f t="shared" ref="L54:L55" si="93">K54/I54</f>
        <v>13.804780876494023</v>
      </c>
      <c r="M54" s="949"/>
      <c r="N54" s="122" t="s">
        <v>32</v>
      </c>
      <c r="O54" s="102">
        <f t="shared" ref="O54:Q54" si="94">C54-I54</f>
        <v>2532435</v>
      </c>
      <c r="P54" s="102">
        <f t="shared" si="94"/>
        <v>1899326</v>
      </c>
      <c r="Q54" s="107">
        <f t="shared" si="94"/>
        <v>238979</v>
      </c>
      <c r="R54" s="105">
        <f t="shared" si="92"/>
        <v>9.4367278923249753E-2</v>
      </c>
    </row>
    <row r="55" spans="1:18" ht="15.75" customHeight="1">
      <c r="A55" s="950"/>
      <c r="B55" s="118" t="s">
        <v>25</v>
      </c>
      <c r="C55" s="115">
        <f t="shared" ref="C55:E55" si="95">SUM(C53:C54)</f>
        <v>3053423</v>
      </c>
      <c r="D55" s="115">
        <f t="shared" si="95"/>
        <v>2420063</v>
      </c>
      <c r="E55" s="115">
        <f t="shared" si="95"/>
        <v>259257</v>
      </c>
      <c r="F55" s="116">
        <f t="shared" si="90"/>
        <v>8.4907004368539832E-2</v>
      </c>
      <c r="G55" s="950"/>
      <c r="H55" s="118" t="s">
        <v>25</v>
      </c>
      <c r="I55" s="115">
        <f t="shared" ref="I55:K55" si="96">SUM(I53:I54)</f>
        <v>1004</v>
      </c>
      <c r="J55" s="115">
        <f t="shared" si="96"/>
        <v>753</v>
      </c>
      <c r="K55" s="115">
        <f t="shared" si="96"/>
        <v>13860</v>
      </c>
      <c r="L55" s="116">
        <f t="shared" si="93"/>
        <v>13.804780876494023</v>
      </c>
      <c r="M55" s="950"/>
      <c r="N55" s="118" t="s">
        <v>25</v>
      </c>
      <c r="O55" s="115">
        <f t="shared" ref="O55:Q55" si="97">SUM(O53:O54)</f>
        <v>3052419</v>
      </c>
      <c r="P55" s="115">
        <f t="shared" si="97"/>
        <v>2419310</v>
      </c>
      <c r="Q55" s="115">
        <f t="shared" si="97"/>
        <v>245397</v>
      </c>
      <c r="R55" s="105">
        <f t="shared" si="92"/>
        <v>8.0394270904485921E-2</v>
      </c>
    </row>
    <row r="56" spans="1:18" ht="15.75" customHeight="1">
      <c r="A56" s="954"/>
      <c r="B56" s="928"/>
      <c r="C56" s="928"/>
      <c r="D56" s="928"/>
      <c r="E56" s="928"/>
      <c r="F56" s="955"/>
      <c r="G56" s="954"/>
      <c r="H56" s="928"/>
      <c r="I56" s="928"/>
      <c r="J56" s="928"/>
      <c r="K56" s="928"/>
      <c r="L56" s="955"/>
      <c r="M56" s="954"/>
      <c r="N56" s="928"/>
      <c r="O56" s="928"/>
      <c r="P56" s="928"/>
      <c r="Q56" s="928"/>
      <c r="R56" s="955"/>
    </row>
    <row r="57" spans="1:18" ht="15.75" customHeight="1">
      <c r="A57" s="948" t="s">
        <v>44</v>
      </c>
      <c r="B57" s="95" t="s">
        <v>21</v>
      </c>
      <c r="C57" s="99">
        <v>368321</v>
      </c>
      <c r="D57" s="99">
        <f>C57</f>
        <v>368321</v>
      </c>
      <c r="E57" s="97">
        <v>3634</v>
      </c>
      <c r="F57" s="98">
        <f t="shared" ref="F57:F61" si="98">E57/C57</f>
        <v>9.866393716350683E-3</v>
      </c>
      <c r="G57" s="948" t="s">
        <v>44</v>
      </c>
      <c r="H57" s="95" t="s">
        <v>21</v>
      </c>
      <c r="I57" s="99">
        <v>350210</v>
      </c>
      <c r="J57" s="99">
        <f>I57</f>
        <v>350210</v>
      </c>
      <c r="K57" s="97">
        <v>3634</v>
      </c>
      <c r="L57" s="98">
        <f>K57/I57</f>
        <v>1.0376631164158647E-2</v>
      </c>
      <c r="M57" s="948" t="s">
        <v>44</v>
      </c>
      <c r="N57" s="95" t="s">
        <v>21</v>
      </c>
      <c r="O57" s="102">
        <f t="shared" ref="O57:Q57" si="99">C57-I57</f>
        <v>18111</v>
      </c>
      <c r="P57" s="102">
        <f t="shared" si="99"/>
        <v>18111</v>
      </c>
      <c r="Q57" s="107">
        <f t="shared" si="99"/>
        <v>0</v>
      </c>
      <c r="R57" s="105">
        <f t="shared" ref="R57:R61" si="100">Q57/O57</f>
        <v>0</v>
      </c>
    </row>
    <row r="58" spans="1:18" ht="15.75" customHeight="1">
      <c r="A58" s="949"/>
      <c r="B58" s="102" t="s">
        <v>28</v>
      </c>
      <c r="C58" s="106">
        <v>33979</v>
      </c>
      <c r="D58" s="106">
        <f t="shared" ref="D58:D59" si="101">SUM(ROUND(C58*50%,0))</f>
        <v>16990</v>
      </c>
      <c r="E58" s="104">
        <v>0</v>
      </c>
      <c r="F58" s="105">
        <f t="shared" si="98"/>
        <v>0</v>
      </c>
      <c r="G58" s="949"/>
      <c r="H58" s="102" t="s">
        <v>28</v>
      </c>
      <c r="I58" s="106">
        <v>0</v>
      </c>
      <c r="J58" s="106">
        <f t="shared" ref="J58:J59" si="102">SUM(ROUND(I58*50%,0))</f>
        <v>0</v>
      </c>
      <c r="K58" s="104">
        <v>0</v>
      </c>
      <c r="L58" s="105">
        <v>0</v>
      </c>
      <c r="M58" s="949"/>
      <c r="N58" s="102" t="s">
        <v>28</v>
      </c>
      <c r="O58" s="102">
        <f t="shared" ref="O58:Q58" si="103">C58-I58</f>
        <v>33979</v>
      </c>
      <c r="P58" s="102">
        <f t="shared" si="103"/>
        <v>16990</v>
      </c>
      <c r="Q58" s="107">
        <f t="shared" si="103"/>
        <v>0</v>
      </c>
      <c r="R58" s="105">
        <f t="shared" si="100"/>
        <v>0</v>
      </c>
    </row>
    <row r="59" spans="1:18" ht="15.75" customHeight="1">
      <c r="A59" s="949"/>
      <c r="B59" s="102" t="s">
        <v>31</v>
      </c>
      <c r="C59" s="106">
        <v>104631</v>
      </c>
      <c r="D59" s="106">
        <f t="shared" si="101"/>
        <v>52316</v>
      </c>
      <c r="E59" s="104">
        <v>0</v>
      </c>
      <c r="F59" s="105">
        <f t="shared" si="98"/>
        <v>0</v>
      </c>
      <c r="G59" s="949"/>
      <c r="H59" s="102" t="s">
        <v>31</v>
      </c>
      <c r="I59" s="106">
        <v>84000</v>
      </c>
      <c r="J59" s="106">
        <f t="shared" si="102"/>
        <v>42000</v>
      </c>
      <c r="K59" s="104">
        <v>0</v>
      </c>
      <c r="L59" s="105">
        <f t="shared" ref="L59:L61" si="104">K59/I59</f>
        <v>0</v>
      </c>
      <c r="M59" s="949"/>
      <c r="N59" s="102" t="s">
        <v>31</v>
      </c>
      <c r="O59" s="102">
        <f t="shared" ref="O59:Q59" si="105">C59-I59</f>
        <v>20631</v>
      </c>
      <c r="P59" s="102">
        <f t="shared" si="105"/>
        <v>10316</v>
      </c>
      <c r="Q59" s="107">
        <f t="shared" si="105"/>
        <v>0</v>
      </c>
      <c r="R59" s="105">
        <f t="shared" si="100"/>
        <v>0</v>
      </c>
    </row>
    <row r="60" spans="1:18" ht="15.75" customHeight="1">
      <c r="A60" s="949"/>
      <c r="B60" s="122" t="s">
        <v>32</v>
      </c>
      <c r="C60" s="123">
        <v>495422</v>
      </c>
      <c r="D60" s="106">
        <f>SUM(ROUND(C60*75%,0))</f>
        <v>371567</v>
      </c>
      <c r="E60" s="104">
        <v>25383</v>
      </c>
      <c r="F60" s="105">
        <f t="shared" si="98"/>
        <v>5.123510865484375E-2</v>
      </c>
      <c r="G60" s="949"/>
      <c r="H60" s="122" t="s">
        <v>32</v>
      </c>
      <c r="I60" s="123">
        <v>76700</v>
      </c>
      <c r="J60" s="106">
        <f>SUM(ROUND(I60*75%,0))</f>
        <v>57525</v>
      </c>
      <c r="K60" s="104">
        <v>0</v>
      </c>
      <c r="L60" s="105">
        <f t="shared" si="104"/>
        <v>0</v>
      </c>
      <c r="M60" s="949"/>
      <c r="N60" s="122" t="s">
        <v>32</v>
      </c>
      <c r="O60" s="102">
        <f t="shared" ref="O60:Q60" si="106">C60-I60</f>
        <v>418722</v>
      </c>
      <c r="P60" s="102">
        <f t="shared" si="106"/>
        <v>314042</v>
      </c>
      <c r="Q60" s="107">
        <f t="shared" si="106"/>
        <v>25383</v>
      </c>
      <c r="R60" s="105">
        <f t="shared" si="100"/>
        <v>6.0620172811555163E-2</v>
      </c>
    </row>
    <row r="61" spans="1:18" ht="15.75" customHeight="1">
      <c r="A61" s="950"/>
      <c r="B61" s="118" t="s">
        <v>25</v>
      </c>
      <c r="C61" s="115">
        <f t="shared" ref="C61:E61" si="107">SUM(C57:C60)</f>
        <v>1002353</v>
      </c>
      <c r="D61" s="115">
        <f t="shared" si="107"/>
        <v>809194</v>
      </c>
      <c r="E61" s="115">
        <f t="shared" si="107"/>
        <v>29017</v>
      </c>
      <c r="F61" s="116">
        <f t="shared" si="98"/>
        <v>2.8948883277647695E-2</v>
      </c>
      <c r="G61" s="950"/>
      <c r="H61" s="118" t="s">
        <v>25</v>
      </c>
      <c r="I61" s="115">
        <f t="shared" ref="I61:K61" si="108">SUM(I57:I60)</f>
        <v>510910</v>
      </c>
      <c r="J61" s="115">
        <f t="shared" si="108"/>
        <v>449735</v>
      </c>
      <c r="K61" s="115">
        <f t="shared" si="108"/>
        <v>3634</v>
      </c>
      <c r="L61" s="116">
        <f t="shared" si="104"/>
        <v>7.1127987316748544E-3</v>
      </c>
      <c r="M61" s="950"/>
      <c r="N61" s="118" t="s">
        <v>25</v>
      </c>
      <c r="O61" s="115">
        <f t="shared" ref="O61:Q61" si="109">SUM(O57:O60)</f>
        <v>491443</v>
      </c>
      <c r="P61" s="115">
        <f t="shared" si="109"/>
        <v>359459</v>
      </c>
      <c r="Q61" s="115">
        <f t="shared" si="109"/>
        <v>25383</v>
      </c>
      <c r="R61" s="105">
        <f t="shared" si="100"/>
        <v>5.1649937022197896E-2</v>
      </c>
    </row>
    <row r="62" spans="1:18" ht="15.75" customHeight="1">
      <c r="A62" s="954"/>
      <c r="B62" s="928"/>
      <c r="C62" s="928"/>
      <c r="D62" s="928"/>
      <c r="E62" s="928"/>
      <c r="F62" s="955"/>
      <c r="G62" s="954"/>
      <c r="H62" s="928"/>
      <c r="I62" s="928"/>
      <c r="J62" s="928"/>
      <c r="K62" s="928"/>
      <c r="L62" s="955"/>
      <c r="M62" s="954"/>
      <c r="N62" s="928"/>
      <c r="O62" s="928"/>
      <c r="P62" s="928"/>
      <c r="Q62" s="928"/>
      <c r="R62" s="955"/>
    </row>
    <row r="63" spans="1:18" ht="15.75" customHeight="1">
      <c r="A63" s="948" t="s">
        <v>45</v>
      </c>
      <c r="B63" s="95" t="s">
        <v>21</v>
      </c>
      <c r="C63" s="99">
        <v>83415</v>
      </c>
      <c r="D63" s="99">
        <f>C63</f>
        <v>83415</v>
      </c>
      <c r="E63" s="97">
        <v>51068</v>
      </c>
      <c r="F63" s="98">
        <f t="shared" ref="F63:F67" si="110">E63/C63</f>
        <v>0.61221602829227362</v>
      </c>
      <c r="G63" s="948" t="s">
        <v>45</v>
      </c>
      <c r="H63" s="95" t="s">
        <v>21</v>
      </c>
      <c r="I63" s="99">
        <v>0</v>
      </c>
      <c r="J63" s="99">
        <f>I63</f>
        <v>0</v>
      </c>
      <c r="K63" s="97">
        <v>0</v>
      </c>
      <c r="L63" s="98">
        <v>0</v>
      </c>
      <c r="M63" s="948" t="s">
        <v>45</v>
      </c>
      <c r="N63" s="95" t="s">
        <v>21</v>
      </c>
      <c r="O63" s="102">
        <f t="shared" ref="O63:Q63" si="111">C63-I63</f>
        <v>83415</v>
      </c>
      <c r="P63" s="102">
        <f t="shared" si="111"/>
        <v>83415</v>
      </c>
      <c r="Q63" s="107">
        <f t="shared" si="111"/>
        <v>51068</v>
      </c>
      <c r="R63" s="105">
        <f t="shared" ref="R63:R67" si="112">Q63/O63</f>
        <v>0.61221602829227362</v>
      </c>
    </row>
    <row r="64" spans="1:18" ht="15.75" customHeight="1">
      <c r="A64" s="949"/>
      <c r="B64" s="102" t="s">
        <v>28</v>
      </c>
      <c r="C64" s="106">
        <v>19235</v>
      </c>
      <c r="D64" s="106">
        <f t="shared" ref="D64:D65" si="113">SUM(ROUND(C64*50%,0))</f>
        <v>9618</v>
      </c>
      <c r="E64" s="104">
        <v>45743</v>
      </c>
      <c r="F64" s="105">
        <f t="shared" si="110"/>
        <v>2.3781128151806601</v>
      </c>
      <c r="G64" s="949"/>
      <c r="H64" s="102" t="s">
        <v>28</v>
      </c>
      <c r="I64" s="106">
        <v>0</v>
      </c>
      <c r="J64" s="106">
        <f t="shared" ref="J64:J65" si="114">SUM(ROUND(I64*50%,0))</f>
        <v>0</v>
      </c>
      <c r="K64" s="104">
        <v>0</v>
      </c>
      <c r="L64" s="98">
        <v>0</v>
      </c>
      <c r="M64" s="949"/>
      <c r="N64" s="102" t="s">
        <v>28</v>
      </c>
      <c r="O64" s="102">
        <f t="shared" ref="O64:Q64" si="115">C64-I64</f>
        <v>19235</v>
      </c>
      <c r="P64" s="102">
        <f t="shared" si="115"/>
        <v>9618</v>
      </c>
      <c r="Q64" s="107">
        <f t="shared" si="115"/>
        <v>45743</v>
      </c>
      <c r="R64" s="105">
        <f t="shared" si="112"/>
        <v>2.3781128151806601</v>
      </c>
    </row>
    <row r="65" spans="1:18" ht="15.75" customHeight="1">
      <c r="A65" s="949"/>
      <c r="B65" s="102" t="s">
        <v>31</v>
      </c>
      <c r="C65" s="106">
        <v>40499</v>
      </c>
      <c r="D65" s="106">
        <f t="shared" si="113"/>
        <v>20250</v>
      </c>
      <c r="E65" s="104">
        <v>9487</v>
      </c>
      <c r="F65" s="105">
        <f t="shared" si="110"/>
        <v>0.23425269759747155</v>
      </c>
      <c r="G65" s="949"/>
      <c r="H65" s="102" t="s">
        <v>31</v>
      </c>
      <c r="I65" s="106">
        <v>0</v>
      </c>
      <c r="J65" s="106">
        <f t="shared" si="114"/>
        <v>0</v>
      </c>
      <c r="K65" s="104">
        <v>0</v>
      </c>
      <c r="L65" s="98">
        <v>0</v>
      </c>
      <c r="M65" s="949"/>
      <c r="N65" s="102" t="s">
        <v>31</v>
      </c>
      <c r="O65" s="102">
        <f t="shared" ref="O65:Q65" si="116">C65-I65</f>
        <v>40499</v>
      </c>
      <c r="P65" s="102">
        <f t="shared" si="116"/>
        <v>20250</v>
      </c>
      <c r="Q65" s="107">
        <f t="shared" si="116"/>
        <v>9487</v>
      </c>
      <c r="R65" s="105">
        <f t="shared" si="112"/>
        <v>0.23425269759747155</v>
      </c>
    </row>
    <row r="66" spans="1:18" ht="15.75" customHeight="1">
      <c r="A66" s="949"/>
      <c r="B66" s="122" t="s">
        <v>32</v>
      </c>
      <c r="C66" s="123">
        <v>184800</v>
      </c>
      <c r="D66" s="106">
        <f>SUM(ROUND(C66*75%,0))</f>
        <v>138600</v>
      </c>
      <c r="E66" s="104">
        <v>0</v>
      </c>
      <c r="F66" s="105">
        <f t="shared" si="110"/>
        <v>0</v>
      </c>
      <c r="G66" s="949"/>
      <c r="H66" s="122" t="s">
        <v>32</v>
      </c>
      <c r="I66" s="123">
        <v>0</v>
      </c>
      <c r="J66" s="106">
        <f>SUM(ROUND(I66*75%,0))</f>
        <v>0</v>
      </c>
      <c r="K66" s="104">
        <v>0</v>
      </c>
      <c r="L66" s="98">
        <v>0</v>
      </c>
      <c r="M66" s="949"/>
      <c r="N66" s="122" t="s">
        <v>32</v>
      </c>
      <c r="O66" s="102">
        <f t="shared" ref="O66:Q66" si="117">C66-I66</f>
        <v>184800</v>
      </c>
      <c r="P66" s="102">
        <f t="shared" si="117"/>
        <v>138600</v>
      </c>
      <c r="Q66" s="107">
        <f t="shared" si="117"/>
        <v>0</v>
      </c>
      <c r="R66" s="105">
        <f t="shared" si="112"/>
        <v>0</v>
      </c>
    </row>
    <row r="67" spans="1:18" ht="15.75" customHeight="1">
      <c r="A67" s="950"/>
      <c r="B67" s="118" t="s">
        <v>25</v>
      </c>
      <c r="C67" s="115">
        <f t="shared" ref="C67:E67" si="118">SUM(C63:C66)</f>
        <v>327949</v>
      </c>
      <c r="D67" s="115">
        <f t="shared" si="118"/>
        <v>251883</v>
      </c>
      <c r="E67" s="121">
        <f t="shared" si="118"/>
        <v>106298</v>
      </c>
      <c r="F67" s="116">
        <f t="shared" si="110"/>
        <v>0.32412966650302333</v>
      </c>
      <c r="G67" s="950"/>
      <c r="H67" s="118" t="s">
        <v>25</v>
      </c>
      <c r="I67" s="115">
        <f t="shared" ref="I67:K67" si="119">SUM(I63:I66)</f>
        <v>0</v>
      </c>
      <c r="J67" s="115">
        <f t="shared" si="119"/>
        <v>0</v>
      </c>
      <c r="K67" s="121">
        <f t="shared" si="119"/>
        <v>0</v>
      </c>
      <c r="L67" s="116">
        <v>0</v>
      </c>
      <c r="M67" s="950"/>
      <c r="N67" s="118" t="s">
        <v>25</v>
      </c>
      <c r="O67" s="115">
        <f t="shared" ref="O67:Q67" si="120">SUM(O63:O66)</f>
        <v>327949</v>
      </c>
      <c r="P67" s="115">
        <f t="shared" si="120"/>
        <v>251883</v>
      </c>
      <c r="Q67" s="115">
        <f t="shared" si="120"/>
        <v>106298</v>
      </c>
      <c r="R67" s="105">
        <f t="shared" si="112"/>
        <v>0.32412966650302333</v>
      </c>
    </row>
    <row r="68" spans="1:18" ht="15.75" customHeight="1">
      <c r="A68" s="954"/>
      <c r="B68" s="928"/>
      <c r="C68" s="928"/>
      <c r="D68" s="928"/>
      <c r="E68" s="928"/>
      <c r="F68" s="955"/>
      <c r="G68" s="954"/>
      <c r="H68" s="928"/>
      <c r="I68" s="928"/>
      <c r="J68" s="928"/>
      <c r="K68" s="928"/>
      <c r="L68" s="955"/>
      <c r="M68" s="954"/>
      <c r="N68" s="928"/>
      <c r="O68" s="928"/>
      <c r="P68" s="928"/>
      <c r="Q68" s="928"/>
      <c r="R68" s="955"/>
    </row>
    <row r="69" spans="1:18" ht="15.75" customHeight="1">
      <c r="A69" s="948" t="s">
        <v>47</v>
      </c>
      <c r="B69" s="95" t="s">
        <v>21</v>
      </c>
      <c r="C69" s="99">
        <v>286580</v>
      </c>
      <c r="D69" s="99">
        <f>C69</f>
        <v>286580</v>
      </c>
      <c r="E69" s="97">
        <v>28206</v>
      </c>
      <c r="F69" s="98">
        <f t="shared" ref="F69:F73" si="121">E69/C69</f>
        <v>9.8422778979691539E-2</v>
      </c>
      <c r="G69" s="948" t="s">
        <v>47</v>
      </c>
      <c r="H69" s="95" t="s">
        <v>21</v>
      </c>
      <c r="I69" s="99">
        <v>100000</v>
      </c>
      <c r="J69" s="99">
        <f>I69</f>
        <v>100000</v>
      </c>
      <c r="K69" s="97">
        <v>0</v>
      </c>
      <c r="L69" s="98">
        <f t="shared" ref="L69:L71" si="122">K69/I69</f>
        <v>0</v>
      </c>
      <c r="M69" s="948" t="s">
        <v>47</v>
      </c>
      <c r="N69" s="95" t="s">
        <v>21</v>
      </c>
      <c r="O69" s="95">
        <f t="shared" ref="O69:Q69" si="123">C69-I69</f>
        <v>186580</v>
      </c>
      <c r="P69" s="106">
        <f t="shared" si="123"/>
        <v>186580</v>
      </c>
      <c r="Q69" s="95">
        <f t="shared" si="123"/>
        <v>28206</v>
      </c>
      <c r="R69" s="105">
        <f t="shared" ref="R69:R73" si="124">Q69/O69</f>
        <v>0.15117375924536391</v>
      </c>
    </row>
    <row r="70" spans="1:18" ht="15.75" customHeight="1">
      <c r="A70" s="949"/>
      <c r="B70" s="102" t="s">
        <v>28</v>
      </c>
      <c r="C70" s="106">
        <v>91000</v>
      </c>
      <c r="D70" s="106">
        <f t="shared" ref="D70:D71" si="125">SUM(ROUND(C70*50%,0))</f>
        <v>45500</v>
      </c>
      <c r="E70" s="104">
        <v>2986</v>
      </c>
      <c r="F70" s="105">
        <f t="shared" si="121"/>
        <v>3.2813186813186811E-2</v>
      </c>
      <c r="G70" s="949"/>
      <c r="H70" s="102" t="s">
        <v>28</v>
      </c>
      <c r="I70" s="106">
        <v>57500</v>
      </c>
      <c r="J70" s="106">
        <f t="shared" ref="J70:J71" si="126">SUM(ROUND(I70*50%,0))</f>
        <v>28750</v>
      </c>
      <c r="K70" s="104">
        <v>2430</v>
      </c>
      <c r="L70" s="105">
        <f t="shared" si="122"/>
        <v>4.2260869565217393E-2</v>
      </c>
      <c r="M70" s="949"/>
      <c r="N70" s="102" t="s">
        <v>28</v>
      </c>
      <c r="O70" s="102">
        <f t="shared" ref="O70:Q70" si="127">C70-I70</f>
        <v>33500</v>
      </c>
      <c r="P70" s="106">
        <f t="shared" si="127"/>
        <v>16750</v>
      </c>
      <c r="Q70" s="102">
        <f t="shared" si="127"/>
        <v>556</v>
      </c>
      <c r="R70" s="105">
        <f t="shared" si="124"/>
        <v>1.6597014925373136E-2</v>
      </c>
    </row>
    <row r="71" spans="1:18" ht="15.75" customHeight="1">
      <c r="A71" s="949"/>
      <c r="B71" s="102" t="s">
        <v>31</v>
      </c>
      <c r="C71" s="106">
        <v>81006</v>
      </c>
      <c r="D71" s="106">
        <f t="shared" si="125"/>
        <v>40503</v>
      </c>
      <c r="E71" s="104">
        <v>45459</v>
      </c>
      <c r="F71" s="105">
        <f t="shared" si="121"/>
        <v>0.56118065328494182</v>
      </c>
      <c r="G71" s="949"/>
      <c r="H71" s="102" t="s">
        <v>31</v>
      </c>
      <c r="I71" s="106">
        <v>34006</v>
      </c>
      <c r="J71" s="106">
        <f t="shared" si="126"/>
        <v>17003</v>
      </c>
      <c r="K71" s="104">
        <v>35792</v>
      </c>
      <c r="L71" s="105">
        <f t="shared" si="122"/>
        <v>1.0525201435040876</v>
      </c>
      <c r="M71" s="949"/>
      <c r="N71" s="102" t="s">
        <v>31</v>
      </c>
      <c r="O71" s="102">
        <f t="shared" ref="O71:Q71" si="128">C71-I71</f>
        <v>47000</v>
      </c>
      <c r="P71" s="106">
        <f t="shared" si="128"/>
        <v>23500</v>
      </c>
      <c r="Q71" s="102">
        <f t="shared" si="128"/>
        <v>9667</v>
      </c>
      <c r="R71" s="105">
        <f t="shared" si="124"/>
        <v>0.2056808510638298</v>
      </c>
    </row>
    <row r="72" spans="1:18" ht="15.75" customHeight="1">
      <c r="A72" s="949"/>
      <c r="B72" s="122" t="s">
        <v>32</v>
      </c>
      <c r="C72" s="123">
        <v>125000</v>
      </c>
      <c r="D72" s="106">
        <f>SUM(ROUND(C72*75%,0))</f>
        <v>93750</v>
      </c>
      <c r="E72" s="104">
        <v>3408</v>
      </c>
      <c r="F72" s="105">
        <f t="shared" si="121"/>
        <v>2.7264E-2</v>
      </c>
      <c r="G72" s="949"/>
      <c r="H72" s="122" t="s">
        <v>32</v>
      </c>
      <c r="I72" s="123">
        <v>0</v>
      </c>
      <c r="J72" s="106">
        <f>SUM(ROUND(I72*75%,0))</f>
        <v>0</v>
      </c>
      <c r="K72" s="104">
        <v>0</v>
      </c>
      <c r="L72" s="105">
        <v>0</v>
      </c>
      <c r="M72" s="949"/>
      <c r="N72" s="122" t="s">
        <v>32</v>
      </c>
      <c r="O72" s="102">
        <f t="shared" ref="O72:Q72" si="129">C72-I72</f>
        <v>125000</v>
      </c>
      <c r="P72" s="106">
        <f t="shared" si="129"/>
        <v>93750</v>
      </c>
      <c r="Q72" s="102">
        <f t="shared" si="129"/>
        <v>3408</v>
      </c>
      <c r="R72" s="105">
        <f t="shared" si="124"/>
        <v>2.7264E-2</v>
      </c>
    </row>
    <row r="73" spans="1:18" ht="15.75" customHeight="1">
      <c r="A73" s="950"/>
      <c r="B73" s="118" t="s">
        <v>25</v>
      </c>
      <c r="C73" s="115">
        <f t="shared" ref="C73:E73" si="130">SUM(C69:C72)</f>
        <v>583586</v>
      </c>
      <c r="D73" s="115">
        <f t="shared" si="130"/>
        <v>466333</v>
      </c>
      <c r="E73" s="121">
        <f t="shared" si="130"/>
        <v>80059</v>
      </c>
      <c r="F73" s="116">
        <f t="shared" si="121"/>
        <v>0.13718457947928839</v>
      </c>
      <c r="G73" s="950"/>
      <c r="H73" s="118" t="s">
        <v>25</v>
      </c>
      <c r="I73" s="115">
        <f t="shared" ref="I73:K73" si="131">SUM(I69:I72)</f>
        <v>191506</v>
      </c>
      <c r="J73" s="115">
        <f t="shared" si="131"/>
        <v>145753</v>
      </c>
      <c r="K73" s="121">
        <f t="shared" si="131"/>
        <v>38222</v>
      </c>
      <c r="L73" s="116">
        <f>K73/I73</f>
        <v>0.19958643593412217</v>
      </c>
      <c r="M73" s="950"/>
      <c r="N73" s="118" t="s">
        <v>25</v>
      </c>
      <c r="O73" s="118">
        <f t="shared" ref="O73:Q73" si="132">SUM(O69:O72)</f>
        <v>392080</v>
      </c>
      <c r="P73" s="115">
        <f t="shared" si="132"/>
        <v>320580</v>
      </c>
      <c r="Q73" s="118">
        <f t="shared" si="132"/>
        <v>41837</v>
      </c>
      <c r="R73" s="105">
        <f t="shared" si="124"/>
        <v>0.10670526423178943</v>
      </c>
    </row>
    <row r="74" spans="1:18" ht="15.75" customHeight="1">
      <c r="A74" s="954"/>
      <c r="B74" s="928"/>
      <c r="C74" s="928"/>
      <c r="D74" s="928"/>
      <c r="E74" s="928"/>
      <c r="F74" s="955"/>
      <c r="G74" s="954"/>
      <c r="H74" s="928"/>
      <c r="I74" s="928"/>
      <c r="J74" s="928"/>
      <c r="K74" s="928"/>
      <c r="L74" s="955"/>
      <c r="M74" s="954"/>
      <c r="N74" s="928"/>
      <c r="O74" s="928"/>
      <c r="P74" s="928"/>
      <c r="Q74" s="928"/>
      <c r="R74" s="955"/>
    </row>
    <row r="75" spans="1:18" ht="15.75" customHeight="1">
      <c r="A75" s="948" t="s">
        <v>52</v>
      </c>
      <c r="B75" s="95" t="s">
        <v>21</v>
      </c>
      <c r="C75" s="99">
        <v>71102</v>
      </c>
      <c r="D75" s="99">
        <f>C75</f>
        <v>71102</v>
      </c>
      <c r="E75" s="97">
        <v>563</v>
      </c>
      <c r="F75" s="98">
        <f t="shared" ref="F75:F78" si="133">E75/C75</f>
        <v>7.918202019633766E-3</v>
      </c>
      <c r="G75" s="948" t="s">
        <v>52</v>
      </c>
      <c r="H75" s="95" t="s">
        <v>21</v>
      </c>
      <c r="I75" s="99">
        <v>102</v>
      </c>
      <c r="J75" s="99">
        <f>I75</f>
        <v>102</v>
      </c>
      <c r="K75" s="97">
        <v>0</v>
      </c>
      <c r="L75" s="98">
        <f t="shared" ref="L75:L78" si="134">K75/I75</f>
        <v>0</v>
      </c>
      <c r="M75" s="948" t="s">
        <v>52</v>
      </c>
      <c r="N75" s="95" t="s">
        <v>21</v>
      </c>
      <c r="O75" s="102">
        <f t="shared" ref="O75:Q75" si="135">C75-I75</f>
        <v>71000</v>
      </c>
      <c r="P75" s="102">
        <f t="shared" si="135"/>
        <v>71000</v>
      </c>
      <c r="Q75" s="107">
        <f t="shared" si="135"/>
        <v>563</v>
      </c>
      <c r="R75" s="105">
        <f t="shared" ref="R75:R78" si="136">Q75/O75</f>
        <v>7.929577464788732E-3</v>
      </c>
    </row>
    <row r="76" spans="1:18" ht="15.75" customHeight="1">
      <c r="A76" s="949"/>
      <c r="B76" s="102" t="s">
        <v>102</v>
      </c>
      <c r="C76" s="106">
        <v>196016</v>
      </c>
      <c r="D76" s="106">
        <f t="shared" ref="D76:D77" si="137">SUM(ROUND(C76*50%,0))</f>
        <v>98008</v>
      </c>
      <c r="E76" s="104">
        <v>29976</v>
      </c>
      <c r="F76" s="105">
        <f t="shared" si="133"/>
        <v>0.15292629173128724</v>
      </c>
      <c r="G76" s="949"/>
      <c r="H76" s="102" t="s">
        <v>102</v>
      </c>
      <c r="I76" s="106">
        <v>87509</v>
      </c>
      <c r="J76" s="106">
        <f t="shared" ref="J76:J77" si="138">SUM(ROUND(I76*50%,0))</f>
        <v>43755</v>
      </c>
      <c r="K76" s="104">
        <v>16853</v>
      </c>
      <c r="L76" s="105">
        <f t="shared" si="134"/>
        <v>0.19258590544972518</v>
      </c>
      <c r="M76" s="949"/>
      <c r="N76" s="102" t="s">
        <v>102</v>
      </c>
      <c r="O76" s="102">
        <f t="shared" ref="O76:Q76" si="139">C76-I76</f>
        <v>108507</v>
      </c>
      <c r="P76" s="102">
        <f t="shared" si="139"/>
        <v>54253</v>
      </c>
      <c r="Q76" s="107">
        <f t="shared" si="139"/>
        <v>13123</v>
      </c>
      <c r="R76" s="105">
        <f t="shared" si="136"/>
        <v>0.12094150607794889</v>
      </c>
    </row>
    <row r="77" spans="1:18" ht="15.75" customHeight="1">
      <c r="A77" s="949"/>
      <c r="B77" s="102" t="s">
        <v>31</v>
      </c>
      <c r="C77" s="106">
        <v>43025</v>
      </c>
      <c r="D77" s="106">
        <f t="shared" si="137"/>
        <v>21513</v>
      </c>
      <c r="E77" s="104">
        <v>0</v>
      </c>
      <c r="F77" s="105">
        <f t="shared" si="133"/>
        <v>0</v>
      </c>
      <c r="G77" s="949"/>
      <c r="H77" s="102" t="s">
        <v>31</v>
      </c>
      <c r="I77" s="106">
        <v>203</v>
      </c>
      <c r="J77" s="106">
        <f t="shared" si="138"/>
        <v>102</v>
      </c>
      <c r="K77" s="104">
        <v>0</v>
      </c>
      <c r="L77" s="105">
        <f t="shared" si="134"/>
        <v>0</v>
      </c>
      <c r="M77" s="949"/>
      <c r="N77" s="102" t="s">
        <v>31</v>
      </c>
      <c r="O77" s="102">
        <f t="shared" ref="O77:Q77" si="140">C77-I77</f>
        <v>42822</v>
      </c>
      <c r="P77" s="102">
        <f t="shared" si="140"/>
        <v>21411</v>
      </c>
      <c r="Q77" s="107">
        <f t="shared" si="140"/>
        <v>0</v>
      </c>
      <c r="R77" s="105">
        <f t="shared" si="136"/>
        <v>0</v>
      </c>
    </row>
    <row r="78" spans="1:18" ht="15.75" customHeight="1">
      <c r="A78" s="950"/>
      <c r="B78" s="118" t="s">
        <v>25</v>
      </c>
      <c r="C78" s="115">
        <f t="shared" ref="C78:E78" si="141">SUM(C75:C77)</f>
        <v>310143</v>
      </c>
      <c r="D78" s="115">
        <f t="shared" si="141"/>
        <v>190623</v>
      </c>
      <c r="E78" s="121">
        <f t="shared" si="141"/>
        <v>30539</v>
      </c>
      <c r="F78" s="116">
        <f t="shared" si="133"/>
        <v>9.8467481129672435E-2</v>
      </c>
      <c r="G78" s="950"/>
      <c r="H78" s="118" t="s">
        <v>25</v>
      </c>
      <c r="I78" s="115">
        <f t="shared" ref="I78:K78" si="142">SUM(I75:I77)</f>
        <v>87814</v>
      </c>
      <c r="J78" s="115">
        <f t="shared" si="142"/>
        <v>43959</v>
      </c>
      <c r="K78" s="121">
        <f t="shared" si="142"/>
        <v>16853</v>
      </c>
      <c r="L78" s="116">
        <f t="shared" si="134"/>
        <v>0.19191700639989068</v>
      </c>
      <c r="M78" s="950"/>
      <c r="N78" s="118" t="s">
        <v>25</v>
      </c>
      <c r="O78" s="115">
        <f t="shared" ref="O78:Q78" si="143">SUM(O75:O77)</f>
        <v>222329</v>
      </c>
      <c r="P78" s="115">
        <f t="shared" si="143"/>
        <v>146664</v>
      </c>
      <c r="Q78" s="115">
        <f t="shared" si="143"/>
        <v>13686</v>
      </c>
      <c r="R78" s="105">
        <f t="shared" si="136"/>
        <v>6.15574216588929E-2</v>
      </c>
    </row>
    <row r="79" spans="1:18" ht="15.75" customHeight="1">
      <c r="A79" s="954"/>
      <c r="B79" s="928"/>
      <c r="C79" s="928"/>
      <c r="D79" s="928"/>
      <c r="E79" s="928"/>
      <c r="F79" s="955"/>
      <c r="G79" s="954"/>
      <c r="H79" s="928"/>
      <c r="I79" s="928"/>
      <c r="J79" s="928"/>
      <c r="K79" s="928"/>
      <c r="L79" s="955"/>
      <c r="M79" s="954"/>
      <c r="N79" s="928"/>
      <c r="O79" s="928"/>
      <c r="P79" s="928"/>
      <c r="Q79" s="928"/>
      <c r="R79" s="955"/>
    </row>
    <row r="80" spans="1:18" ht="15.75" customHeight="1">
      <c r="A80" s="948" t="s">
        <v>54</v>
      </c>
      <c r="B80" s="95" t="s">
        <v>21</v>
      </c>
      <c r="C80" s="99">
        <v>482000</v>
      </c>
      <c r="D80" s="99">
        <f>C80</f>
        <v>482000</v>
      </c>
      <c r="E80" s="97">
        <v>3648</v>
      </c>
      <c r="F80" s="98">
        <f t="shared" ref="F80:F84" si="144">E80/C80</f>
        <v>7.5684647302904562E-3</v>
      </c>
      <c r="G80" s="948" t="s">
        <v>54</v>
      </c>
      <c r="H80" s="95" t="s">
        <v>21</v>
      </c>
      <c r="I80" s="99">
        <v>0</v>
      </c>
      <c r="J80" s="99">
        <f>I80</f>
        <v>0</v>
      </c>
      <c r="K80" s="97">
        <v>0</v>
      </c>
      <c r="L80" s="98">
        <v>0</v>
      </c>
      <c r="M80" s="948" t="s">
        <v>54</v>
      </c>
      <c r="N80" s="95" t="s">
        <v>21</v>
      </c>
      <c r="O80" s="102">
        <f t="shared" ref="O80:Q80" si="145">C80-I80</f>
        <v>482000</v>
      </c>
      <c r="P80" s="102">
        <f t="shared" si="145"/>
        <v>482000</v>
      </c>
      <c r="Q80" s="107">
        <f t="shared" si="145"/>
        <v>3648</v>
      </c>
      <c r="R80" s="105">
        <f t="shared" ref="R80:R84" si="146">Q80/O80</f>
        <v>7.5684647302904562E-3</v>
      </c>
    </row>
    <row r="81" spans="1:18" ht="15.75" customHeight="1">
      <c r="A81" s="949"/>
      <c r="B81" s="102" t="s">
        <v>28</v>
      </c>
      <c r="C81" s="106">
        <v>141003</v>
      </c>
      <c r="D81" s="106">
        <f t="shared" ref="D81:D82" si="147">SUM(ROUND(C81*50%,0))</f>
        <v>70502</v>
      </c>
      <c r="E81" s="104">
        <v>0</v>
      </c>
      <c r="F81" s="105">
        <f t="shared" si="144"/>
        <v>0</v>
      </c>
      <c r="G81" s="949"/>
      <c r="H81" s="102" t="s">
        <v>28</v>
      </c>
      <c r="I81" s="106">
        <v>0</v>
      </c>
      <c r="J81" s="106">
        <f t="shared" ref="J81:J82" si="148">SUM(ROUND(I81*50%,0))</f>
        <v>0</v>
      </c>
      <c r="K81" s="104">
        <v>0</v>
      </c>
      <c r="L81" s="105">
        <v>0</v>
      </c>
      <c r="M81" s="949"/>
      <c r="N81" s="102" t="s">
        <v>28</v>
      </c>
      <c r="O81" s="102">
        <f t="shared" ref="O81:Q81" si="149">C81-I81</f>
        <v>141003</v>
      </c>
      <c r="P81" s="102">
        <f t="shared" si="149"/>
        <v>70502</v>
      </c>
      <c r="Q81" s="107">
        <f t="shared" si="149"/>
        <v>0</v>
      </c>
      <c r="R81" s="105">
        <f t="shared" si="146"/>
        <v>0</v>
      </c>
    </row>
    <row r="82" spans="1:18" ht="15.75" customHeight="1">
      <c r="A82" s="949"/>
      <c r="B82" s="102" t="s">
        <v>31</v>
      </c>
      <c r="C82" s="106">
        <v>435516</v>
      </c>
      <c r="D82" s="106">
        <f t="shared" si="147"/>
        <v>217758</v>
      </c>
      <c r="E82" s="104">
        <v>19598</v>
      </c>
      <c r="F82" s="105">
        <f t="shared" si="144"/>
        <v>4.4999494852083509E-2</v>
      </c>
      <c r="G82" s="949"/>
      <c r="H82" s="102" t="s">
        <v>31</v>
      </c>
      <c r="I82" s="106">
        <v>163102</v>
      </c>
      <c r="J82" s="106">
        <f t="shared" si="148"/>
        <v>81551</v>
      </c>
      <c r="K82" s="104">
        <v>12205</v>
      </c>
      <c r="L82" s="105">
        <f t="shared" ref="L82:L84" si="150">K82/I82</f>
        <v>7.4830474181800347E-2</v>
      </c>
      <c r="M82" s="949"/>
      <c r="N82" s="102" t="s">
        <v>31</v>
      </c>
      <c r="O82" s="102">
        <f t="shared" ref="O82:Q82" si="151">C82-I82</f>
        <v>272414</v>
      </c>
      <c r="P82" s="102">
        <f t="shared" si="151"/>
        <v>136207</v>
      </c>
      <c r="Q82" s="107">
        <f t="shared" si="151"/>
        <v>7393</v>
      </c>
      <c r="R82" s="105">
        <f t="shared" si="146"/>
        <v>2.7138840147716344E-2</v>
      </c>
    </row>
    <row r="83" spans="1:18" ht="15.75" customHeight="1">
      <c r="A83" s="949"/>
      <c r="B83" s="122" t="s">
        <v>32</v>
      </c>
      <c r="C83" s="123">
        <v>707811</v>
      </c>
      <c r="D83" s="106">
        <f>SUM(ROUND(C83*75%,0))</f>
        <v>530858</v>
      </c>
      <c r="E83" s="104">
        <v>44494</v>
      </c>
      <c r="F83" s="105">
        <f t="shared" si="144"/>
        <v>6.2861413569441554E-2</v>
      </c>
      <c r="G83" s="949"/>
      <c r="H83" s="122" t="s">
        <v>32</v>
      </c>
      <c r="I83" s="123">
        <v>1</v>
      </c>
      <c r="J83" s="106">
        <f>SUM(ROUND(I83*75%,0))</f>
        <v>1</v>
      </c>
      <c r="K83" s="104">
        <v>0</v>
      </c>
      <c r="L83" s="105">
        <f t="shared" si="150"/>
        <v>0</v>
      </c>
      <c r="M83" s="949"/>
      <c r="N83" s="122" t="s">
        <v>32</v>
      </c>
      <c r="O83" s="102">
        <f t="shared" ref="O83:Q83" si="152">C83-I83</f>
        <v>707810</v>
      </c>
      <c r="P83" s="102">
        <f t="shared" si="152"/>
        <v>530857</v>
      </c>
      <c r="Q83" s="107">
        <f t="shared" si="152"/>
        <v>44494</v>
      </c>
      <c r="R83" s="105">
        <f t="shared" si="146"/>
        <v>6.2861502380582357E-2</v>
      </c>
    </row>
    <row r="84" spans="1:18" ht="15.75" customHeight="1">
      <c r="A84" s="950"/>
      <c r="B84" s="118" t="s">
        <v>25</v>
      </c>
      <c r="C84" s="115">
        <f t="shared" ref="C84:E84" si="153">SUM(C80:C83)</f>
        <v>1766330</v>
      </c>
      <c r="D84" s="115">
        <f t="shared" si="153"/>
        <v>1301118</v>
      </c>
      <c r="E84" s="121">
        <f t="shared" si="153"/>
        <v>67740</v>
      </c>
      <c r="F84" s="116">
        <f t="shared" si="144"/>
        <v>3.835070456822904E-2</v>
      </c>
      <c r="G84" s="950"/>
      <c r="H84" s="118" t="s">
        <v>25</v>
      </c>
      <c r="I84" s="115">
        <f t="shared" ref="I84:K84" si="154">SUM(I80:I83)</f>
        <v>163103</v>
      </c>
      <c r="J84" s="115">
        <f t="shared" si="154"/>
        <v>81552</v>
      </c>
      <c r="K84" s="121">
        <f t="shared" si="154"/>
        <v>12205</v>
      </c>
      <c r="L84" s="116">
        <f t="shared" si="150"/>
        <v>7.483001538904864E-2</v>
      </c>
      <c r="M84" s="950"/>
      <c r="N84" s="118" t="s">
        <v>25</v>
      </c>
      <c r="O84" s="115">
        <f t="shared" ref="O84:Q84" si="155">SUM(O80:O83)</f>
        <v>1603227</v>
      </c>
      <c r="P84" s="115">
        <f t="shared" si="155"/>
        <v>1219566</v>
      </c>
      <c r="Q84" s="130">
        <f t="shared" si="155"/>
        <v>55535</v>
      </c>
      <c r="R84" s="105">
        <f t="shared" si="146"/>
        <v>3.4639511435373783E-2</v>
      </c>
    </row>
    <row r="85" spans="1:18" ht="15.75" customHeight="1">
      <c r="A85" s="954"/>
      <c r="B85" s="928"/>
      <c r="C85" s="928"/>
      <c r="D85" s="928"/>
      <c r="E85" s="928"/>
      <c r="F85" s="955"/>
      <c r="G85" s="954"/>
      <c r="H85" s="928"/>
      <c r="I85" s="928"/>
      <c r="J85" s="928"/>
      <c r="K85" s="928"/>
      <c r="L85" s="955"/>
      <c r="M85" s="954"/>
      <c r="N85" s="928"/>
      <c r="O85" s="928"/>
      <c r="P85" s="928"/>
      <c r="Q85" s="928"/>
      <c r="R85" s="955"/>
    </row>
    <row r="86" spans="1:18" ht="15.75" customHeight="1">
      <c r="A86" s="948" t="s">
        <v>56</v>
      </c>
      <c r="B86" s="95" t="s">
        <v>21</v>
      </c>
      <c r="C86" s="99">
        <v>31541</v>
      </c>
      <c r="D86" s="99">
        <f>C86</f>
        <v>31541</v>
      </c>
      <c r="E86" s="97">
        <v>0</v>
      </c>
      <c r="F86" s="98">
        <f t="shared" ref="F86:F90" si="156">E86/C86</f>
        <v>0</v>
      </c>
      <c r="G86" s="948" t="s">
        <v>56</v>
      </c>
      <c r="H86" s="95" t="s">
        <v>21</v>
      </c>
      <c r="I86" s="99">
        <v>441</v>
      </c>
      <c r="J86" s="99">
        <f>I86</f>
        <v>441</v>
      </c>
      <c r="K86" s="97">
        <v>0</v>
      </c>
      <c r="L86" s="98">
        <f t="shared" ref="L86:L88" si="157">K86/I86</f>
        <v>0</v>
      </c>
      <c r="M86" s="948" t="s">
        <v>56</v>
      </c>
      <c r="N86" s="95" t="s">
        <v>21</v>
      </c>
      <c r="O86" s="102">
        <f t="shared" ref="O86:Q86" si="158">C86-I86</f>
        <v>31100</v>
      </c>
      <c r="P86" s="102">
        <f t="shared" si="158"/>
        <v>31100</v>
      </c>
      <c r="Q86" s="107">
        <f t="shared" si="158"/>
        <v>0</v>
      </c>
      <c r="R86" s="105">
        <f t="shared" ref="R86:R90" si="159">Q86/O86</f>
        <v>0</v>
      </c>
    </row>
    <row r="87" spans="1:18" ht="15.75" customHeight="1">
      <c r="A87" s="949"/>
      <c r="B87" s="102" t="s">
        <v>28</v>
      </c>
      <c r="C87" s="106">
        <v>9731</v>
      </c>
      <c r="D87" s="106">
        <f t="shared" ref="D87:D88" si="160">SUM(ROUND(C87*50%,0))</f>
        <v>4866</v>
      </c>
      <c r="E87" s="104">
        <v>3012</v>
      </c>
      <c r="F87" s="105">
        <f t="shared" si="156"/>
        <v>0.30952625629431713</v>
      </c>
      <c r="G87" s="949"/>
      <c r="H87" s="102" t="s">
        <v>28</v>
      </c>
      <c r="I87" s="106">
        <v>1</v>
      </c>
      <c r="J87" s="106">
        <f t="shared" ref="J87:J88" si="161">SUM(ROUND(I87*50%,0))</f>
        <v>1</v>
      </c>
      <c r="K87" s="104">
        <v>0</v>
      </c>
      <c r="L87" s="105">
        <f t="shared" si="157"/>
        <v>0</v>
      </c>
      <c r="M87" s="949"/>
      <c r="N87" s="102" t="s">
        <v>28</v>
      </c>
      <c r="O87" s="102">
        <f t="shared" ref="O87:Q87" si="162">C87-I87</f>
        <v>9730</v>
      </c>
      <c r="P87" s="102">
        <f t="shared" si="162"/>
        <v>4865</v>
      </c>
      <c r="Q87" s="107">
        <f t="shared" si="162"/>
        <v>3012</v>
      </c>
      <c r="R87" s="105">
        <f t="shared" si="159"/>
        <v>0.30955806783144912</v>
      </c>
    </row>
    <row r="88" spans="1:18" ht="15.75" customHeight="1">
      <c r="A88" s="949"/>
      <c r="B88" s="102" t="s">
        <v>103</v>
      </c>
      <c r="C88" s="106">
        <v>24603</v>
      </c>
      <c r="D88" s="106">
        <f t="shared" si="160"/>
        <v>12302</v>
      </c>
      <c r="E88" s="104">
        <v>52544</v>
      </c>
      <c r="F88" s="105">
        <f t="shared" si="156"/>
        <v>2.135674511238467</v>
      </c>
      <c r="G88" s="949"/>
      <c r="H88" s="102" t="s">
        <v>103</v>
      </c>
      <c r="I88" s="106">
        <v>1519</v>
      </c>
      <c r="J88" s="106">
        <f t="shared" si="161"/>
        <v>760</v>
      </c>
      <c r="K88" s="104">
        <v>0</v>
      </c>
      <c r="L88" s="105">
        <f t="shared" si="157"/>
        <v>0</v>
      </c>
      <c r="M88" s="949"/>
      <c r="N88" s="102" t="s">
        <v>103</v>
      </c>
      <c r="O88" s="102">
        <f t="shared" ref="O88:Q88" si="163">C88-I88</f>
        <v>23084</v>
      </c>
      <c r="P88" s="102">
        <f t="shared" si="163"/>
        <v>11542</v>
      </c>
      <c r="Q88" s="107">
        <f t="shared" si="163"/>
        <v>52544</v>
      </c>
      <c r="R88" s="105">
        <f t="shared" si="159"/>
        <v>2.2762086293536647</v>
      </c>
    </row>
    <row r="89" spans="1:18" ht="15.75" customHeight="1">
      <c r="A89" s="949"/>
      <c r="B89" s="122" t="s">
        <v>32</v>
      </c>
      <c r="C89" s="123">
        <v>334764</v>
      </c>
      <c r="D89" s="106">
        <f>SUM(ROUND(C89*75%,0))</f>
        <v>251073</v>
      </c>
      <c r="E89" s="104">
        <v>852</v>
      </c>
      <c r="F89" s="105">
        <f t="shared" si="156"/>
        <v>2.5450765315266875E-3</v>
      </c>
      <c r="G89" s="949"/>
      <c r="H89" s="122" t="s">
        <v>32</v>
      </c>
      <c r="I89" s="123">
        <v>0</v>
      </c>
      <c r="J89" s="106">
        <f>SUM(ROUND(I89*75%,0))</f>
        <v>0</v>
      </c>
      <c r="K89" s="104">
        <v>0</v>
      </c>
      <c r="L89" s="105">
        <v>0</v>
      </c>
      <c r="M89" s="949"/>
      <c r="N89" s="122" t="s">
        <v>32</v>
      </c>
      <c r="O89" s="102">
        <f t="shared" ref="O89:Q89" si="164">C89-I89</f>
        <v>334764</v>
      </c>
      <c r="P89" s="102">
        <f t="shared" si="164"/>
        <v>251073</v>
      </c>
      <c r="Q89" s="107">
        <f t="shared" si="164"/>
        <v>852</v>
      </c>
      <c r="R89" s="105">
        <f t="shared" si="159"/>
        <v>2.5450765315266875E-3</v>
      </c>
    </row>
    <row r="90" spans="1:18" ht="15.75" customHeight="1">
      <c r="A90" s="950"/>
      <c r="B90" s="118" t="s">
        <v>25</v>
      </c>
      <c r="C90" s="115">
        <f t="shared" ref="C90:E90" si="165">SUM(C86:C89)</f>
        <v>400639</v>
      </c>
      <c r="D90" s="115">
        <f t="shared" si="165"/>
        <v>299782</v>
      </c>
      <c r="E90" s="121">
        <f t="shared" si="165"/>
        <v>56408</v>
      </c>
      <c r="F90" s="116">
        <f t="shared" si="156"/>
        <v>0.14079507985992376</v>
      </c>
      <c r="G90" s="950"/>
      <c r="H90" s="118" t="s">
        <v>25</v>
      </c>
      <c r="I90" s="115">
        <f t="shared" ref="I90:K90" si="166">SUM(I86:I89)</f>
        <v>1961</v>
      </c>
      <c r="J90" s="115">
        <f t="shared" si="166"/>
        <v>1202</v>
      </c>
      <c r="K90" s="121">
        <f t="shared" si="166"/>
        <v>0</v>
      </c>
      <c r="L90" s="116">
        <f>K90/I90</f>
        <v>0</v>
      </c>
      <c r="M90" s="950"/>
      <c r="N90" s="118" t="s">
        <v>25</v>
      </c>
      <c r="O90" s="115">
        <f t="shared" ref="O90:Q90" si="167">SUM(O86:O89)</f>
        <v>398678</v>
      </c>
      <c r="P90" s="115">
        <f t="shared" si="167"/>
        <v>298580</v>
      </c>
      <c r="Q90" s="130">
        <f t="shared" si="167"/>
        <v>56408</v>
      </c>
      <c r="R90" s="105">
        <f t="shared" si="159"/>
        <v>0.14148761657277301</v>
      </c>
    </row>
    <row r="91" spans="1:18" ht="15.75" customHeight="1">
      <c r="A91" s="954"/>
      <c r="B91" s="928"/>
      <c r="C91" s="928"/>
      <c r="D91" s="928"/>
      <c r="E91" s="928"/>
      <c r="F91" s="955"/>
      <c r="G91" s="954"/>
      <c r="H91" s="928"/>
      <c r="I91" s="928"/>
      <c r="J91" s="928"/>
      <c r="K91" s="928"/>
      <c r="L91" s="955"/>
      <c r="M91" s="954"/>
      <c r="N91" s="928"/>
      <c r="O91" s="928"/>
      <c r="P91" s="928"/>
      <c r="Q91" s="928"/>
      <c r="R91" s="955"/>
    </row>
    <row r="92" spans="1:18" ht="15.75" customHeight="1">
      <c r="A92" s="948" t="s">
        <v>59</v>
      </c>
      <c r="B92" s="95" t="s">
        <v>21</v>
      </c>
      <c r="C92" s="99">
        <v>5000</v>
      </c>
      <c r="D92" s="106">
        <f>SUM(ROUND(C92*50%,0))</f>
        <v>2500</v>
      </c>
      <c r="E92" s="97">
        <v>0</v>
      </c>
      <c r="F92" s="98">
        <f t="shared" ref="F92:F95" si="168">E92/C92</f>
        <v>0</v>
      </c>
      <c r="G92" s="948" t="s">
        <v>59</v>
      </c>
      <c r="H92" s="95" t="s">
        <v>21</v>
      </c>
      <c r="I92" s="99">
        <v>0</v>
      </c>
      <c r="J92" s="106">
        <f>SUM(ROUND(I92*50%,0))</f>
        <v>0</v>
      </c>
      <c r="K92" s="97">
        <v>0</v>
      </c>
      <c r="L92" s="98">
        <v>0</v>
      </c>
      <c r="M92" s="951" t="s">
        <v>59</v>
      </c>
      <c r="N92" s="95" t="s">
        <v>21</v>
      </c>
      <c r="O92" s="107">
        <f t="shared" ref="O92:Q92" si="169">C92-I92</f>
        <v>5000</v>
      </c>
      <c r="P92" s="102">
        <f t="shared" si="169"/>
        <v>2500</v>
      </c>
      <c r="Q92" s="107">
        <f t="shared" si="169"/>
        <v>0</v>
      </c>
      <c r="R92" s="105">
        <f t="shared" ref="R92:R95" si="170">Q92/O92</f>
        <v>0</v>
      </c>
    </row>
    <row r="93" spans="1:18" ht="15.75" customHeight="1">
      <c r="A93" s="949"/>
      <c r="B93" s="131" t="s">
        <v>31</v>
      </c>
      <c r="C93" s="132">
        <v>7002</v>
      </c>
      <c r="D93" s="106"/>
      <c r="E93" s="133">
        <v>0</v>
      </c>
      <c r="F93" s="105">
        <f t="shared" si="168"/>
        <v>0</v>
      </c>
      <c r="G93" s="949"/>
      <c r="H93" s="131" t="s">
        <v>31</v>
      </c>
      <c r="I93" s="132">
        <v>1</v>
      </c>
      <c r="J93" s="106"/>
      <c r="K93" s="133">
        <v>0</v>
      </c>
      <c r="L93" s="105">
        <f>K93/I93</f>
        <v>0</v>
      </c>
      <c r="M93" s="952"/>
      <c r="N93" s="131" t="s">
        <v>31</v>
      </c>
      <c r="O93" s="107">
        <f t="shared" ref="O93:O94" si="171">C93-I93</f>
        <v>7001</v>
      </c>
      <c r="P93" s="102"/>
      <c r="Q93" s="107">
        <f>E93-K93</f>
        <v>0</v>
      </c>
      <c r="R93" s="105">
        <f t="shared" si="170"/>
        <v>0</v>
      </c>
    </row>
    <row r="94" spans="1:18" ht="15.75" customHeight="1">
      <c r="A94" s="949"/>
      <c r="B94" s="102" t="s">
        <v>32</v>
      </c>
      <c r="C94" s="106">
        <v>19000</v>
      </c>
      <c r="D94" s="106">
        <f>SUM(ROUND(C94*75%,0))</f>
        <v>14250</v>
      </c>
      <c r="E94" s="104">
        <v>15</v>
      </c>
      <c r="F94" s="105">
        <f t="shared" si="168"/>
        <v>7.894736842105263E-4</v>
      </c>
      <c r="G94" s="949"/>
      <c r="H94" s="102" t="s">
        <v>32</v>
      </c>
      <c r="I94" s="106">
        <v>0</v>
      </c>
      <c r="J94" s="106">
        <f>SUM(ROUND(I94*75%,0))</f>
        <v>0</v>
      </c>
      <c r="K94" s="104">
        <v>0</v>
      </c>
      <c r="L94" s="105">
        <v>0</v>
      </c>
      <c r="M94" s="952"/>
      <c r="N94" s="102" t="s">
        <v>32</v>
      </c>
      <c r="O94" s="107">
        <f t="shared" si="171"/>
        <v>19000</v>
      </c>
      <c r="P94" s="102">
        <f t="shared" ref="P94:Q94" si="172">D94-J94</f>
        <v>14250</v>
      </c>
      <c r="Q94" s="107">
        <f t="shared" si="172"/>
        <v>15</v>
      </c>
      <c r="R94" s="105">
        <f t="shared" si="170"/>
        <v>7.894736842105263E-4</v>
      </c>
    </row>
    <row r="95" spans="1:18" ht="15.75" customHeight="1">
      <c r="A95" s="950"/>
      <c r="B95" s="118" t="s">
        <v>25</v>
      </c>
      <c r="C95" s="115">
        <f t="shared" ref="C95:E95" si="173">SUM(C92:C94)</f>
        <v>31002</v>
      </c>
      <c r="D95" s="115">
        <f t="shared" si="173"/>
        <v>16750</v>
      </c>
      <c r="E95" s="115">
        <f t="shared" si="173"/>
        <v>15</v>
      </c>
      <c r="F95" s="116">
        <f t="shared" si="168"/>
        <v>4.8383975227404683E-4</v>
      </c>
      <c r="G95" s="950"/>
      <c r="H95" s="118" t="s">
        <v>25</v>
      </c>
      <c r="I95" s="115">
        <f t="shared" ref="I95:K95" si="174">SUM(I92:I94)</f>
        <v>1</v>
      </c>
      <c r="J95" s="115">
        <f t="shared" si="174"/>
        <v>0</v>
      </c>
      <c r="K95" s="115">
        <f t="shared" si="174"/>
        <v>0</v>
      </c>
      <c r="L95" s="116">
        <f>K95/I95</f>
        <v>0</v>
      </c>
      <c r="M95" s="953"/>
      <c r="N95" s="118" t="s">
        <v>25</v>
      </c>
      <c r="O95" s="114">
        <f t="shared" ref="O95:Q95" si="175">SUM(O92:O94)</f>
        <v>31001</v>
      </c>
      <c r="P95" s="115">
        <f t="shared" si="175"/>
        <v>16750</v>
      </c>
      <c r="Q95" s="130">
        <f t="shared" si="175"/>
        <v>15</v>
      </c>
      <c r="R95" s="105">
        <f t="shared" si="170"/>
        <v>4.838553595045321E-4</v>
      </c>
    </row>
    <row r="96" spans="1:18" ht="15.75" customHeight="1">
      <c r="A96" s="954"/>
      <c r="B96" s="928"/>
      <c r="C96" s="928"/>
      <c r="D96" s="928"/>
      <c r="E96" s="928"/>
      <c r="F96" s="955"/>
      <c r="G96" s="954"/>
      <c r="H96" s="928"/>
      <c r="I96" s="928"/>
      <c r="J96" s="928"/>
      <c r="K96" s="928"/>
      <c r="L96" s="955"/>
      <c r="M96" s="954"/>
      <c r="N96" s="928"/>
      <c r="O96" s="928"/>
      <c r="P96" s="928"/>
      <c r="Q96" s="928"/>
      <c r="R96" s="955"/>
    </row>
    <row r="97" spans="1:26" ht="15.75" customHeight="1">
      <c r="A97" s="968" t="s">
        <v>60</v>
      </c>
      <c r="B97" s="134" t="s">
        <v>21</v>
      </c>
      <c r="C97" s="135">
        <f t="shared" ref="C97:E97" si="176">C6+C11+C14+C17+C23+C28+C34+C48+C53+C57+C63+C69+C75+C80+C86+C92</f>
        <v>15241953</v>
      </c>
      <c r="D97" s="135">
        <f t="shared" si="176"/>
        <v>15239453</v>
      </c>
      <c r="E97" s="136">
        <f t="shared" si="176"/>
        <v>3208942</v>
      </c>
      <c r="F97" s="137">
        <f>E97/C97</f>
        <v>0.21053351890010422</v>
      </c>
      <c r="G97" s="968" t="s">
        <v>60</v>
      </c>
      <c r="H97" s="134" t="s">
        <v>21</v>
      </c>
      <c r="I97" s="135">
        <f t="shared" ref="I97:K97" si="177">I6+I11+I14+I17+I23+I28+I34+I48+I53+I57+I63+I69+I75+I80+I86+I92</f>
        <v>7571162</v>
      </c>
      <c r="J97" s="135">
        <f t="shared" si="177"/>
        <v>7571162</v>
      </c>
      <c r="K97" s="136">
        <f t="shared" si="177"/>
        <v>33068</v>
      </c>
      <c r="L97" s="137">
        <f>K97/I97</f>
        <v>4.3676254714930156E-3</v>
      </c>
      <c r="M97" s="968" t="s">
        <v>60</v>
      </c>
      <c r="N97" s="134" t="s">
        <v>21</v>
      </c>
      <c r="O97" s="135">
        <f>O6+O11+O14+O17+O23+O28+O34+O48+O53+O57+O63+O69+O75+O80+O86+O92</f>
        <v>7670791</v>
      </c>
      <c r="P97" s="135">
        <f t="shared" ref="P97:Q97" si="178">P6+P11+P14+P17+P23+P28+P34+P48+P53+P57+P63+P69+P75+P80+P86</f>
        <v>7665791</v>
      </c>
      <c r="Q97" s="135">
        <f t="shared" si="178"/>
        <v>3175874</v>
      </c>
      <c r="R97" s="137">
        <f>Q97/O97</f>
        <v>0.41402170910405461</v>
      </c>
    </row>
    <row r="98" spans="1:26" ht="15.75" customHeight="1">
      <c r="A98" s="949"/>
      <c r="B98" s="138" t="s">
        <v>22</v>
      </c>
      <c r="C98" s="139">
        <f t="shared" ref="C98:E98" si="179">C7</f>
        <v>0</v>
      </c>
      <c r="D98" s="139">
        <f t="shared" si="179"/>
        <v>0</v>
      </c>
      <c r="E98" s="140">
        <f t="shared" si="179"/>
        <v>0</v>
      </c>
      <c r="F98" s="141">
        <v>0</v>
      </c>
      <c r="G98" s="949"/>
      <c r="H98" s="138" t="s">
        <v>22</v>
      </c>
      <c r="I98" s="139">
        <f t="shared" ref="I98:K98" si="180">I7</f>
        <v>0</v>
      </c>
      <c r="J98" s="139">
        <f t="shared" si="180"/>
        <v>0</v>
      </c>
      <c r="K98" s="140">
        <f t="shared" si="180"/>
        <v>0</v>
      </c>
      <c r="L98" s="141">
        <v>0</v>
      </c>
      <c r="M98" s="949"/>
      <c r="N98" s="138" t="s">
        <v>22</v>
      </c>
      <c r="O98" s="139">
        <f t="shared" ref="O98:Q98" si="181">O7</f>
        <v>0</v>
      </c>
      <c r="P98" s="139">
        <f t="shared" si="181"/>
        <v>0</v>
      </c>
      <c r="Q98" s="139">
        <f t="shared" si="181"/>
        <v>0</v>
      </c>
      <c r="R98" s="141">
        <v>0</v>
      </c>
    </row>
    <row r="99" spans="1:26" ht="15.75" customHeight="1">
      <c r="A99" s="949"/>
      <c r="B99" s="138" t="s">
        <v>28</v>
      </c>
      <c r="C99" s="139">
        <f t="shared" ref="C99:E99" si="182">C18+C24+C29+C49+C58+C64+C70+C76+C81+C87</f>
        <v>520964</v>
      </c>
      <c r="D99" s="139">
        <f t="shared" si="182"/>
        <v>260484</v>
      </c>
      <c r="E99" s="140">
        <f t="shared" si="182"/>
        <v>81717</v>
      </c>
      <c r="F99" s="141">
        <f t="shared" ref="F99:F103" si="183">E99/C99</f>
        <v>0.15685728764367596</v>
      </c>
      <c r="G99" s="949"/>
      <c r="H99" s="138" t="s">
        <v>28</v>
      </c>
      <c r="I99" s="139">
        <f t="shared" ref="I99:K99" si="184">I18+I24+I29+I49+I58+I64+I70+I76+I81+I87</f>
        <v>145010</v>
      </c>
      <c r="J99" s="139">
        <f t="shared" si="184"/>
        <v>72506</v>
      </c>
      <c r="K99" s="140">
        <f t="shared" si="184"/>
        <v>19283</v>
      </c>
      <c r="L99" s="141">
        <f t="shared" ref="L99:L103" si="185">K99/I99</f>
        <v>0.13297703606647818</v>
      </c>
      <c r="M99" s="949"/>
      <c r="N99" s="138" t="s">
        <v>28</v>
      </c>
      <c r="O99" s="139">
        <f t="shared" ref="O99:Q99" si="186">O18+O24+O29+O49+O58+O64+O70+O76+O81+O87</f>
        <v>375954</v>
      </c>
      <c r="P99" s="139">
        <f t="shared" si="186"/>
        <v>187978</v>
      </c>
      <c r="Q99" s="139">
        <f t="shared" si="186"/>
        <v>62434</v>
      </c>
      <c r="R99" s="141">
        <f t="shared" ref="R99:R103" si="187">Q99/O99</f>
        <v>0.16606818919335875</v>
      </c>
    </row>
    <row r="100" spans="1:26" ht="15.75" customHeight="1">
      <c r="A100" s="949"/>
      <c r="B100" s="138" t="s">
        <v>31</v>
      </c>
      <c r="C100" s="139">
        <f t="shared" ref="C100:E100" si="188">C19+C25+C30+C59+C65+C71+C77+C82+C88+C93</f>
        <v>912071</v>
      </c>
      <c r="D100" s="139">
        <f t="shared" si="188"/>
        <v>452537</v>
      </c>
      <c r="E100" s="140">
        <f t="shared" si="188"/>
        <v>146597</v>
      </c>
      <c r="F100" s="141">
        <f t="shared" si="183"/>
        <v>0.16072981160457903</v>
      </c>
      <c r="G100" s="949"/>
      <c r="H100" s="138" t="s">
        <v>31</v>
      </c>
      <c r="I100" s="139">
        <f t="shared" ref="I100:K100" si="189">I19+I25+I30+I59+I65+I71+I77+I82+I88+I93</f>
        <v>332857</v>
      </c>
      <c r="J100" s="139">
        <f t="shared" si="189"/>
        <v>166429</v>
      </c>
      <c r="K100" s="140">
        <f t="shared" si="189"/>
        <v>59077</v>
      </c>
      <c r="L100" s="141">
        <f t="shared" si="185"/>
        <v>0.1774846255298822</v>
      </c>
      <c r="M100" s="949"/>
      <c r="N100" s="138" t="s">
        <v>31</v>
      </c>
      <c r="O100" s="139">
        <f t="shared" ref="O100:Q100" si="190">O19+O25+O30+O59+O65+O71+O77+O82+O88+O93</f>
        <v>579214</v>
      </c>
      <c r="P100" s="139">
        <f t="shared" si="190"/>
        <v>286108</v>
      </c>
      <c r="Q100" s="139">
        <f t="shared" si="190"/>
        <v>87520</v>
      </c>
      <c r="R100" s="141">
        <f t="shared" si="187"/>
        <v>0.15110132006477744</v>
      </c>
    </row>
    <row r="101" spans="1:26" ht="15.75" customHeight="1">
      <c r="A101" s="949"/>
      <c r="B101" s="138" t="s">
        <v>40</v>
      </c>
      <c r="C101" s="139">
        <f t="shared" ref="C101:E101" si="191">C37+C41+C8</f>
        <v>4857411</v>
      </c>
      <c r="D101" s="139">
        <f t="shared" si="191"/>
        <v>4857409</v>
      </c>
      <c r="E101" s="140">
        <f t="shared" si="191"/>
        <v>49724</v>
      </c>
      <c r="F101" s="141">
        <f t="shared" si="183"/>
        <v>1.0236728989990758E-2</v>
      </c>
      <c r="G101" s="949"/>
      <c r="H101" s="138" t="s">
        <v>40</v>
      </c>
      <c r="I101" s="139">
        <f t="shared" ref="I101:K101" si="192">I37+I41+I8</f>
        <v>1291402</v>
      </c>
      <c r="J101" s="139">
        <f t="shared" si="192"/>
        <v>1291400</v>
      </c>
      <c r="K101" s="140">
        <f t="shared" si="192"/>
        <v>49140</v>
      </c>
      <c r="L101" s="141">
        <f t="shared" si="185"/>
        <v>3.8051667877237294E-2</v>
      </c>
      <c r="M101" s="949"/>
      <c r="N101" s="138" t="s">
        <v>40</v>
      </c>
      <c r="O101" s="139">
        <f t="shared" ref="O101:Q101" si="193">O37+O41</f>
        <v>3566009</v>
      </c>
      <c r="P101" s="139">
        <f t="shared" si="193"/>
        <v>3566009</v>
      </c>
      <c r="Q101" s="139">
        <f t="shared" si="193"/>
        <v>584</v>
      </c>
      <c r="R101" s="141">
        <f t="shared" si="187"/>
        <v>1.6376851544682024E-4</v>
      </c>
    </row>
    <row r="102" spans="1:26" ht="15.75" customHeight="1">
      <c r="A102" s="949"/>
      <c r="B102" s="142" t="s">
        <v>32</v>
      </c>
      <c r="C102" s="139">
        <f t="shared" ref="C102:E102" si="194">C20+C31++C38+C42+C45+C50+C54+C60+C66+C72+C83+C89+C94</f>
        <v>11269846</v>
      </c>
      <c r="D102" s="139">
        <f t="shared" si="194"/>
        <v>8452385</v>
      </c>
      <c r="E102" s="140">
        <f t="shared" si="194"/>
        <v>1647468</v>
      </c>
      <c r="F102" s="141">
        <f t="shared" si="183"/>
        <v>0.1461837189257067</v>
      </c>
      <c r="G102" s="949"/>
      <c r="H102" s="142" t="s">
        <v>32</v>
      </c>
      <c r="I102" s="139">
        <f t="shared" ref="I102:K102" si="195">I20+I31++I38+I42+I45+I50+I54+I60+I66+I72+I83+I89+I94</f>
        <v>231570</v>
      </c>
      <c r="J102" s="139">
        <f t="shared" si="195"/>
        <v>173679</v>
      </c>
      <c r="K102" s="140">
        <f t="shared" si="195"/>
        <v>32848</v>
      </c>
      <c r="L102" s="141">
        <f t="shared" si="185"/>
        <v>0.14184911689769833</v>
      </c>
      <c r="M102" s="949"/>
      <c r="N102" s="142" t="s">
        <v>32</v>
      </c>
      <c r="O102" s="139">
        <f t="shared" ref="O102:Q102" si="196">O20+O31++O38+O42+O45+O50+O54+O60+O66+O72+O83+O89+O94</f>
        <v>11038276</v>
      </c>
      <c r="P102" s="139">
        <f t="shared" si="196"/>
        <v>8278706</v>
      </c>
      <c r="Q102" s="139">
        <f t="shared" si="196"/>
        <v>1614620</v>
      </c>
      <c r="R102" s="141">
        <f t="shared" si="187"/>
        <v>0.14627465375933704</v>
      </c>
    </row>
    <row r="103" spans="1:26" ht="15.75" customHeight="1">
      <c r="A103" s="950"/>
      <c r="B103" s="118" t="s">
        <v>25</v>
      </c>
      <c r="C103" s="143">
        <f t="shared" ref="C103:E103" si="197">C97+C98+C99+C100+C101+C102</f>
        <v>32802245</v>
      </c>
      <c r="D103" s="143">
        <f t="shared" si="197"/>
        <v>29262268</v>
      </c>
      <c r="E103" s="143">
        <f t="shared" si="197"/>
        <v>5134448</v>
      </c>
      <c r="F103" s="207">
        <f t="shared" si="183"/>
        <v>0.15652733524793805</v>
      </c>
      <c r="G103" s="949"/>
      <c r="H103" s="208" t="s">
        <v>25</v>
      </c>
      <c r="I103" s="209">
        <f t="shared" ref="I103:K103" si="198">I97+I98+I99+I100+I101+I102</f>
        <v>9572001</v>
      </c>
      <c r="J103" s="209">
        <f t="shared" si="198"/>
        <v>9275176</v>
      </c>
      <c r="K103" s="209">
        <f t="shared" si="198"/>
        <v>193416</v>
      </c>
      <c r="L103" s="207">
        <f t="shared" si="185"/>
        <v>2.0206433325696476E-2</v>
      </c>
      <c r="M103" s="949"/>
      <c r="N103" s="208" t="s">
        <v>25</v>
      </c>
      <c r="O103" s="209">
        <f t="shared" ref="O103:Q103" si="199">SUM(O97:O102)</f>
        <v>23230244</v>
      </c>
      <c r="P103" s="209">
        <f t="shared" si="199"/>
        <v>19984592</v>
      </c>
      <c r="Q103" s="209">
        <f t="shared" si="199"/>
        <v>4941032</v>
      </c>
      <c r="R103" s="207">
        <f t="shared" si="187"/>
        <v>0.21269823941582361</v>
      </c>
    </row>
    <row r="104" spans="1:26" ht="17.25" customHeight="1">
      <c r="A104" s="88" t="s">
        <v>29</v>
      </c>
      <c r="B104" s="210"/>
      <c r="C104" s="211"/>
      <c r="D104" s="211"/>
      <c r="E104" s="211"/>
      <c r="F104" s="212"/>
      <c r="G104" s="88"/>
      <c r="H104" s="210"/>
      <c r="I104" s="211"/>
      <c r="J104" s="211"/>
      <c r="K104" s="211"/>
      <c r="L104" s="212"/>
      <c r="M104" s="88"/>
      <c r="N104" s="210"/>
      <c r="O104" s="211"/>
      <c r="P104" s="211"/>
      <c r="Q104" s="213"/>
      <c r="R104" s="212"/>
    </row>
    <row r="105" spans="1:26" ht="15.75" customHeight="1">
      <c r="A105" s="973">
        <v>1500</v>
      </c>
      <c r="B105" s="149" t="s">
        <v>29</v>
      </c>
      <c r="C105" s="149">
        <v>12020015</v>
      </c>
      <c r="D105" s="149">
        <f>C105</f>
        <v>12020015</v>
      </c>
      <c r="E105" s="150">
        <v>2131399</v>
      </c>
      <c r="F105" s="214">
        <f t="shared" ref="F105:F113" si="200">E105/C105</f>
        <v>0.17732082697068183</v>
      </c>
      <c r="G105" s="973">
        <v>1500</v>
      </c>
      <c r="H105" s="149" t="s">
        <v>29</v>
      </c>
      <c r="I105" s="149">
        <f>6920014+5000001</f>
        <v>11920015</v>
      </c>
      <c r="J105" s="149">
        <f>I105</f>
        <v>11920015</v>
      </c>
      <c r="K105" s="150">
        <f>259589+1871700</f>
        <v>2131289</v>
      </c>
      <c r="L105" s="214">
        <f t="shared" ref="L105:L108" si="201">K105/I105</f>
        <v>0.17879918775269998</v>
      </c>
      <c r="M105" s="973">
        <v>1500</v>
      </c>
      <c r="N105" s="149" t="s">
        <v>29</v>
      </c>
      <c r="O105" s="149">
        <f t="shared" ref="O105:Q105" si="202">C105-I105</f>
        <v>100000</v>
      </c>
      <c r="P105" s="149">
        <f t="shared" si="202"/>
        <v>100000</v>
      </c>
      <c r="Q105" s="149">
        <f t="shared" si="202"/>
        <v>110</v>
      </c>
      <c r="R105" s="215">
        <f>Q105/O105</f>
        <v>1.1000000000000001E-3</v>
      </c>
      <c r="S105" s="147"/>
      <c r="T105" s="147"/>
      <c r="U105" s="147"/>
      <c r="V105" s="147"/>
      <c r="W105" s="147"/>
      <c r="X105" s="147"/>
      <c r="Y105" s="147"/>
      <c r="Z105" s="147"/>
    </row>
    <row r="106" spans="1:26" ht="15.75" customHeight="1">
      <c r="A106" s="918"/>
      <c r="B106" s="155" t="s">
        <v>25</v>
      </c>
      <c r="C106" s="155">
        <f t="shared" ref="C106:E106" si="203">SUM(C105)</f>
        <v>12020015</v>
      </c>
      <c r="D106" s="155">
        <f t="shared" si="203"/>
        <v>12020015</v>
      </c>
      <c r="E106" s="216">
        <f t="shared" si="203"/>
        <v>2131399</v>
      </c>
      <c r="F106" s="217">
        <f t="shared" si="200"/>
        <v>0.17732082697068183</v>
      </c>
      <c r="G106" s="918"/>
      <c r="H106" s="155" t="s">
        <v>25</v>
      </c>
      <c r="I106" s="155">
        <f t="shared" ref="I106:K106" si="204">SUM(I105)</f>
        <v>11920015</v>
      </c>
      <c r="J106" s="155">
        <f t="shared" si="204"/>
        <v>11920015</v>
      </c>
      <c r="K106" s="216">
        <f t="shared" si="204"/>
        <v>2131289</v>
      </c>
      <c r="L106" s="217">
        <f t="shared" si="201"/>
        <v>0.17879918775269998</v>
      </c>
      <c r="M106" s="918"/>
      <c r="N106" s="155" t="s">
        <v>25</v>
      </c>
      <c r="O106" s="155">
        <f t="shared" ref="O106:Q106" si="205">SUM(O105)</f>
        <v>100000</v>
      </c>
      <c r="P106" s="155">
        <f t="shared" si="205"/>
        <v>100000</v>
      </c>
      <c r="Q106" s="155">
        <f t="shared" si="205"/>
        <v>110</v>
      </c>
      <c r="R106" s="129">
        <f>Q106/P106</f>
        <v>1.1000000000000001E-3</v>
      </c>
      <c r="S106" s="147"/>
      <c r="T106" s="147"/>
      <c r="U106" s="147"/>
      <c r="V106" s="147"/>
      <c r="W106" s="147"/>
      <c r="X106" s="147"/>
      <c r="Y106" s="147"/>
      <c r="Z106" s="147"/>
    </row>
    <row r="107" spans="1:26" ht="15.75" customHeight="1">
      <c r="A107" s="974">
        <v>1600</v>
      </c>
      <c r="B107" s="153" t="s">
        <v>29</v>
      </c>
      <c r="C107" s="218">
        <v>13416785</v>
      </c>
      <c r="D107" s="218">
        <f>C107</f>
        <v>13416785</v>
      </c>
      <c r="E107" s="154">
        <v>25924</v>
      </c>
      <c r="F107" s="219">
        <f t="shared" si="200"/>
        <v>1.9322065606626328E-3</v>
      </c>
      <c r="G107" s="974">
        <v>1600</v>
      </c>
      <c r="H107" s="153" t="s">
        <v>29</v>
      </c>
      <c r="I107" s="218">
        <v>1042</v>
      </c>
      <c r="J107" s="218">
        <f>I107</f>
        <v>1042</v>
      </c>
      <c r="K107" s="154">
        <v>0</v>
      </c>
      <c r="L107" s="219">
        <f t="shared" si="201"/>
        <v>0</v>
      </c>
      <c r="M107" s="974">
        <v>1600</v>
      </c>
      <c r="N107" s="153" t="s">
        <v>29</v>
      </c>
      <c r="O107" s="153">
        <f t="shared" ref="O107:Q107" si="206">C107-I107</f>
        <v>13415743</v>
      </c>
      <c r="P107" s="153">
        <f t="shared" si="206"/>
        <v>13415743</v>
      </c>
      <c r="Q107" s="153">
        <f t="shared" si="206"/>
        <v>25924</v>
      </c>
      <c r="R107" s="128">
        <f>Q107/O107</f>
        <v>1.9323566350369114E-3</v>
      </c>
      <c r="S107" s="147"/>
      <c r="T107" s="147"/>
      <c r="U107" s="147"/>
      <c r="V107" s="147"/>
      <c r="W107" s="147"/>
      <c r="X107" s="147"/>
      <c r="Y107" s="147"/>
      <c r="Z107" s="147"/>
    </row>
    <row r="108" spans="1:26" ht="15.75" customHeight="1">
      <c r="A108" s="918"/>
      <c r="B108" s="155" t="s">
        <v>25</v>
      </c>
      <c r="C108" s="155">
        <f t="shared" ref="C108:E108" si="207">SUM(C107)</f>
        <v>13416785</v>
      </c>
      <c r="D108" s="155">
        <f t="shared" si="207"/>
        <v>13416785</v>
      </c>
      <c r="E108" s="216">
        <f t="shared" si="207"/>
        <v>25924</v>
      </c>
      <c r="F108" s="217">
        <f t="shared" si="200"/>
        <v>1.9322065606626328E-3</v>
      </c>
      <c r="G108" s="918"/>
      <c r="H108" s="155" t="s">
        <v>25</v>
      </c>
      <c r="I108" s="155">
        <f t="shared" ref="I108:K108" si="208">SUM(I107)</f>
        <v>1042</v>
      </c>
      <c r="J108" s="155">
        <f t="shared" si="208"/>
        <v>1042</v>
      </c>
      <c r="K108" s="216">
        <f t="shared" si="208"/>
        <v>0</v>
      </c>
      <c r="L108" s="217">
        <f t="shared" si="201"/>
        <v>0</v>
      </c>
      <c r="M108" s="918"/>
      <c r="N108" s="155" t="s">
        <v>25</v>
      </c>
      <c r="O108" s="155">
        <f t="shared" ref="O108:Q108" si="209">SUM(O107)</f>
        <v>13415743</v>
      </c>
      <c r="P108" s="155">
        <f t="shared" si="209"/>
        <v>13415743</v>
      </c>
      <c r="Q108" s="155">
        <f t="shared" si="209"/>
        <v>25924</v>
      </c>
      <c r="R108" s="129">
        <f>Q108/P108</f>
        <v>1.9323566350369114E-3</v>
      </c>
      <c r="S108" s="147"/>
      <c r="T108" s="147"/>
      <c r="U108" s="147"/>
      <c r="V108" s="147"/>
      <c r="W108" s="147"/>
      <c r="X108" s="147"/>
      <c r="Y108" s="147"/>
      <c r="Z108" s="147"/>
    </row>
    <row r="109" spans="1:26" ht="15.75" customHeight="1">
      <c r="A109" s="975">
        <v>3300</v>
      </c>
      <c r="B109" s="153" t="s">
        <v>29</v>
      </c>
      <c r="C109" s="218">
        <v>1</v>
      </c>
      <c r="D109" s="153"/>
      <c r="E109" s="154">
        <v>0</v>
      </c>
      <c r="F109" s="219">
        <f t="shared" si="200"/>
        <v>0</v>
      </c>
      <c r="G109" s="975">
        <v>3300</v>
      </c>
      <c r="H109" s="153" t="s">
        <v>29</v>
      </c>
      <c r="I109" s="218">
        <v>0</v>
      </c>
      <c r="J109" s="153"/>
      <c r="K109" s="154">
        <v>0</v>
      </c>
      <c r="L109" s="219">
        <v>0</v>
      </c>
      <c r="M109" s="975">
        <v>3300</v>
      </c>
      <c r="N109" s="153" t="s">
        <v>29</v>
      </c>
      <c r="O109" s="153">
        <f>C109-I109</f>
        <v>1</v>
      </c>
      <c r="P109" s="153"/>
      <c r="Q109" s="153">
        <f>E109-K109</f>
        <v>0</v>
      </c>
      <c r="R109" s="128">
        <f>Q109/O109</f>
        <v>0</v>
      </c>
      <c r="S109" s="147"/>
      <c r="T109" s="147"/>
      <c r="U109" s="147"/>
      <c r="V109" s="147"/>
      <c r="W109" s="147"/>
      <c r="X109" s="147"/>
      <c r="Y109" s="147"/>
      <c r="Z109" s="147"/>
    </row>
    <row r="110" spans="1:26" ht="15.75" customHeight="1">
      <c r="A110" s="918"/>
      <c r="B110" s="155" t="s">
        <v>25</v>
      </c>
      <c r="C110" s="155">
        <f t="shared" ref="C110:E110" si="210">SUM(C109)</f>
        <v>1</v>
      </c>
      <c r="D110" s="155">
        <f t="shared" si="210"/>
        <v>0</v>
      </c>
      <c r="E110" s="216">
        <f t="shared" si="210"/>
        <v>0</v>
      </c>
      <c r="F110" s="217">
        <f t="shared" si="200"/>
        <v>0</v>
      </c>
      <c r="G110" s="918"/>
      <c r="H110" s="155" t="s">
        <v>25</v>
      </c>
      <c r="I110" s="155">
        <f t="shared" ref="I110:K110" si="211">SUM(I109)</f>
        <v>0</v>
      </c>
      <c r="J110" s="155">
        <f t="shared" si="211"/>
        <v>0</v>
      </c>
      <c r="K110" s="216">
        <f t="shared" si="211"/>
        <v>0</v>
      </c>
      <c r="L110" s="217">
        <v>0</v>
      </c>
      <c r="M110" s="918"/>
      <c r="N110" s="155" t="s">
        <v>25</v>
      </c>
      <c r="O110" s="155">
        <f t="shared" ref="O110:Q110" si="212">SUM(O109)</f>
        <v>1</v>
      </c>
      <c r="P110" s="155">
        <f t="shared" si="212"/>
        <v>0</v>
      </c>
      <c r="Q110" s="155">
        <f t="shared" si="212"/>
        <v>0</v>
      </c>
      <c r="R110" s="129" t="e">
        <f>Q110/P110</f>
        <v>#DIV/0!</v>
      </c>
      <c r="S110" s="147"/>
      <c r="T110" s="147"/>
      <c r="U110" s="147"/>
      <c r="V110" s="147"/>
      <c r="W110" s="147"/>
      <c r="X110" s="147"/>
      <c r="Y110" s="147"/>
      <c r="Z110" s="147"/>
    </row>
    <row r="111" spans="1:26" ht="15.75" customHeight="1">
      <c r="A111" s="975">
        <v>4200</v>
      </c>
      <c r="B111" s="153" t="s">
        <v>29</v>
      </c>
      <c r="C111" s="218">
        <v>10000</v>
      </c>
      <c r="D111" s="153"/>
      <c r="E111" s="154">
        <v>0</v>
      </c>
      <c r="F111" s="219">
        <f t="shared" si="200"/>
        <v>0</v>
      </c>
      <c r="G111" s="975">
        <v>4200</v>
      </c>
      <c r="H111" s="153" t="s">
        <v>29</v>
      </c>
      <c r="I111" s="218">
        <v>0</v>
      </c>
      <c r="J111" s="153"/>
      <c r="K111" s="154">
        <v>0</v>
      </c>
      <c r="L111" s="219">
        <v>0</v>
      </c>
      <c r="M111" s="975">
        <v>4200</v>
      </c>
      <c r="N111" s="153" t="s">
        <v>29</v>
      </c>
      <c r="O111" s="153">
        <f>C111-I111</f>
        <v>10000</v>
      </c>
      <c r="P111" s="153"/>
      <c r="Q111" s="153">
        <f>E111-K111</f>
        <v>0</v>
      </c>
      <c r="R111" s="128">
        <f>Q111/O111</f>
        <v>0</v>
      </c>
    </row>
    <row r="112" spans="1:26" ht="15.75" customHeight="1">
      <c r="A112" s="918"/>
      <c r="B112" s="155" t="s">
        <v>25</v>
      </c>
      <c r="C112" s="155">
        <f t="shared" ref="C112:E112" si="213">SUM(C111)</f>
        <v>10000</v>
      </c>
      <c r="D112" s="155">
        <f t="shared" si="213"/>
        <v>0</v>
      </c>
      <c r="E112" s="216">
        <f t="shared" si="213"/>
        <v>0</v>
      </c>
      <c r="F112" s="217">
        <f t="shared" si="200"/>
        <v>0</v>
      </c>
      <c r="G112" s="918"/>
      <c r="H112" s="155" t="s">
        <v>25</v>
      </c>
      <c r="I112" s="155">
        <f t="shared" ref="I112:K112" si="214">SUM(I111)</f>
        <v>0</v>
      </c>
      <c r="J112" s="155">
        <f t="shared" si="214"/>
        <v>0</v>
      </c>
      <c r="K112" s="216">
        <f t="shared" si="214"/>
        <v>0</v>
      </c>
      <c r="L112" s="217">
        <v>0</v>
      </c>
      <c r="M112" s="918"/>
      <c r="N112" s="155" t="s">
        <v>25</v>
      </c>
      <c r="O112" s="155">
        <f t="shared" ref="O112:Q112" si="215">SUM(O111)</f>
        <v>10000</v>
      </c>
      <c r="P112" s="155">
        <f t="shared" si="215"/>
        <v>0</v>
      </c>
      <c r="Q112" s="155">
        <f t="shared" si="215"/>
        <v>0</v>
      </c>
      <c r="R112" s="129" t="e">
        <f>Q112/P112</f>
        <v>#DIV/0!</v>
      </c>
    </row>
    <row r="113" spans="1:26" ht="15.75" customHeight="1">
      <c r="A113" s="220"/>
      <c r="B113" s="221" t="s">
        <v>120</v>
      </c>
      <c r="C113" s="222">
        <f t="shared" ref="C113:E113" si="216">C106+C108+C110+C112</f>
        <v>25446801</v>
      </c>
      <c r="D113" s="222">
        <f t="shared" si="216"/>
        <v>25436800</v>
      </c>
      <c r="E113" s="222">
        <f t="shared" si="216"/>
        <v>2157323</v>
      </c>
      <c r="F113" s="223">
        <f t="shared" si="200"/>
        <v>8.4777768333237649E-2</v>
      </c>
      <c r="G113" s="220"/>
      <c r="H113" s="221" t="s">
        <v>120</v>
      </c>
      <c r="I113" s="222">
        <f t="shared" ref="I113:K113" si="217">I106+I108+I110+I112</f>
        <v>11921057</v>
      </c>
      <c r="J113" s="222">
        <f t="shared" si="217"/>
        <v>11921057</v>
      </c>
      <c r="K113" s="222">
        <f t="shared" si="217"/>
        <v>2131289</v>
      </c>
      <c r="L113" s="223">
        <f>K113/I113</f>
        <v>0.17878355920955666</v>
      </c>
      <c r="M113" s="220"/>
      <c r="N113" s="221" t="s">
        <v>120</v>
      </c>
      <c r="O113" s="222">
        <f t="shared" ref="O113:Q113" si="218">O106+O108+O110+O112</f>
        <v>13525744</v>
      </c>
      <c r="P113" s="222">
        <f t="shared" si="218"/>
        <v>13515743</v>
      </c>
      <c r="Q113" s="222">
        <f t="shared" si="218"/>
        <v>26034</v>
      </c>
      <c r="R113" s="223">
        <f>Q113/O113</f>
        <v>1.9247739717682074E-3</v>
      </c>
    </row>
    <row r="114" spans="1:26" ht="17.25" customHeight="1">
      <c r="A114" s="88" t="s">
        <v>23</v>
      </c>
      <c r="B114" s="195"/>
      <c r="C114" s="195"/>
      <c r="D114" s="224"/>
      <c r="E114" s="195"/>
      <c r="F114" s="225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5"/>
      <c r="S114" s="147"/>
      <c r="T114" s="147"/>
      <c r="U114" s="147"/>
      <c r="V114" s="147"/>
      <c r="W114" s="147"/>
      <c r="X114" s="147"/>
      <c r="Y114" s="147"/>
      <c r="Z114" s="147"/>
    </row>
    <row r="115" spans="1:26" ht="16.5" customHeight="1">
      <c r="A115" s="968">
        <v>3000</v>
      </c>
      <c r="B115" s="226" t="s">
        <v>23</v>
      </c>
      <c r="C115" s="227">
        <v>1093000</v>
      </c>
      <c r="D115" s="227">
        <v>1250000</v>
      </c>
      <c r="E115" s="228">
        <v>0</v>
      </c>
      <c r="F115" s="229">
        <f t="shared" ref="F115:F120" si="219">E115/C115</f>
        <v>0</v>
      </c>
      <c r="G115" s="151"/>
      <c r="H115" s="147"/>
      <c r="I115" s="147"/>
      <c r="J115" s="147"/>
      <c r="K115" s="147"/>
      <c r="L115" s="147"/>
    </row>
    <row r="116" spans="1:26" ht="15" customHeight="1">
      <c r="A116" s="950"/>
      <c r="B116" s="230" t="s">
        <v>25</v>
      </c>
      <c r="C116" s="155">
        <f t="shared" ref="C116:E116" si="220">SUM(C115)</f>
        <v>1093000</v>
      </c>
      <c r="D116" s="155">
        <f t="shared" si="220"/>
        <v>1250000</v>
      </c>
      <c r="E116" s="216">
        <f t="shared" si="220"/>
        <v>0</v>
      </c>
      <c r="F116" s="129">
        <f t="shared" si="219"/>
        <v>0</v>
      </c>
      <c r="G116" s="151"/>
      <c r="H116" s="147"/>
      <c r="I116" s="147"/>
      <c r="J116" s="147"/>
      <c r="K116" s="147"/>
      <c r="L116" s="147"/>
    </row>
    <row r="117" spans="1:26" ht="15" customHeight="1">
      <c r="A117" s="978">
        <v>5300</v>
      </c>
      <c r="B117" s="153" t="s">
        <v>23</v>
      </c>
      <c r="C117" s="153">
        <v>3160000</v>
      </c>
      <c r="D117" s="153">
        <v>7500000</v>
      </c>
      <c r="E117" s="154">
        <v>0</v>
      </c>
      <c r="F117" s="128">
        <f t="shared" si="219"/>
        <v>0</v>
      </c>
      <c r="G117" s="151"/>
      <c r="H117" s="147"/>
      <c r="I117" s="147"/>
      <c r="J117" s="147"/>
      <c r="K117" s="147"/>
      <c r="L117" s="147"/>
    </row>
    <row r="118" spans="1:26" ht="16.5" customHeight="1">
      <c r="A118" s="918"/>
      <c r="B118" s="155" t="s">
        <v>25</v>
      </c>
      <c r="C118" s="155">
        <f t="shared" ref="C118:E118" si="221">SUM(C117)</f>
        <v>3160000</v>
      </c>
      <c r="D118" s="155">
        <f t="shared" si="221"/>
        <v>7500000</v>
      </c>
      <c r="E118" s="216">
        <f t="shared" si="221"/>
        <v>0</v>
      </c>
      <c r="F118" s="129">
        <f t="shared" si="219"/>
        <v>0</v>
      </c>
      <c r="G118" s="151"/>
      <c r="H118" s="147"/>
      <c r="I118" s="147"/>
      <c r="J118" s="147"/>
      <c r="K118" s="147"/>
      <c r="P118" s="157">
        <f t="shared" ref="P118:Q118" si="222">F103-L103</f>
        <v>0.13632090192224158</v>
      </c>
      <c r="Q118" s="158">
        <f t="shared" si="222"/>
        <v>0</v>
      </c>
    </row>
    <row r="119" spans="1:26" ht="17.25" customHeight="1">
      <c r="A119" s="220"/>
      <c r="B119" s="221" t="s">
        <v>121</v>
      </c>
      <c r="C119" s="222">
        <f t="shared" ref="C119:E119" si="223">C115+C118</f>
        <v>4253000</v>
      </c>
      <c r="D119" s="222">
        <f t="shared" si="223"/>
        <v>8750000</v>
      </c>
      <c r="E119" s="222">
        <f t="shared" si="223"/>
        <v>0</v>
      </c>
      <c r="F119" s="231">
        <f t="shared" si="219"/>
        <v>0</v>
      </c>
      <c r="G119" s="151"/>
      <c r="H119" s="147"/>
      <c r="I119" s="147"/>
      <c r="J119" s="147"/>
      <c r="K119" s="147"/>
    </row>
    <row r="120" spans="1:26" ht="18.75" customHeight="1">
      <c r="A120" s="232" t="s">
        <v>104</v>
      </c>
      <c r="B120" s="233"/>
      <c r="C120" s="233">
        <f t="shared" ref="C120:E120" si="224">C103+C113+C119</f>
        <v>62502046</v>
      </c>
      <c r="D120" s="233">
        <f t="shared" si="224"/>
        <v>63449068</v>
      </c>
      <c r="E120" s="233">
        <f t="shared" si="224"/>
        <v>7291771</v>
      </c>
      <c r="F120" s="234">
        <f t="shared" si="219"/>
        <v>0.11666451687037573</v>
      </c>
      <c r="G120" s="151"/>
      <c r="H120" s="147"/>
      <c r="I120" s="147"/>
      <c r="J120" s="147"/>
      <c r="K120" s="147"/>
    </row>
    <row r="121" spans="1:26" ht="15.75" customHeight="1">
      <c r="A121" s="235"/>
      <c r="B121" s="236"/>
      <c r="C121" s="236"/>
      <c r="D121" s="236"/>
      <c r="E121" s="236"/>
      <c r="F121" s="237"/>
      <c r="G121" s="151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</row>
    <row r="122" spans="1:26" ht="15.75" customHeight="1">
      <c r="A122" s="172"/>
      <c r="B122" s="238"/>
      <c r="C122" s="238"/>
      <c r="D122" s="238"/>
      <c r="E122" s="238"/>
      <c r="F122" s="239"/>
      <c r="G122" s="151"/>
      <c r="H122" s="147"/>
      <c r="I122" s="147"/>
      <c r="J122" s="147"/>
      <c r="K122" s="147"/>
    </row>
    <row r="123" spans="1:26" ht="15.75" customHeight="1">
      <c r="A123" s="968" t="s">
        <v>122</v>
      </c>
      <c r="B123" s="972" t="s">
        <v>7</v>
      </c>
      <c r="C123" s="90" t="s">
        <v>105</v>
      </c>
      <c r="D123" s="166" t="s">
        <v>106</v>
      </c>
      <c r="E123" s="90" t="s">
        <v>116</v>
      </c>
      <c r="F123" s="167" t="s">
        <v>108</v>
      </c>
    </row>
    <row r="124" spans="1:26" ht="15.75" customHeight="1">
      <c r="A124" s="950"/>
      <c r="B124" s="953"/>
      <c r="C124" s="168" t="s">
        <v>19</v>
      </c>
      <c r="D124" s="169" t="s">
        <v>19</v>
      </c>
      <c r="E124" s="168" t="s">
        <v>19</v>
      </c>
      <c r="F124" s="170"/>
      <c r="G124" s="147"/>
    </row>
    <row r="125" spans="1:26" ht="15.75" customHeight="1">
      <c r="A125" s="172" t="s">
        <v>109</v>
      </c>
      <c r="B125" s="173" t="s">
        <v>21</v>
      </c>
      <c r="C125" s="174">
        <v>9819593</v>
      </c>
      <c r="D125" s="175">
        <f>ROUND(C125*75%,0)</f>
        <v>7364695</v>
      </c>
      <c r="E125" s="174">
        <v>238392</v>
      </c>
      <c r="F125" s="98">
        <f t="shared" ref="F125:F128" si="225">E125/C125</f>
        <v>2.4277177272011171E-2</v>
      </c>
    </row>
    <row r="126" spans="1:26" ht="15.75" customHeight="1">
      <c r="A126" s="176" t="s">
        <v>110</v>
      </c>
      <c r="B126" s="177" t="s">
        <v>21</v>
      </c>
      <c r="C126" s="178">
        <v>6871037</v>
      </c>
      <c r="D126" s="179">
        <v>6830990</v>
      </c>
      <c r="E126" s="178">
        <v>892954</v>
      </c>
      <c r="F126" s="98">
        <f t="shared" si="225"/>
        <v>0.12995913135091544</v>
      </c>
    </row>
    <row r="127" spans="1:26" ht="15.75" customHeight="1">
      <c r="A127" s="181" t="s">
        <v>111</v>
      </c>
      <c r="B127" s="182" t="s">
        <v>21</v>
      </c>
      <c r="C127" s="183">
        <v>20000</v>
      </c>
      <c r="D127" s="184">
        <v>20000</v>
      </c>
      <c r="E127" s="183">
        <v>3471</v>
      </c>
      <c r="F127" s="98">
        <f t="shared" si="225"/>
        <v>0.17355000000000001</v>
      </c>
      <c r="L127" s="240"/>
      <c r="M127" s="147"/>
      <c r="N127" s="147"/>
      <c r="O127" s="147"/>
    </row>
    <row r="128" spans="1:26" ht="15.75" customHeight="1">
      <c r="A128" s="185"/>
      <c r="B128" s="186" t="s">
        <v>25</v>
      </c>
      <c r="C128" s="187">
        <f t="shared" ref="C128:E128" si="226">SUM(C125:C127)</f>
        <v>16710630</v>
      </c>
      <c r="D128" s="188">
        <f t="shared" si="226"/>
        <v>14215685</v>
      </c>
      <c r="E128" s="187">
        <f t="shared" si="226"/>
        <v>1134817</v>
      </c>
      <c r="F128" s="98">
        <f t="shared" si="225"/>
        <v>6.7909887299281949E-2</v>
      </c>
      <c r="L128" s="240"/>
      <c r="M128" s="147"/>
      <c r="N128" s="147"/>
      <c r="O128" s="147"/>
    </row>
    <row r="129" spans="1:15" ht="12.75" customHeight="1">
      <c r="A129" s="189" t="s">
        <v>79</v>
      </c>
      <c r="B129" s="147"/>
      <c r="C129" s="147"/>
      <c r="D129" s="147"/>
      <c r="E129" s="147"/>
      <c r="F129" s="98"/>
      <c r="L129" s="240"/>
      <c r="M129" s="147"/>
      <c r="N129" s="147"/>
      <c r="O129" s="147"/>
    </row>
    <row r="130" spans="1:15" ht="15.75" customHeight="1">
      <c r="A130" s="190" t="s">
        <v>109</v>
      </c>
      <c r="B130" s="173" t="s">
        <v>21</v>
      </c>
      <c r="C130" s="174">
        <v>9905586</v>
      </c>
      <c r="D130" s="174">
        <f>ROUND(C130*75%,0)</f>
        <v>7429190</v>
      </c>
      <c r="E130" s="174">
        <v>382821</v>
      </c>
      <c r="F130" s="98">
        <f t="shared" ref="F130:F134" si="227">E130/C130</f>
        <v>3.8646981612193362E-2</v>
      </c>
      <c r="L130" s="240"/>
      <c r="M130" s="147"/>
      <c r="N130" s="147"/>
      <c r="O130" s="147"/>
    </row>
    <row r="131" spans="1:15" ht="15.75" customHeight="1">
      <c r="A131" s="176" t="s">
        <v>110</v>
      </c>
      <c r="B131" s="177" t="s">
        <v>21</v>
      </c>
      <c r="C131" s="178">
        <v>6941037</v>
      </c>
      <c r="D131" s="178">
        <v>6800513</v>
      </c>
      <c r="E131" s="178">
        <v>640393</v>
      </c>
      <c r="F131" s="98">
        <f t="shared" si="227"/>
        <v>9.2261862312504606E-2</v>
      </c>
      <c r="L131" s="240"/>
      <c r="M131" s="147"/>
      <c r="N131" s="147"/>
      <c r="O131" s="147"/>
    </row>
    <row r="132" spans="1:15" ht="15.75" customHeight="1">
      <c r="A132" s="181" t="s">
        <v>111</v>
      </c>
      <c r="B132" s="182" t="s">
        <v>21</v>
      </c>
      <c r="C132" s="183">
        <v>20000</v>
      </c>
      <c r="D132" s="183">
        <v>20000</v>
      </c>
      <c r="E132" s="183">
        <v>0</v>
      </c>
      <c r="F132" s="98">
        <f t="shared" si="227"/>
        <v>0</v>
      </c>
      <c r="L132" s="241"/>
      <c r="M132" s="147"/>
      <c r="N132" s="147"/>
      <c r="O132" s="147"/>
    </row>
    <row r="133" spans="1:15" ht="15.75" customHeight="1">
      <c r="A133" s="185"/>
      <c r="B133" s="191" t="s">
        <v>25</v>
      </c>
      <c r="C133" s="192">
        <f t="shared" ref="C133:E133" si="228">SUM(C130:C132)</f>
        <v>16866623</v>
      </c>
      <c r="D133" s="192">
        <f t="shared" si="228"/>
        <v>14249703</v>
      </c>
      <c r="E133" s="192">
        <f t="shared" si="228"/>
        <v>1023214</v>
      </c>
      <c r="F133" s="98">
        <f t="shared" si="227"/>
        <v>6.0665018717736205E-2</v>
      </c>
      <c r="L133" s="241"/>
      <c r="M133" s="147"/>
      <c r="N133" s="147"/>
      <c r="O133" s="147"/>
    </row>
    <row r="134" spans="1:15" ht="15.75" customHeight="1">
      <c r="A134" s="193"/>
      <c r="B134" s="194" t="s">
        <v>83</v>
      </c>
      <c r="C134" s="195">
        <f t="shared" ref="C134:E134" si="229">C128-C133</f>
        <v>-155993</v>
      </c>
      <c r="D134" s="195">
        <f t="shared" si="229"/>
        <v>-34018</v>
      </c>
      <c r="E134" s="195">
        <f t="shared" si="229"/>
        <v>111603</v>
      </c>
      <c r="F134" s="98">
        <f t="shared" si="227"/>
        <v>-0.71543594904899577</v>
      </c>
      <c r="L134" s="240"/>
      <c r="M134" s="199"/>
      <c r="N134" s="199"/>
      <c r="O134" s="147"/>
    </row>
    <row r="135" spans="1:15" ht="9.75" customHeight="1">
      <c r="A135" s="242"/>
      <c r="B135" s="243"/>
      <c r="C135" s="243"/>
      <c r="D135" s="243"/>
      <c r="E135" s="243"/>
      <c r="F135" s="244"/>
    </row>
    <row r="136" spans="1:15" ht="15.75" customHeight="1">
      <c r="A136" s="185" t="s">
        <v>118</v>
      </c>
      <c r="B136" s="197" t="s">
        <v>28</v>
      </c>
      <c r="C136" s="187">
        <v>0</v>
      </c>
      <c r="D136" s="198">
        <f t="shared" ref="D136:D137" si="230">ROUND(C136*75%,0)</f>
        <v>0</v>
      </c>
      <c r="E136" s="187">
        <v>24067</v>
      </c>
      <c r="F136" s="98" t="e">
        <f t="shared" ref="F136:F137" si="231">E136/C136</f>
        <v>#DIV/0!</v>
      </c>
    </row>
    <row r="137" spans="1:15" ht="15.75" customHeight="1">
      <c r="A137" s="185" t="s">
        <v>112</v>
      </c>
      <c r="B137" s="197" t="s">
        <v>32</v>
      </c>
      <c r="C137" s="187">
        <v>293605</v>
      </c>
      <c r="D137" s="198">
        <f t="shared" si="230"/>
        <v>220204</v>
      </c>
      <c r="E137" s="187">
        <v>151143</v>
      </c>
      <c r="F137" s="163">
        <f t="shared" si="231"/>
        <v>0.51478346758399895</v>
      </c>
    </row>
    <row r="138" spans="1:15" ht="15.75" customHeight="1">
      <c r="A138" s="245"/>
      <c r="B138" s="199"/>
      <c r="C138" s="199"/>
      <c r="D138" s="246"/>
      <c r="E138" s="199"/>
      <c r="F138" s="247"/>
    </row>
    <row r="139" spans="1:15" ht="15.75" customHeight="1">
      <c r="A139" s="976"/>
      <c r="B139" s="977"/>
      <c r="C139" s="199"/>
      <c r="D139" s="199"/>
      <c r="E139" s="199"/>
      <c r="F139" s="247"/>
    </row>
    <row r="140" spans="1:15" ht="15.75" customHeight="1">
      <c r="A140" s="976"/>
      <c r="B140" s="977"/>
      <c r="C140" s="199"/>
      <c r="D140" s="199"/>
      <c r="E140" s="199"/>
      <c r="F140" s="247"/>
    </row>
    <row r="141" spans="1:15" ht="15.75" customHeight="1">
      <c r="A141" s="248"/>
      <c r="B141" s="248"/>
      <c r="C141" s="199"/>
      <c r="D141" s="199"/>
      <c r="E141" s="199"/>
      <c r="F141" s="247"/>
    </row>
    <row r="142" spans="1:15" ht="15.75" customHeight="1"/>
    <row r="143" spans="1:15" ht="15.75" customHeight="1"/>
    <row r="144" spans="1:1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3">
    <mergeCell ref="G111:G112"/>
    <mergeCell ref="G69:G73"/>
    <mergeCell ref="G75:G78"/>
    <mergeCell ref="G80:G84"/>
    <mergeCell ref="G86:G90"/>
    <mergeCell ref="G92:G95"/>
    <mergeCell ref="G97:G103"/>
    <mergeCell ref="G105:G106"/>
    <mergeCell ref="G48:G51"/>
    <mergeCell ref="G53:G55"/>
    <mergeCell ref="G57:G61"/>
    <mergeCell ref="G63:G67"/>
    <mergeCell ref="G96:L96"/>
    <mergeCell ref="A85:F85"/>
    <mergeCell ref="A91:F91"/>
    <mergeCell ref="A96:F96"/>
    <mergeCell ref="G107:G108"/>
    <mergeCell ref="G109:G110"/>
    <mergeCell ref="G28:G32"/>
    <mergeCell ref="G34:G35"/>
    <mergeCell ref="A28:A32"/>
    <mergeCell ref="A33:F33"/>
    <mergeCell ref="A34:A35"/>
    <mergeCell ref="A36:F36"/>
    <mergeCell ref="A37:A39"/>
    <mergeCell ref="A40:F40"/>
    <mergeCell ref="A44:F44"/>
    <mergeCell ref="G37:G39"/>
    <mergeCell ref="G41:G43"/>
    <mergeCell ref="A48:A51"/>
    <mergeCell ref="A53:A55"/>
    <mergeCell ref="A57:A61"/>
    <mergeCell ref="A63:A67"/>
    <mergeCell ref="A69:A73"/>
    <mergeCell ref="A47:F47"/>
    <mergeCell ref="A52:F52"/>
    <mergeCell ref="A56:F56"/>
    <mergeCell ref="A140:B140"/>
    <mergeCell ref="A75:A78"/>
    <mergeCell ref="A80:A84"/>
    <mergeCell ref="A86:A90"/>
    <mergeCell ref="A92:A95"/>
    <mergeCell ref="A97:A103"/>
    <mergeCell ref="A105:A106"/>
    <mergeCell ref="A107:A108"/>
    <mergeCell ref="A6:A9"/>
    <mergeCell ref="A10:F10"/>
    <mergeCell ref="A11:A12"/>
    <mergeCell ref="A13:F13"/>
    <mergeCell ref="A14:A15"/>
    <mergeCell ref="A16:F16"/>
    <mergeCell ref="A22:F22"/>
    <mergeCell ref="A74:F74"/>
    <mergeCell ref="A79:F79"/>
    <mergeCell ref="A109:A110"/>
    <mergeCell ref="A111:A112"/>
    <mergeCell ref="A115:A116"/>
    <mergeCell ref="A117:A118"/>
    <mergeCell ref="A123:A124"/>
    <mergeCell ref="B123:B124"/>
    <mergeCell ref="A139:B139"/>
    <mergeCell ref="A62:F62"/>
    <mergeCell ref="A68:F68"/>
    <mergeCell ref="G33:L33"/>
    <mergeCell ref="G36:L36"/>
    <mergeCell ref="G40:L40"/>
    <mergeCell ref="G44:L44"/>
    <mergeCell ref="M44:R44"/>
    <mergeCell ref="G47:L47"/>
    <mergeCell ref="M47:R47"/>
    <mergeCell ref="A41:A43"/>
    <mergeCell ref="A45:A46"/>
    <mergeCell ref="G45:G46"/>
    <mergeCell ref="M41:M43"/>
    <mergeCell ref="M45:M46"/>
    <mergeCell ref="M48:M51"/>
    <mergeCell ref="M10:R10"/>
    <mergeCell ref="M11:M12"/>
    <mergeCell ref="M13:R13"/>
    <mergeCell ref="M14:M15"/>
    <mergeCell ref="M16:R16"/>
    <mergeCell ref="A17:A21"/>
    <mergeCell ref="A23:A26"/>
    <mergeCell ref="A27:F27"/>
    <mergeCell ref="G10:L10"/>
    <mergeCell ref="G13:L13"/>
    <mergeCell ref="G16:L16"/>
    <mergeCell ref="G22:L22"/>
    <mergeCell ref="G23:G26"/>
    <mergeCell ref="M23:M26"/>
    <mergeCell ref="G27:L27"/>
    <mergeCell ref="G11:G12"/>
    <mergeCell ref="G14:G15"/>
    <mergeCell ref="G17:G21"/>
    <mergeCell ref="M17:M21"/>
    <mergeCell ref="M22:R22"/>
    <mergeCell ref="M27:R27"/>
    <mergeCell ref="G91:L91"/>
    <mergeCell ref="M91:R91"/>
    <mergeCell ref="M53:M55"/>
    <mergeCell ref="M57:M61"/>
    <mergeCell ref="G3:L3"/>
    <mergeCell ref="M3:R3"/>
    <mergeCell ref="A1:F1"/>
    <mergeCell ref="G1:L1"/>
    <mergeCell ref="M1:R1"/>
    <mergeCell ref="A2:F2"/>
    <mergeCell ref="G2:L2"/>
    <mergeCell ref="M2:R2"/>
    <mergeCell ref="A3:F3"/>
    <mergeCell ref="A4:A5"/>
    <mergeCell ref="B4:B5"/>
    <mergeCell ref="F4:F5"/>
    <mergeCell ref="H4:H5"/>
    <mergeCell ref="L4:L5"/>
    <mergeCell ref="M4:M5"/>
    <mergeCell ref="M6:M9"/>
    <mergeCell ref="N4:N5"/>
    <mergeCell ref="R4:R5"/>
    <mergeCell ref="G4:G5"/>
    <mergeCell ref="G6:G9"/>
    <mergeCell ref="G68:L68"/>
    <mergeCell ref="G74:L74"/>
    <mergeCell ref="M74:R74"/>
    <mergeCell ref="G79:L79"/>
    <mergeCell ref="M79:R79"/>
    <mergeCell ref="G85:L85"/>
    <mergeCell ref="M85:R85"/>
    <mergeCell ref="G52:L52"/>
    <mergeCell ref="M52:R52"/>
    <mergeCell ref="G56:L56"/>
    <mergeCell ref="M56:R56"/>
    <mergeCell ref="G62:L62"/>
    <mergeCell ref="M62:R62"/>
    <mergeCell ref="M68:R68"/>
    <mergeCell ref="M111:M112"/>
    <mergeCell ref="M63:M67"/>
    <mergeCell ref="M69:M73"/>
    <mergeCell ref="M75:M78"/>
    <mergeCell ref="M80:M84"/>
    <mergeCell ref="M86:M90"/>
    <mergeCell ref="M92:M95"/>
    <mergeCell ref="M97:M103"/>
    <mergeCell ref="M96:R96"/>
    <mergeCell ref="M28:M32"/>
    <mergeCell ref="M33:R33"/>
    <mergeCell ref="M34:M35"/>
    <mergeCell ref="M36:R36"/>
    <mergeCell ref="M37:M39"/>
    <mergeCell ref="M40:R40"/>
    <mergeCell ref="M105:M106"/>
    <mergeCell ref="M107:M108"/>
    <mergeCell ref="M109:M110"/>
  </mergeCells>
  <pageMargins left="0.7" right="0.7" top="0.75" bottom="0.75" header="0" footer="0"/>
  <pageSetup orientation="portrait"/>
  <rowBreaks count="3" manualBreakCount="3">
    <brk id="84" man="1"/>
    <brk id="121" man="1"/>
    <brk id="43" man="1"/>
  </rowBreaks>
  <colBreaks count="1" manualBreakCount="1">
    <brk id="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>
      <selection sqref="A1:F1"/>
    </sheetView>
  </sheetViews>
  <sheetFormatPr defaultColWidth="12.625" defaultRowHeight="15" customHeight="1"/>
  <cols>
    <col min="1" max="1" width="22.625" customWidth="1"/>
    <col min="2" max="2" width="17.25" customWidth="1"/>
    <col min="3" max="3" width="15.625" customWidth="1"/>
    <col min="4" max="4" width="1.75" hidden="1" customWidth="1"/>
    <col min="5" max="5" width="16.75" customWidth="1"/>
    <col min="6" max="6" width="14.625" customWidth="1"/>
    <col min="7" max="7" width="23.125" customWidth="1"/>
    <col min="8" max="8" width="17" customWidth="1"/>
    <col min="9" max="9" width="15.625" customWidth="1"/>
    <col min="10" max="10" width="13.375" hidden="1" customWidth="1"/>
    <col min="11" max="11" width="18.5" customWidth="1"/>
    <col min="12" max="12" width="17" customWidth="1"/>
    <col min="13" max="13" width="25.125" customWidth="1"/>
    <col min="14" max="14" width="15.5" customWidth="1"/>
    <col min="15" max="15" width="16.625" customWidth="1"/>
    <col min="16" max="16" width="0.25" hidden="1" customWidth="1"/>
    <col min="17" max="17" width="18.375" customWidth="1"/>
    <col min="18" max="18" width="14.625" customWidth="1"/>
    <col min="19" max="26" width="7.875" customWidth="1"/>
  </cols>
  <sheetData>
    <row r="1" spans="1:18" ht="21" customHeight="1">
      <c r="A1" s="979" t="s">
        <v>88</v>
      </c>
      <c r="B1" s="977"/>
      <c r="C1" s="977"/>
      <c r="D1" s="977"/>
      <c r="E1" s="977"/>
      <c r="F1" s="977"/>
      <c r="G1" s="979" t="str">
        <f>A1</f>
        <v xml:space="preserve">Capex review on OBG 2021-22 </v>
      </c>
      <c r="H1" s="977"/>
      <c r="I1" s="977"/>
      <c r="J1" s="977"/>
      <c r="K1" s="977"/>
      <c r="L1" s="977"/>
      <c r="M1" s="980" t="str">
        <f>G1</f>
        <v xml:space="preserve">Capex review on OBG 2021-22 </v>
      </c>
      <c r="N1" s="977"/>
      <c r="O1" s="977"/>
      <c r="P1" s="977"/>
      <c r="Q1" s="977"/>
      <c r="R1" s="977"/>
    </row>
    <row r="2" spans="1:18" ht="16.5" customHeight="1">
      <c r="A2" s="981" t="s">
        <v>123</v>
      </c>
      <c r="B2" s="928"/>
      <c r="C2" s="928"/>
      <c r="D2" s="928"/>
      <c r="E2" s="928"/>
      <c r="F2" s="955"/>
      <c r="G2" s="981" t="s">
        <v>124</v>
      </c>
      <c r="H2" s="928"/>
      <c r="I2" s="928"/>
      <c r="J2" s="928"/>
      <c r="K2" s="928"/>
      <c r="L2" s="955"/>
      <c r="M2" s="981" t="s">
        <v>125</v>
      </c>
      <c r="N2" s="928"/>
      <c r="O2" s="928"/>
      <c r="P2" s="928"/>
      <c r="Q2" s="928"/>
      <c r="R2" s="955"/>
    </row>
    <row r="3" spans="1:18" ht="48" customHeight="1">
      <c r="A3" s="968" t="s">
        <v>126</v>
      </c>
      <c r="B3" s="968" t="s">
        <v>7</v>
      </c>
      <c r="C3" s="89" t="s">
        <v>92</v>
      </c>
      <c r="D3" s="89" t="s">
        <v>93</v>
      </c>
      <c r="E3" s="90" t="s">
        <v>127</v>
      </c>
      <c r="F3" s="969" t="s">
        <v>128</v>
      </c>
      <c r="G3" s="968" t="s">
        <v>129</v>
      </c>
      <c r="H3" s="968" t="s">
        <v>7</v>
      </c>
      <c r="I3" s="89" t="str">
        <f t="shared" ref="I3:K3" si="0">C3</f>
        <v xml:space="preserve">OBG 2021-22 </v>
      </c>
      <c r="J3" s="89" t="str">
        <f t="shared" si="0"/>
        <v>Spending Limit 2021-22 ( S L)</v>
      </c>
      <c r="K3" s="91" t="str">
        <f t="shared" si="0"/>
        <v>Actual Exp. up to July-2021</v>
      </c>
      <c r="L3" s="969" t="s">
        <v>128</v>
      </c>
      <c r="M3" s="968" t="s">
        <v>130</v>
      </c>
      <c r="N3" s="968" t="s">
        <v>7</v>
      </c>
      <c r="O3" s="89" t="str">
        <f t="shared" ref="O3:Q3" si="1">C3</f>
        <v xml:space="preserve">OBG 2021-22 </v>
      </c>
      <c r="P3" s="89" t="str">
        <f t="shared" si="1"/>
        <v>Spending Limit 2021-22 ( S L)</v>
      </c>
      <c r="Q3" s="91" t="str">
        <f t="shared" si="1"/>
        <v>Actual Exp. up to July-2021</v>
      </c>
      <c r="R3" s="969" t="s">
        <v>128</v>
      </c>
    </row>
    <row r="4" spans="1:18" ht="16.5" customHeight="1">
      <c r="A4" s="949"/>
      <c r="B4" s="949"/>
      <c r="C4" s="92" t="s">
        <v>19</v>
      </c>
      <c r="D4" s="92" t="s">
        <v>19</v>
      </c>
      <c r="E4" s="93" t="s">
        <v>19</v>
      </c>
      <c r="F4" s="934"/>
      <c r="G4" s="949"/>
      <c r="H4" s="949"/>
      <c r="I4" s="94" t="s">
        <v>19</v>
      </c>
      <c r="J4" s="92" t="s">
        <v>19</v>
      </c>
      <c r="K4" s="93" t="s">
        <v>19</v>
      </c>
      <c r="L4" s="958"/>
      <c r="M4" s="949"/>
      <c r="N4" s="949"/>
      <c r="O4" s="92" t="s">
        <v>19</v>
      </c>
      <c r="P4" s="92" t="s">
        <v>19</v>
      </c>
      <c r="Q4" s="93" t="s">
        <v>19</v>
      </c>
      <c r="R4" s="958"/>
    </row>
    <row r="5" spans="1:18" ht="15.75" customHeight="1">
      <c r="A5" s="951" t="s">
        <v>97</v>
      </c>
      <c r="B5" s="95" t="s">
        <v>21</v>
      </c>
      <c r="C5" s="96">
        <v>10001</v>
      </c>
      <c r="D5" s="95">
        <f t="shared" ref="D5:D6" si="2">C5</f>
        <v>10001</v>
      </c>
      <c r="E5" s="97">
        <v>850</v>
      </c>
      <c r="F5" s="98">
        <f>E5/C5</f>
        <v>8.4991500849915011E-2</v>
      </c>
      <c r="G5" s="951" t="s">
        <v>97</v>
      </c>
      <c r="H5" s="95" t="s">
        <v>21</v>
      </c>
      <c r="I5" s="96">
        <v>10001</v>
      </c>
      <c r="J5" s="95">
        <f t="shared" ref="J5:J6" si="3">I5</f>
        <v>10001</v>
      </c>
      <c r="K5" s="97">
        <v>850</v>
      </c>
      <c r="L5" s="98">
        <f>K5/I5</f>
        <v>8.4991500849915011E-2</v>
      </c>
      <c r="M5" s="951" t="s">
        <v>97</v>
      </c>
      <c r="N5" s="99" t="s">
        <v>21</v>
      </c>
      <c r="O5" s="95">
        <f t="shared" ref="O5:Q5" si="4">C5-I5</f>
        <v>0</v>
      </c>
      <c r="P5" s="95">
        <f t="shared" si="4"/>
        <v>0</v>
      </c>
      <c r="Q5" s="100">
        <f t="shared" si="4"/>
        <v>0</v>
      </c>
      <c r="R5" s="101"/>
    </row>
    <row r="6" spans="1:18">
      <c r="A6" s="952"/>
      <c r="B6" s="102" t="s">
        <v>22</v>
      </c>
      <c r="C6" s="103">
        <v>0</v>
      </c>
      <c r="D6" s="102">
        <f t="shared" si="2"/>
        <v>0</v>
      </c>
      <c r="E6" s="104">
        <v>0</v>
      </c>
      <c r="F6" s="105">
        <v>0</v>
      </c>
      <c r="G6" s="952"/>
      <c r="H6" s="102" t="s">
        <v>22</v>
      </c>
      <c r="I6" s="103">
        <v>0</v>
      </c>
      <c r="J6" s="102">
        <f t="shared" si="3"/>
        <v>0</v>
      </c>
      <c r="K6" s="104">
        <v>0</v>
      </c>
      <c r="L6" s="105">
        <v>0</v>
      </c>
      <c r="M6" s="952"/>
      <c r="N6" s="106" t="s">
        <v>22</v>
      </c>
      <c r="O6" s="102">
        <f t="shared" ref="O6:Q6" si="5">C6-I6</f>
        <v>0</v>
      </c>
      <c r="P6" s="102">
        <f t="shared" si="5"/>
        <v>0</v>
      </c>
      <c r="Q6" s="107">
        <f t="shared" si="5"/>
        <v>0</v>
      </c>
      <c r="R6" s="101"/>
    </row>
    <row r="7" spans="1:18">
      <c r="A7" s="952"/>
      <c r="B7" s="102" t="s">
        <v>40</v>
      </c>
      <c r="C7" s="108">
        <v>2</v>
      </c>
      <c r="D7" s="109"/>
      <c r="E7" s="110">
        <v>424</v>
      </c>
      <c r="F7" s="105">
        <f t="shared" ref="F7:F8" si="6">E7/C7</f>
        <v>212</v>
      </c>
      <c r="G7" s="952"/>
      <c r="H7" s="102" t="s">
        <v>40</v>
      </c>
      <c r="I7" s="108">
        <v>2</v>
      </c>
      <c r="J7" s="109"/>
      <c r="K7" s="110">
        <v>424</v>
      </c>
      <c r="L7" s="105">
        <f t="shared" ref="L7:L8" si="7">K7/I7</f>
        <v>212</v>
      </c>
      <c r="M7" s="952"/>
      <c r="N7" s="102" t="s">
        <v>40</v>
      </c>
      <c r="O7" s="102">
        <f t="shared" ref="O7:Q7" si="8">C7-I7</f>
        <v>0</v>
      </c>
      <c r="P7" s="102">
        <f t="shared" si="8"/>
        <v>0</v>
      </c>
      <c r="Q7" s="107">
        <f t="shared" si="8"/>
        <v>0</v>
      </c>
      <c r="R7" s="101"/>
    </row>
    <row r="8" spans="1:18" ht="15.75">
      <c r="A8" s="953"/>
      <c r="B8" s="113" t="s">
        <v>25</v>
      </c>
      <c r="C8" s="114">
        <f t="shared" ref="C8:E8" si="9">SUM(C5:C7)</f>
        <v>10003</v>
      </c>
      <c r="D8" s="115">
        <f t="shared" si="9"/>
        <v>10001</v>
      </c>
      <c r="E8" s="115">
        <f t="shared" si="9"/>
        <v>1274</v>
      </c>
      <c r="F8" s="116">
        <f t="shared" si="6"/>
        <v>0.12736179146256124</v>
      </c>
      <c r="G8" s="953"/>
      <c r="H8" s="113" t="s">
        <v>25</v>
      </c>
      <c r="I8" s="114">
        <f t="shared" ref="I8:K8" si="10">SUM(I5:I7)</f>
        <v>10003</v>
      </c>
      <c r="J8" s="115">
        <f t="shared" si="10"/>
        <v>10001</v>
      </c>
      <c r="K8" s="115">
        <f t="shared" si="10"/>
        <v>1274</v>
      </c>
      <c r="L8" s="116">
        <f t="shared" si="7"/>
        <v>0.12736179146256124</v>
      </c>
      <c r="M8" s="953"/>
      <c r="N8" s="117" t="s">
        <v>25</v>
      </c>
      <c r="O8" s="118">
        <f t="shared" ref="O8:Q8" si="11">SUM(O5:O6)</f>
        <v>0</v>
      </c>
      <c r="P8" s="118">
        <f t="shared" si="11"/>
        <v>0</v>
      </c>
      <c r="Q8" s="118">
        <f t="shared" si="11"/>
        <v>0</v>
      </c>
      <c r="R8" s="101"/>
    </row>
    <row r="9" spans="1:18" ht="15.75">
      <c r="A9" s="954"/>
      <c r="B9" s="928"/>
      <c r="C9" s="928"/>
      <c r="D9" s="928"/>
      <c r="E9" s="928"/>
      <c r="F9" s="955"/>
      <c r="G9" s="954"/>
      <c r="H9" s="928"/>
      <c r="I9" s="928"/>
      <c r="J9" s="928"/>
      <c r="K9" s="928"/>
      <c r="L9" s="955"/>
      <c r="M9" s="954"/>
      <c r="N9" s="928"/>
      <c r="O9" s="928"/>
      <c r="P9" s="928"/>
      <c r="Q9" s="928"/>
      <c r="R9" s="955"/>
    </row>
    <row r="10" spans="1:18" ht="15.75" customHeight="1">
      <c r="A10" s="951" t="s">
        <v>26</v>
      </c>
      <c r="B10" s="119" t="s">
        <v>21</v>
      </c>
      <c r="C10" s="119">
        <f>260001+1550000</f>
        <v>1810001</v>
      </c>
      <c r="D10" s="119">
        <f>C10</f>
        <v>1810001</v>
      </c>
      <c r="E10" s="120">
        <v>347580</v>
      </c>
      <c r="F10" s="98">
        <f t="shared" ref="F10:F11" si="12">E10/C10</f>
        <v>0.19203304307566682</v>
      </c>
      <c r="G10" s="951" t="s">
        <v>26</v>
      </c>
      <c r="H10" s="119" t="s">
        <v>21</v>
      </c>
      <c r="I10" s="119">
        <v>1810001</v>
      </c>
      <c r="J10" s="119">
        <f>I10</f>
        <v>1810001</v>
      </c>
      <c r="K10" s="120">
        <v>347580</v>
      </c>
      <c r="L10" s="98">
        <f t="shared" ref="L10:L11" si="13">K10/I10</f>
        <v>0.19203304307566682</v>
      </c>
      <c r="M10" s="951" t="s">
        <v>26</v>
      </c>
      <c r="N10" s="119" t="s">
        <v>21</v>
      </c>
      <c r="O10" s="102">
        <f t="shared" ref="O10:Q10" si="14">C10-I10</f>
        <v>0</v>
      </c>
      <c r="P10" s="102">
        <f t="shared" si="14"/>
        <v>0</v>
      </c>
      <c r="Q10" s="107">
        <f t="shared" si="14"/>
        <v>0</v>
      </c>
      <c r="R10" s="105"/>
    </row>
    <row r="11" spans="1:18" ht="15.75">
      <c r="A11" s="953"/>
      <c r="B11" s="118" t="s">
        <v>25</v>
      </c>
      <c r="C11" s="118">
        <f t="shared" ref="C11:E11" si="15">SUM(C10)</f>
        <v>1810001</v>
      </c>
      <c r="D11" s="118">
        <f t="shared" si="15"/>
        <v>1810001</v>
      </c>
      <c r="E11" s="121">
        <f t="shared" si="15"/>
        <v>347580</v>
      </c>
      <c r="F11" s="116">
        <f t="shared" si="12"/>
        <v>0.19203304307566682</v>
      </c>
      <c r="G11" s="953"/>
      <c r="H11" s="118" t="s">
        <v>25</v>
      </c>
      <c r="I11" s="118">
        <f t="shared" ref="I11:K11" si="16">SUM(I10)</f>
        <v>1810001</v>
      </c>
      <c r="J11" s="118">
        <f t="shared" si="16"/>
        <v>1810001</v>
      </c>
      <c r="K11" s="121">
        <f t="shared" si="16"/>
        <v>347580</v>
      </c>
      <c r="L11" s="116">
        <f t="shared" si="13"/>
        <v>0.19203304307566682</v>
      </c>
      <c r="M11" s="953"/>
      <c r="N11" s="118" t="s">
        <v>25</v>
      </c>
      <c r="O11" s="118">
        <f t="shared" ref="O11:Q11" si="17">SUM(O10)</f>
        <v>0</v>
      </c>
      <c r="P11" s="118">
        <f t="shared" si="17"/>
        <v>0</v>
      </c>
      <c r="Q11" s="118">
        <f t="shared" si="17"/>
        <v>0</v>
      </c>
      <c r="R11" s="105"/>
    </row>
    <row r="12" spans="1:18" ht="15.75">
      <c r="A12" s="954"/>
      <c r="B12" s="928"/>
      <c r="C12" s="928"/>
      <c r="D12" s="928"/>
      <c r="E12" s="928"/>
      <c r="F12" s="955"/>
      <c r="G12" s="954"/>
      <c r="H12" s="928"/>
      <c r="I12" s="928"/>
      <c r="J12" s="928"/>
      <c r="K12" s="928"/>
      <c r="L12" s="955"/>
      <c r="M12" s="954"/>
      <c r="N12" s="928"/>
      <c r="O12" s="928"/>
      <c r="P12" s="928"/>
      <c r="Q12" s="928"/>
      <c r="R12" s="955"/>
    </row>
    <row r="13" spans="1:18">
      <c r="A13" s="948" t="s">
        <v>27</v>
      </c>
      <c r="B13" s="95" t="s">
        <v>21</v>
      </c>
      <c r="C13" s="99">
        <f>6780400+5379400</f>
        <v>12159800</v>
      </c>
      <c r="D13" s="99">
        <f>C13</f>
        <v>12159800</v>
      </c>
      <c r="E13" s="97">
        <v>38142</v>
      </c>
      <c r="F13" s="98">
        <f t="shared" ref="F13:F14" si="18">E13/C13</f>
        <v>3.1367292225201074E-3</v>
      </c>
      <c r="G13" s="948" t="s">
        <v>27</v>
      </c>
      <c r="H13" s="95" t="s">
        <v>21</v>
      </c>
      <c r="I13" s="99">
        <f>5600400+6479400</f>
        <v>12079800</v>
      </c>
      <c r="J13" s="99">
        <f>I13</f>
        <v>12079800</v>
      </c>
      <c r="K13" s="97">
        <v>38142</v>
      </c>
      <c r="L13" s="98">
        <f t="shared" ref="L13:L14" si="19">K13/I13</f>
        <v>3.1575026076590671E-3</v>
      </c>
      <c r="M13" s="948" t="s">
        <v>27</v>
      </c>
      <c r="N13" s="95" t="s">
        <v>21</v>
      </c>
      <c r="O13" s="102">
        <f t="shared" ref="O13:Q13" si="20">C13-I13</f>
        <v>80000</v>
      </c>
      <c r="P13" s="102">
        <f t="shared" si="20"/>
        <v>80000</v>
      </c>
      <c r="Q13" s="107">
        <f t="shared" si="20"/>
        <v>0</v>
      </c>
      <c r="R13" s="105">
        <f>Q13/O13</f>
        <v>0</v>
      </c>
    </row>
    <row r="14" spans="1:18" ht="15.75">
      <c r="A14" s="950"/>
      <c r="B14" s="118" t="s">
        <v>25</v>
      </c>
      <c r="C14" s="115">
        <f t="shared" ref="C14:E14" si="21">SUM(C13)</f>
        <v>12159800</v>
      </c>
      <c r="D14" s="115">
        <f t="shared" si="21"/>
        <v>12159800</v>
      </c>
      <c r="E14" s="121">
        <f t="shared" si="21"/>
        <v>38142</v>
      </c>
      <c r="F14" s="116">
        <f t="shared" si="18"/>
        <v>3.1367292225201074E-3</v>
      </c>
      <c r="G14" s="950"/>
      <c r="H14" s="118" t="s">
        <v>25</v>
      </c>
      <c r="I14" s="115">
        <f t="shared" ref="I14:J14" si="22">SUM(I13)</f>
        <v>12079800</v>
      </c>
      <c r="J14" s="115">
        <f t="shared" si="22"/>
        <v>12079800</v>
      </c>
      <c r="K14" s="121">
        <v>38142</v>
      </c>
      <c r="L14" s="116">
        <f t="shared" si="19"/>
        <v>3.1575026076590671E-3</v>
      </c>
      <c r="M14" s="950"/>
      <c r="N14" s="118" t="s">
        <v>25</v>
      </c>
      <c r="O14" s="115">
        <f t="shared" ref="O14:Q14" si="23">SUM(O13)</f>
        <v>80000</v>
      </c>
      <c r="P14" s="115">
        <f t="shared" si="23"/>
        <v>80000</v>
      </c>
      <c r="Q14" s="115">
        <f t="shared" si="23"/>
        <v>0</v>
      </c>
      <c r="R14" s="105">
        <f>Q14/P14</f>
        <v>0</v>
      </c>
    </row>
    <row r="15" spans="1:18" ht="15.75">
      <c r="A15" s="954"/>
      <c r="B15" s="928"/>
      <c r="C15" s="928"/>
      <c r="D15" s="928"/>
      <c r="E15" s="928"/>
      <c r="F15" s="955"/>
      <c r="G15" s="954"/>
      <c r="H15" s="928"/>
      <c r="I15" s="928"/>
      <c r="J15" s="928"/>
      <c r="K15" s="928"/>
      <c r="L15" s="955"/>
      <c r="M15" s="954"/>
      <c r="N15" s="928"/>
      <c r="O15" s="928"/>
      <c r="P15" s="928"/>
      <c r="Q15" s="928"/>
      <c r="R15" s="955"/>
    </row>
    <row r="16" spans="1:18" ht="15.75" customHeight="1">
      <c r="A16" s="948" t="s">
        <v>30</v>
      </c>
      <c r="B16" s="95" t="s">
        <v>21</v>
      </c>
      <c r="C16" s="99">
        <f>150003+514200</f>
        <v>664203</v>
      </c>
      <c r="D16" s="99">
        <f>C16</f>
        <v>664203</v>
      </c>
      <c r="E16" s="97">
        <v>105894</v>
      </c>
      <c r="F16" s="98">
        <f>E16/C16</f>
        <v>0.15943017420878858</v>
      </c>
      <c r="G16" s="948" t="s">
        <v>30</v>
      </c>
      <c r="H16" s="95" t="s">
        <v>21</v>
      </c>
      <c r="I16" s="99">
        <v>443504</v>
      </c>
      <c r="J16" s="99">
        <f>I16</f>
        <v>443504</v>
      </c>
      <c r="K16" s="97">
        <v>49570</v>
      </c>
      <c r="L16" s="98">
        <f>K16/I16</f>
        <v>0.11176900321079404</v>
      </c>
      <c r="M16" s="948" t="s">
        <v>30</v>
      </c>
      <c r="N16" s="95" t="s">
        <v>21</v>
      </c>
      <c r="O16" s="102">
        <f t="shared" ref="O16:Q16" si="24">C16-I16</f>
        <v>220699</v>
      </c>
      <c r="P16" s="102">
        <f t="shared" si="24"/>
        <v>220699</v>
      </c>
      <c r="Q16" s="107">
        <f t="shared" si="24"/>
        <v>56324</v>
      </c>
      <c r="R16" s="105">
        <v>0</v>
      </c>
    </row>
    <row r="17" spans="1:18">
      <c r="A17" s="949"/>
      <c r="B17" s="102" t="s">
        <v>28</v>
      </c>
      <c r="C17" s="106">
        <v>0</v>
      </c>
      <c r="D17" s="106">
        <f t="shared" ref="D17:D18" si="25">SUM(ROUND(C17*50%,0))</f>
        <v>0</v>
      </c>
      <c r="E17" s="104">
        <v>256</v>
      </c>
      <c r="F17" s="105">
        <v>0</v>
      </c>
      <c r="G17" s="949"/>
      <c r="H17" s="102" t="s">
        <v>28</v>
      </c>
      <c r="I17" s="106">
        <v>0</v>
      </c>
      <c r="J17" s="106">
        <f t="shared" ref="J17:J18" si="26">SUM(ROUND(I17*50%,0))</f>
        <v>0</v>
      </c>
      <c r="K17" s="104">
        <v>0</v>
      </c>
      <c r="L17" s="105">
        <v>0</v>
      </c>
      <c r="M17" s="949"/>
      <c r="N17" s="102" t="s">
        <v>28</v>
      </c>
      <c r="O17" s="102">
        <f t="shared" ref="O17:Q17" si="27">C17-I17</f>
        <v>0</v>
      </c>
      <c r="P17" s="102">
        <f t="shared" si="27"/>
        <v>0</v>
      </c>
      <c r="Q17" s="107">
        <f t="shared" si="27"/>
        <v>256</v>
      </c>
      <c r="R17" s="105">
        <v>0</v>
      </c>
    </row>
    <row r="18" spans="1:18">
      <c r="A18" s="949"/>
      <c r="B18" s="102" t="s">
        <v>31</v>
      </c>
      <c r="C18" s="106">
        <v>100039</v>
      </c>
      <c r="D18" s="106">
        <f t="shared" si="25"/>
        <v>50020</v>
      </c>
      <c r="E18" s="104">
        <v>53411</v>
      </c>
      <c r="F18" s="105">
        <f t="shared" ref="F18:F20" si="28">E18/C18</f>
        <v>0.53390177830646046</v>
      </c>
      <c r="G18" s="949"/>
      <c r="H18" s="102" t="s">
        <v>31</v>
      </c>
      <c r="I18" s="106">
        <f>50026+50001</f>
        <v>100027</v>
      </c>
      <c r="J18" s="106">
        <f t="shared" si="26"/>
        <v>50014</v>
      </c>
      <c r="K18" s="104">
        <f>15823+22810</f>
        <v>38633</v>
      </c>
      <c r="L18" s="105">
        <f t="shared" ref="L18:L20" si="29">K18/I18</f>
        <v>0.3862257190558549</v>
      </c>
      <c r="M18" s="949"/>
      <c r="N18" s="102" t="s">
        <v>31</v>
      </c>
      <c r="O18" s="102">
        <f t="shared" ref="O18:Q18" si="30">C18-I18</f>
        <v>12</v>
      </c>
      <c r="P18" s="102">
        <f t="shared" si="30"/>
        <v>6</v>
      </c>
      <c r="Q18" s="107">
        <f t="shared" si="30"/>
        <v>14778</v>
      </c>
      <c r="R18" s="105">
        <f>Q18/O18</f>
        <v>1231.5</v>
      </c>
    </row>
    <row r="19" spans="1:18">
      <c r="A19" s="949"/>
      <c r="B19" s="122" t="s">
        <v>32</v>
      </c>
      <c r="C19" s="123">
        <v>2</v>
      </c>
      <c r="D19" s="106">
        <f>SUM(ROUND(C19*75%,0))</f>
        <v>2</v>
      </c>
      <c r="E19" s="104">
        <v>19820</v>
      </c>
      <c r="F19" s="105">
        <f t="shared" si="28"/>
        <v>9910</v>
      </c>
      <c r="G19" s="949"/>
      <c r="H19" s="122" t="s">
        <v>32</v>
      </c>
      <c r="I19" s="123">
        <f>2</f>
        <v>2</v>
      </c>
      <c r="J19" s="106">
        <f>SUM(ROUND(I19*75%,0))</f>
        <v>2</v>
      </c>
      <c r="K19" s="104">
        <v>6831</v>
      </c>
      <c r="L19" s="105">
        <f t="shared" si="29"/>
        <v>3415.5</v>
      </c>
      <c r="M19" s="949"/>
      <c r="N19" s="122" t="s">
        <v>32</v>
      </c>
      <c r="O19" s="102">
        <f t="shared" ref="O19:Q19" si="31">C19-I19</f>
        <v>0</v>
      </c>
      <c r="P19" s="102">
        <f t="shared" si="31"/>
        <v>0</v>
      </c>
      <c r="Q19" s="107">
        <f t="shared" si="31"/>
        <v>12989</v>
      </c>
      <c r="R19" s="105">
        <v>0</v>
      </c>
    </row>
    <row r="20" spans="1:18" ht="15.75">
      <c r="A20" s="950"/>
      <c r="B20" s="118" t="s">
        <v>25</v>
      </c>
      <c r="C20" s="115">
        <f t="shared" ref="C20:E20" si="32">SUM(C16:C19)</f>
        <v>764244</v>
      </c>
      <c r="D20" s="115">
        <f t="shared" si="32"/>
        <v>714225</v>
      </c>
      <c r="E20" s="121">
        <f t="shared" si="32"/>
        <v>179381</v>
      </c>
      <c r="F20" s="116">
        <f t="shared" si="28"/>
        <v>0.23471692286756585</v>
      </c>
      <c r="G20" s="950"/>
      <c r="H20" s="118" t="s">
        <v>25</v>
      </c>
      <c r="I20" s="115">
        <f t="shared" ref="I20:K20" si="33">SUM(I16:I19)</f>
        <v>543533</v>
      </c>
      <c r="J20" s="115">
        <f t="shared" si="33"/>
        <v>493520</v>
      </c>
      <c r="K20" s="121">
        <f t="shared" si="33"/>
        <v>95034</v>
      </c>
      <c r="L20" s="116">
        <f t="shared" si="29"/>
        <v>0.1748449496166746</v>
      </c>
      <c r="M20" s="950"/>
      <c r="N20" s="118" t="s">
        <v>25</v>
      </c>
      <c r="O20" s="115">
        <f t="shared" ref="O20:Q20" si="34">SUM(O16:O19)</f>
        <v>220711</v>
      </c>
      <c r="P20" s="115">
        <f t="shared" si="34"/>
        <v>220705</v>
      </c>
      <c r="Q20" s="115">
        <f t="shared" si="34"/>
        <v>84347</v>
      </c>
      <c r="R20" s="105">
        <f>Q20/O20</f>
        <v>0.3821603816755848</v>
      </c>
    </row>
    <row r="21" spans="1:18" ht="15.75" customHeight="1">
      <c r="A21" s="954"/>
      <c r="B21" s="928"/>
      <c r="C21" s="928"/>
      <c r="D21" s="928"/>
      <c r="E21" s="928"/>
      <c r="F21" s="955"/>
      <c r="G21" s="954"/>
      <c r="H21" s="928"/>
      <c r="I21" s="928"/>
      <c r="J21" s="928"/>
      <c r="K21" s="928"/>
      <c r="L21" s="955"/>
      <c r="M21" s="954"/>
      <c r="N21" s="928"/>
      <c r="O21" s="928"/>
      <c r="P21" s="928"/>
      <c r="Q21" s="928"/>
      <c r="R21" s="955"/>
    </row>
    <row r="22" spans="1:18" ht="15.75" customHeight="1">
      <c r="A22" s="948" t="s">
        <v>34</v>
      </c>
      <c r="B22" s="95" t="s">
        <v>21</v>
      </c>
      <c r="C22" s="99">
        <v>5000</v>
      </c>
      <c r="D22" s="99">
        <f>C22</f>
        <v>5000</v>
      </c>
      <c r="E22" s="97">
        <v>0</v>
      </c>
      <c r="F22" s="98">
        <f t="shared" ref="F22:F25" si="35">E22/C22</f>
        <v>0</v>
      </c>
      <c r="G22" s="948" t="s">
        <v>34</v>
      </c>
      <c r="H22" s="95" t="s">
        <v>21</v>
      </c>
      <c r="I22" s="99">
        <v>0</v>
      </c>
      <c r="J22" s="99">
        <f>I22</f>
        <v>0</v>
      </c>
      <c r="K22" s="97">
        <v>0</v>
      </c>
      <c r="L22" s="98">
        <v>0</v>
      </c>
      <c r="M22" s="948" t="s">
        <v>34</v>
      </c>
      <c r="N22" s="95" t="s">
        <v>21</v>
      </c>
      <c r="O22" s="102">
        <f t="shared" ref="O22:Q22" si="36">C22-I22</f>
        <v>5000</v>
      </c>
      <c r="P22" s="102">
        <f t="shared" si="36"/>
        <v>5000</v>
      </c>
      <c r="Q22" s="107">
        <f t="shared" si="36"/>
        <v>0</v>
      </c>
      <c r="R22" s="105">
        <f t="shared" ref="R22:R25" si="37">Q22/O22</f>
        <v>0</v>
      </c>
    </row>
    <row r="23" spans="1:18" ht="15.75" customHeight="1">
      <c r="A23" s="949"/>
      <c r="B23" s="102" t="s">
        <v>28</v>
      </c>
      <c r="C23" s="106">
        <v>30000</v>
      </c>
      <c r="D23" s="106">
        <f t="shared" ref="D23:D24" si="38">SUM(ROUND(C23*50%,0))</f>
        <v>15000</v>
      </c>
      <c r="E23" s="104">
        <v>0</v>
      </c>
      <c r="F23" s="105">
        <f t="shared" si="35"/>
        <v>0</v>
      </c>
      <c r="G23" s="949"/>
      <c r="H23" s="102" t="s">
        <v>28</v>
      </c>
      <c r="I23" s="106">
        <v>0</v>
      </c>
      <c r="J23" s="106">
        <f t="shared" ref="J23:J24" si="39">SUM(ROUND(I23*50%,0))</f>
        <v>0</v>
      </c>
      <c r="K23" s="104">
        <v>0</v>
      </c>
      <c r="L23" s="105">
        <v>0</v>
      </c>
      <c r="M23" s="949"/>
      <c r="N23" s="102" t="s">
        <v>28</v>
      </c>
      <c r="O23" s="102">
        <f t="shared" ref="O23:Q23" si="40">C23-I23</f>
        <v>30000</v>
      </c>
      <c r="P23" s="102">
        <f t="shared" si="40"/>
        <v>15000</v>
      </c>
      <c r="Q23" s="107">
        <f t="shared" si="40"/>
        <v>0</v>
      </c>
      <c r="R23" s="105">
        <f t="shared" si="37"/>
        <v>0</v>
      </c>
    </row>
    <row r="24" spans="1:18" ht="15.75" customHeight="1">
      <c r="A24" s="949"/>
      <c r="B24" s="102" t="s">
        <v>31</v>
      </c>
      <c r="C24" s="106">
        <v>104</v>
      </c>
      <c r="D24" s="106">
        <f t="shared" si="38"/>
        <v>52</v>
      </c>
      <c r="E24" s="104">
        <v>117</v>
      </c>
      <c r="F24" s="105">
        <f t="shared" si="35"/>
        <v>1.125</v>
      </c>
      <c r="G24" s="949"/>
      <c r="H24" s="102" t="s">
        <v>31</v>
      </c>
      <c r="I24" s="106">
        <v>0</v>
      </c>
      <c r="J24" s="106">
        <f t="shared" si="39"/>
        <v>0</v>
      </c>
      <c r="K24" s="104">
        <v>0</v>
      </c>
      <c r="L24" s="105">
        <v>0</v>
      </c>
      <c r="M24" s="949"/>
      <c r="N24" s="102" t="s">
        <v>31</v>
      </c>
      <c r="O24" s="102">
        <f t="shared" ref="O24:Q24" si="41">C24-I24</f>
        <v>104</v>
      </c>
      <c r="P24" s="102">
        <f t="shared" si="41"/>
        <v>52</v>
      </c>
      <c r="Q24" s="107">
        <f t="shared" si="41"/>
        <v>117</v>
      </c>
      <c r="R24" s="105">
        <f t="shared" si="37"/>
        <v>1.125</v>
      </c>
    </row>
    <row r="25" spans="1:18" ht="15.75" customHeight="1">
      <c r="A25" s="950"/>
      <c r="B25" s="118" t="s">
        <v>25</v>
      </c>
      <c r="C25" s="115">
        <f t="shared" ref="C25:E25" si="42">SUM(C22:C24)</f>
        <v>35104</v>
      </c>
      <c r="D25" s="115">
        <f t="shared" si="42"/>
        <v>20052</v>
      </c>
      <c r="E25" s="121">
        <f t="shared" si="42"/>
        <v>117</v>
      </c>
      <c r="F25" s="116">
        <f t="shared" si="35"/>
        <v>3.3329535095715586E-3</v>
      </c>
      <c r="G25" s="950"/>
      <c r="H25" s="118" t="s">
        <v>25</v>
      </c>
      <c r="I25" s="115">
        <f t="shared" ref="I25:K25" si="43">SUM(I22:I24)</f>
        <v>0</v>
      </c>
      <c r="J25" s="115">
        <f t="shared" si="43"/>
        <v>0</v>
      </c>
      <c r="K25" s="121">
        <f t="shared" si="43"/>
        <v>0</v>
      </c>
      <c r="L25" s="116">
        <v>0</v>
      </c>
      <c r="M25" s="950"/>
      <c r="N25" s="118" t="s">
        <v>25</v>
      </c>
      <c r="O25" s="115">
        <f t="shared" ref="O25:Q25" si="44">SUM(O22:O24)</f>
        <v>35104</v>
      </c>
      <c r="P25" s="115">
        <f t="shared" si="44"/>
        <v>20052</v>
      </c>
      <c r="Q25" s="115">
        <f t="shared" si="44"/>
        <v>117</v>
      </c>
      <c r="R25" s="105">
        <f t="shared" si="37"/>
        <v>3.3329535095715586E-3</v>
      </c>
    </row>
    <row r="26" spans="1:18" ht="15.75" customHeight="1">
      <c r="A26" s="954"/>
      <c r="B26" s="928"/>
      <c r="C26" s="928"/>
      <c r="D26" s="928"/>
      <c r="E26" s="928"/>
      <c r="F26" s="955"/>
      <c r="G26" s="954"/>
      <c r="H26" s="928"/>
      <c r="I26" s="928"/>
      <c r="J26" s="928"/>
      <c r="K26" s="928"/>
      <c r="L26" s="955"/>
      <c r="M26" s="954"/>
      <c r="N26" s="928"/>
      <c r="O26" s="928"/>
      <c r="P26" s="928"/>
      <c r="Q26" s="928"/>
      <c r="R26" s="955"/>
    </row>
    <row r="27" spans="1:18" ht="15.75" customHeight="1">
      <c r="A27" s="948" t="s">
        <v>98</v>
      </c>
      <c r="B27" s="95" t="s">
        <v>21</v>
      </c>
      <c r="C27" s="99">
        <v>17001</v>
      </c>
      <c r="D27" s="99">
        <f>C27</f>
        <v>17001</v>
      </c>
      <c r="E27" s="97">
        <v>10349</v>
      </c>
      <c r="F27" s="98">
        <f>E27/C27</f>
        <v>0.60872889830010002</v>
      </c>
      <c r="G27" s="948" t="s">
        <v>98</v>
      </c>
      <c r="H27" s="95" t="s">
        <v>21</v>
      </c>
      <c r="I27" s="99">
        <v>0</v>
      </c>
      <c r="J27" s="99">
        <f>I27</f>
        <v>0</v>
      </c>
      <c r="K27" s="97">
        <v>0</v>
      </c>
      <c r="L27" s="98">
        <v>0</v>
      </c>
      <c r="M27" s="948" t="s">
        <v>98</v>
      </c>
      <c r="N27" s="95" t="s">
        <v>21</v>
      </c>
      <c r="O27" s="102">
        <f t="shared" ref="O27:Q27" si="45">C27-I27</f>
        <v>17001</v>
      </c>
      <c r="P27" s="102">
        <f t="shared" si="45"/>
        <v>17001</v>
      </c>
      <c r="Q27" s="107">
        <f t="shared" si="45"/>
        <v>10349</v>
      </c>
      <c r="R27" s="105">
        <f>Q27/O27</f>
        <v>0.60872889830010002</v>
      </c>
    </row>
    <row r="28" spans="1:18" ht="15.75" customHeight="1">
      <c r="A28" s="949"/>
      <c r="B28" s="102" t="s">
        <v>28</v>
      </c>
      <c r="C28" s="106">
        <v>0</v>
      </c>
      <c r="D28" s="106">
        <f t="shared" ref="D28:D29" si="46">SUM(ROUND(C28*50%,0))</f>
        <v>0</v>
      </c>
      <c r="E28" s="104">
        <v>267</v>
      </c>
      <c r="F28" s="105">
        <v>0</v>
      </c>
      <c r="G28" s="949"/>
      <c r="H28" s="102" t="s">
        <v>28</v>
      </c>
      <c r="I28" s="106">
        <v>0</v>
      </c>
      <c r="J28" s="106">
        <f t="shared" ref="J28:J29" si="47">SUM(ROUND(I28*50%,0))</f>
        <v>0</v>
      </c>
      <c r="K28" s="104">
        <v>0</v>
      </c>
      <c r="L28" s="98">
        <v>0</v>
      </c>
      <c r="M28" s="949"/>
      <c r="N28" s="102" t="s">
        <v>28</v>
      </c>
      <c r="O28" s="102">
        <f t="shared" ref="O28:Q28" si="48">C28-I28</f>
        <v>0</v>
      </c>
      <c r="P28" s="102">
        <f t="shared" si="48"/>
        <v>0</v>
      </c>
      <c r="Q28" s="107">
        <f t="shared" si="48"/>
        <v>267</v>
      </c>
      <c r="R28" s="105">
        <v>0</v>
      </c>
    </row>
    <row r="29" spans="1:18" ht="15.75" customHeight="1">
      <c r="A29" s="949"/>
      <c r="B29" s="102" t="s">
        <v>31</v>
      </c>
      <c r="C29" s="106">
        <v>75646</v>
      </c>
      <c r="D29" s="106">
        <f t="shared" si="46"/>
        <v>37823</v>
      </c>
      <c r="E29" s="104">
        <v>0</v>
      </c>
      <c r="F29" s="105">
        <f t="shared" ref="F29:F31" si="49">E29/C29</f>
        <v>0</v>
      </c>
      <c r="G29" s="949"/>
      <c r="H29" s="102" t="s">
        <v>31</v>
      </c>
      <c r="I29" s="106">
        <v>0</v>
      </c>
      <c r="J29" s="106">
        <f t="shared" si="47"/>
        <v>0</v>
      </c>
      <c r="K29" s="104">
        <v>0</v>
      </c>
      <c r="L29" s="98">
        <v>0</v>
      </c>
      <c r="M29" s="949"/>
      <c r="N29" s="102" t="s">
        <v>31</v>
      </c>
      <c r="O29" s="102">
        <f t="shared" ref="O29:Q29" si="50">C29-I29</f>
        <v>75646</v>
      </c>
      <c r="P29" s="102">
        <f t="shared" si="50"/>
        <v>37823</v>
      </c>
      <c r="Q29" s="107">
        <f t="shared" si="50"/>
        <v>0</v>
      </c>
      <c r="R29" s="105">
        <f t="shared" ref="R29:R31" si="51">Q29/O29</f>
        <v>0</v>
      </c>
    </row>
    <row r="30" spans="1:18" ht="15.75" customHeight="1">
      <c r="A30" s="949"/>
      <c r="B30" s="122" t="s">
        <v>32</v>
      </c>
      <c r="C30" s="123">
        <v>87373</v>
      </c>
      <c r="D30" s="106">
        <f>SUM(ROUND(C30*75%,0))</f>
        <v>65530</v>
      </c>
      <c r="E30" s="104">
        <v>26186</v>
      </c>
      <c r="F30" s="105">
        <f t="shared" si="49"/>
        <v>0.2997035697526696</v>
      </c>
      <c r="G30" s="949"/>
      <c r="H30" s="122" t="s">
        <v>32</v>
      </c>
      <c r="I30" s="123">
        <v>0</v>
      </c>
      <c r="J30" s="106">
        <f>SUM(ROUND(I30*75%,0))</f>
        <v>0</v>
      </c>
      <c r="K30" s="104">
        <v>0</v>
      </c>
      <c r="L30" s="98">
        <v>0</v>
      </c>
      <c r="M30" s="949"/>
      <c r="N30" s="122" t="s">
        <v>32</v>
      </c>
      <c r="O30" s="102">
        <f t="shared" ref="O30:Q30" si="52">C30-I30</f>
        <v>87373</v>
      </c>
      <c r="P30" s="102">
        <f t="shared" si="52"/>
        <v>65530</v>
      </c>
      <c r="Q30" s="107">
        <f t="shared" si="52"/>
        <v>26186</v>
      </c>
      <c r="R30" s="105">
        <f t="shared" si="51"/>
        <v>0.2997035697526696</v>
      </c>
    </row>
    <row r="31" spans="1:18" ht="15.75" customHeight="1">
      <c r="A31" s="950"/>
      <c r="B31" s="118" t="s">
        <v>25</v>
      </c>
      <c r="C31" s="115">
        <f t="shared" ref="C31:E31" si="53">SUM(C27:C30)</f>
        <v>180020</v>
      </c>
      <c r="D31" s="115">
        <f t="shared" si="53"/>
        <v>120354</v>
      </c>
      <c r="E31" s="121">
        <f t="shared" si="53"/>
        <v>36802</v>
      </c>
      <c r="F31" s="116">
        <f t="shared" si="49"/>
        <v>0.20443284079546717</v>
      </c>
      <c r="G31" s="950"/>
      <c r="H31" s="118" t="s">
        <v>25</v>
      </c>
      <c r="I31" s="115">
        <f t="shared" ref="I31:K31" si="54">SUM(I27:I30)</f>
        <v>0</v>
      </c>
      <c r="J31" s="115">
        <f t="shared" si="54"/>
        <v>0</v>
      </c>
      <c r="K31" s="121">
        <f t="shared" si="54"/>
        <v>0</v>
      </c>
      <c r="L31" s="116">
        <v>0</v>
      </c>
      <c r="M31" s="950"/>
      <c r="N31" s="118" t="s">
        <v>25</v>
      </c>
      <c r="O31" s="115">
        <f t="shared" ref="O31:Q31" si="55">SUM(O27:O30)</f>
        <v>180020</v>
      </c>
      <c r="P31" s="115">
        <f t="shared" si="55"/>
        <v>120354</v>
      </c>
      <c r="Q31" s="115">
        <f t="shared" si="55"/>
        <v>36802</v>
      </c>
      <c r="R31" s="105">
        <f t="shared" si="51"/>
        <v>0.20443284079546717</v>
      </c>
    </row>
    <row r="32" spans="1:18" ht="15.75" customHeight="1">
      <c r="A32" s="954"/>
      <c r="B32" s="928"/>
      <c r="C32" s="928"/>
      <c r="D32" s="928"/>
      <c r="E32" s="928"/>
      <c r="F32" s="955"/>
      <c r="G32" s="954"/>
      <c r="H32" s="928"/>
      <c r="I32" s="928"/>
      <c r="J32" s="928"/>
      <c r="K32" s="928"/>
      <c r="L32" s="955"/>
      <c r="M32" s="954"/>
      <c r="N32" s="928"/>
      <c r="O32" s="928"/>
      <c r="P32" s="928"/>
      <c r="Q32" s="928"/>
      <c r="R32" s="955"/>
    </row>
    <row r="33" spans="1:18" ht="15.75" customHeight="1">
      <c r="A33" s="948" t="s">
        <v>99</v>
      </c>
      <c r="B33" s="95" t="s">
        <v>21</v>
      </c>
      <c r="C33" s="99">
        <v>6167100</v>
      </c>
      <c r="D33" s="99">
        <f>C33</f>
        <v>6167100</v>
      </c>
      <c r="E33" s="97">
        <v>3077600</v>
      </c>
      <c r="F33" s="98">
        <f t="shared" ref="F33:F34" si="56">E33/C33</f>
        <v>0.49903520293168591</v>
      </c>
      <c r="G33" s="948" t="s">
        <v>99</v>
      </c>
      <c r="H33" s="95" t="s">
        <v>21</v>
      </c>
      <c r="I33" s="99">
        <v>0</v>
      </c>
      <c r="J33" s="99">
        <f>I33</f>
        <v>0</v>
      </c>
      <c r="K33" s="97">
        <v>0</v>
      </c>
      <c r="L33" s="98">
        <v>0</v>
      </c>
      <c r="M33" s="948" t="s">
        <v>100</v>
      </c>
      <c r="N33" s="95" t="s">
        <v>21</v>
      </c>
      <c r="O33" s="102">
        <f t="shared" ref="O33:Q33" si="57">C33-I33</f>
        <v>6167100</v>
      </c>
      <c r="P33" s="102">
        <f t="shared" si="57"/>
        <v>6167100</v>
      </c>
      <c r="Q33" s="107">
        <f t="shared" si="57"/>
        <v>3077600</v>
      </c>
      <c r="R33" s="105">
        <f t="shared" ref="R33:R34" si="58">Q33/O33</f>
        <v>0.49903520293168591</v>
      </c>
    </row>
    <row r="34" spans="1:18" ht="15.75" customHeight="1">
      <c r="A34" s="950"/>
      <c r="B34" s="118" t="s">
        <v>25</v>
      </c>
      <c r="C34" s="115">
        <f t="shared" ref="C34:E34" si="59">SUM(C33)</f>
        <v>6167100</v>
      </c>
      <c r="D34" s="115">
        <f t="shared" si="59"/>
        <v>6167100</v>
      </c>
      <c r="E34" s="121">
        <f t="shared" si="59"/>
        <v>3077600</v>
      </c>
      <c r="F34" s="116">
        <f t="shared" si="56"/>
        <v>0.49903520293168591</v>
      </c>
      <c r="G34" s="950"/>
      <c r="H34" s="118" t="s">
        <v>25</v>
      </c>
      <c r="I34" s="115">
        <f t="shared" ref="I34:K34" si="60">SUM(I33)</f>
        <v>0</v>
      </c>
      <c r="J34" s="115">
        <f t="shared" si="60"/>
        <v>0</v>
      </c>
      <c r="K34" s="121">
        <f t="shared" si="60"/>
        <v>0</v>
      </c>
      <c r="L34" s="116">
        <v>0</v>
      </c>
      <c r="M34" s="950"/>
      <c r="N34" s="118" t="s">
        <v>25</v>
      </c>
      <c r="O34" s="115">
        <f t="shared" ref="O34:Q34" si="61">SUM(O33)</f>
        <v>6167100</v>
      </c>
      <c r="P34" s="115">
        <f t="shared" si="61"/>
        <v>6167100</v>
      </c>
      <c r="Q34" s="115">
        <f t="shared" si="61"/>
        <v>3077600</v>
      </c>
      <c r="R34" s="105">
        <f t="shared" si="58"/>
        <v>0.49903520293168591</v>
      </c>
    </row>
    <row r="35" spans="1:18" ht="15.75" customHeight="1">
      <c r="A35" s="954"/>
      <c r="B35" s="928"/>
      <c r="C35" s="928"/>
      <c r="D35" s="928"/>
      <c r="E35" s="928"/>
      <c r="F35" s="955"/>
      <c r="G35" s="954"/>
      <c r="H35" s="928"/>
      <c r="I35" s="928"/>
      <c r="J35" s="928"/>
      <c r="K35" s="928"/>
      <c r="L35" s="955"/>
      <c r="M35" s="954"/>
      <c r="N35" s="928"/>
      <c r="O35" s="928"/>
      <c r="P35" s="928"/>
      <c r="Q35" s="928"/>
      <c r="R35" s="955"/>
    </row>
    <row r="36" spans="1:18" ht="15.75" customHeight="1">
      <c r="A36" s="948" t="s">
        <v>101</v>
      </c>
      <c r="B36" s="119" t="s">
        <v>40</v>
      </c>
      <c r="C36" s="119">
        <v>244105</v>
      </c>
      <c r="D36" s="119">
        <f>C36</f>
        <v>244105</v>
      </c>
      <c r="E36" s="120">
        <v>760</v>
      </c>
      <c r="F36" s="98">
        <f>E36/C36</f>
        <v>3.1134143094160298E-3</v>
      </c>
      <c r="G36" s="948" t="s">
        <v>101</v>
      </c>
      <c r="H36" s="119" t="s">
        <v>40</v>
      </c>
      <c r="I36" s="119">
        <v>10000</v>
      </c>
      <c r="J36" s="119">
        <f>I36</f>
        <v>10000</v>
      </c>
      <c r="K36" s="120">
        <v>0</v>
      </c>
      <c r="L36" s="98">
        <f>K36/I36</f>
        <v>0</v>
      </c>
      <c r="M36" s="948" t="s">
        <v>101</v>
      </c>
      <c r="N36" s="119" t="s">
        <v>40</v>
      </c>
      <c r="O36" s="102">
        <f t="shared" ref="O36:Q36" si="62">C36-I36</f>
        <v>234105</v>
      </c>
      <c r="P36" s="102">
        <f t="shared" si="62"/>
        <v>234105</v>
      </c>
      <c r="Q36" s="107">
        <f t="shared" si="62"/>
        <v>760</v>
      </c>
      <c r="R36" s="105">
        <f>Q36/O36</f>
        <v>3.2464065269857544E-3</v>
      </c>
    </row>
    <row r="37" spans="1:18" ht="15.75" customHeight="1">
      <c r="A37" s="949"/>
      <c r="B37" s="122" t="s">
        <v>32</v>
      </c>
      <c r="C37" s="122">
        <v>0</v>
      </c>
      <c r="D37" s="106">
        <f>SUM(ROUND(C37*75%,0))</f>
        <v>0</v>
      </c>
      <c r="E37" s="104">
        <v>4643</v>
      </c>
      <c r="F37" s="105">
        <v>0</v>
      </c>
      <c r="G37" s="949"/>
      <c r="H37" s="122" t="s">
        <v>32</v>
      </c>
      <c r="I37" s="122">
        <v>0</v>
      </c>
      <c r="J37" s="106">
        <f>SUM(ROUND(I37*75%,0))</f>
        <v>0</v>
      </c>
      <c r="K37" s="104">
        <v>0</v>
      </c>
      <c r="L37" s="105">
        <v>0</v>
      </c>
      <c r="M37" s="949"/>
      <c r="N37" s="122" t="s">
        <v>32</v>
      </c>
      <c r="O37" s="102">
        <f t="shared" ref="O37:Q37" si="63">C37-I37</f>
        <v>0</v>
      </c>
      <c r="P37" s="102">
        <f t="shared" si="63"/>
        <v>0</v>
      </c>
      <c r="Q37" s="107">
        <f t="shared" si="63"/>
        <v>4643</v>
      </c>
      <c r="R37" s="105">
        <v>0</v>
      </c>
    </row>
    <row r="38" spans="1:18" ht="15.75" customHeight="1">
      <c r="A38" s="950"/>
      <c r="B38" s="118" t="s">
        <v>25</v>
      </c>
      <c r="C38" s="118">
        <f>SUM(C36:C37)</f>
        <v>244105</v>
      </c>
      <c r="D38" s="118">
        <f>SUM(D37)</f>
        <v>0</v>
      </c>
      <c r="E38" s="121">
        <f>SUM(E36:E37)</f>
        <v>5403</v>
      </c>
      <c r="F38" s="116">
        <v>0</v>
      </c>
      <c r="G38" s="950"/>
      <c r="H38" s="118" t="s">
        <v>25</v>
      </c>
      <c r="I38" s="118">
        <f>SUM(I36:I37)</f>
        <v>10000</v>
      </c>
      <c r="J38" s="118">
        <f t="shared" ref="J38:K38" si="64">SUM(J37)</f>
        <v>0</v>
      </c>
      <c r="K38" s="121">
        <f t="shared" si="64"/>
        <v>0</v>
      </c>
      <c r="L38" s="116">
        <v>0</v>
      </c>
      <c r="M38" s="950"/>
      <c r="N38" s="118" t="s">
        <v>25</v>
      </c>
      <c r="O38" s="118">
        <f>SUM(O36:O37)</f>
        <v>234105</v>
      </c>
      <c r="P38" s="118">
        <f>SUM(P37)</f>
        <v>0</v>
      </c>
      <c r="Q38" s="118">
        <f>SUM(Q36:Q37)</f>
        <v>5403</v>
      </c>
      <c r="R38" s="105">
        <v>0</v>
      </c>
    </row>
    <row r="39" spans="1:18" ht="15.75" customHeight="1">
      <c r="A39" s="956"/>
      <c r="B39" s="957"/>
      <c r="C39" s="957"/>
      <c r="D39" s="957"/>
      <c r="E39" s="957"/>
      <c r="F39" s="958"/>
      <c r="G39" s="956"/>
      <c r="H39" s="957"/>
      <c r="I39" s="957"/>
      <c r="J39" s="957"/>
      <c r="K39" s="957"/>
      <c r="L39" s="958"/>
      <c r="M39" s="956"/>
      <c r="N39" s="957"/>
      <c r="O39" s="957"/>
      <c r="P39" s="957"/>
      <c r="Q39" s="957"/>
      <c r="R39" s="958"/>
    </row>
    <row r="40" spans="1:18" ht="15.75" customHeight="1">
      <c r="A40" s="948" t="s">
        <v>39</v>
      </c>
      <c r="B40" s="95" t="s">
        <v>40</v>
      </c>
      <c r="C40" s="99">
        <v>4613304</v>
      </c>
      <c r="D40" s="99">
        <f>C40</f>
        <v>4613304</v>
      </c>
      <c r="E40" s="97">
        <v>200384</v>
      </c>
      <c r="F40" s="98">
        <f t="shared" ref="F40:F42" si="65">E40/C40</f>
        <v>4.3436114333674954E-2</v>
      </c>
      <c r="G40" s="948" t="s">
        <v>39</v>
      </c>
      <c r="H40" s="95" t="s">
        <v>40</v>
      </c>
      <c r="I40" s="99">
        <v>1281400</v>
      </c>
      <c r="J40" s="99">
        <f>I40</f>
        <v>1281400</v>
      </c>
      <c r="K40" s="97">
        <v>199799</v>
      </c>
      <c r="L40" s="98">
        <f t="shared" ref="L40:L42" si="66">K40/I40</f>
        <v>0.15592242859372563</v>
      </c>
      <c r="M40" s="948" t="s">
        <v>39</v>
      </c>
      <c r="N40" s="95" t="s">
        <v>40</v>
      </c>
      <c r="O40" s="102">
        <f t="shared" ref="O40:Q40" si="67">C40-I40</f>
        <v>3331904</v>
      </c>
      <c r="P40" s="102">
        <f t="shared" si="67"/>
        <v>3331904</v>
      </c>
      <c r="Q40" s="107">
        <f t="shared" si="67"/>
        <v>585</v>
      </c>
      <c r="R40" s="105">
        <f t="shared" ref="R40:R42" si="68">Q40/O40</f>
        <v>1.7557528668292965E-4</v>
      </c>
    </row>
    <row r="41" spans="1:18" ht="15.75" customHeight="1">
      <c r="A41" s="949"/>
      <c r="B41" s="122" t="s">
        <v>32</v>
      </c>
      <c r="C41" s="123">
        <v>636735</v>
      </c>
      <c r="D41" s="106">
        <f>SUM(ROUND(C41*75%,0))</f>
        <v>477551</v>
      </c>
      <c r="E41" s="104">
        <v>353291</v>
      </c>
      <c r="F41" s="105">
        <f t="shared" si="65"/>
        <v>0.55484777811805541</v>
      </c>
      <c r="G41" s="949"/>
      <c r="H41" s="122" t="s">
        <v>32</v>
      </c>
      <c r="I41" s="123">
        <v>153861</v>
      </c>
      <c r="J41" s="106">
        <f>SUM(ROUND(I41*75%,0))</f>
        <v>115396</v>
      </c>
      <c r="K41" s="104">
        <v>24742</v>
      </c>
      <c r="L41" s="105">
        <f t="shared" si="66"/>
        <v>0.16080748207797949</v>
      </c>
      <c r="M41" s="949"/>
      <c r="N41" s="122" t="s">
        <v>32</v>
      </c>
      <c r="O41" s="102">
        <f t="shared" ref="O41:Q41" si="69">C41-I41</f>
        <v>482874</v>
      </c>
      <c r="P41" s="102">
        <f t="shared" si="69"/>
        <v>362155</v>
      </c>
      <c r="Q41" s="107">
        <f t="shared" si="69"/>
        <v>328549</v>
      </c>
      <c r="R41" s="105">
        <f t="shared" si="68"/>
        <v>0.68040316935680945</v>
      </c>
    </row>
    <row r="42" spans="1:18" ht="15.75" customHeight="1">
      <c r="A42" s="950"/>
      <c r="B42" s="118" t="s">
        <v>25</v>
      </c>
      <c r="C42" s="115">
        <f t="shared" ref="C42:E42" si="70">SUM(C40:C41)</f>
        <v>5250039</v>
      </c>
      <c r="D42" s="115">
        <f t="shared" si="70"/>
        <v>5090855</v>
      </c>
      <c r="E42" s="115">
        <f t="shared" si="70"/>
        <v>553675</v>
      </c>
      <c r="F42" s="116">
        <f t="shared" si="65"/>
        <v>0.10546112133643197</v>
      </c>
      <c r="G42" s="950"/>
      <c r="H42" s="118" t="s">
        <v>25</v>
      </c>
      <c r="I42" s="115">
        <f t="shared" ref="I42:K42" si="71">SUM(I40:I41)</f>
        <v>1435261</v>
      </c>
      <c r="J42" s="115">
        <f t="shared" si="71"/>
        <v>1396796</v>
      </c>
      <c r="K42" s="115">
        <f t="shared" si="71"/>
        <v>224541</v>
      </c>
      <c r="L42" s="116">
        <f t="shared" si="66"/>
        <v>0.1564461098016319</v>
      </c>
      <c r="M42" s="950"/>
      <c r="N42" s="118" t="s">
        <v>25</v>
      </c>
      <c r="O42" s="115">
        <f t="shared" ref="O42:Q42" si="72">SUM(O40:O41)</f>
        <v>3814778</v>
      </c>
      <c r="P42" s="115">
        <f t="shared" si="72"/>
        <v>3694059</v>
      </c>
      <c r="Q42" s="115">
        <f t="shared" si="72"/>
        <v>329134</v>
      </c>
      <c r="R42" s="105">
        <f t="shared" si="68"/>
        <v>8.6278677291312889E-2</v>
      </c>
    </row>
    <row r="43" spans="1:18" ht="15.75" customHeight="1">
      <c r="A43" s="954"/>
      <c r="B43" s="928"/>
      <c r="C43" s="928"/>
      <c r="D43" s="928"/>
      <c r="E43" s="928"/>
      <c r="F43" s="955"/>
      <c r="G43" s="954"/>
      <c r="H43" s="928"/>
      <c r="I43" s="928"/>
      <c r="J43" s="928"/>
      <c r="K43" s="928"/>
      <c r="L43" s="955"/>
      <c r="M43" s="954"/>
      <c r="N43" s="928"/>
      <c r="O43" s="928"/>
      <c r="P43" s="928"/>
      <c r="Q43" s="928"/>
      <c r="R43" s="955"/>
    </row>
    <row r="44" spans="1:18" ht="15.75" customHeight="1">
      <c r="A44" s="948" t="s">
        <v>41</v>
      </c>
      <c r="B44" s="124" t="s">
        <v>32</v>
      </c>
      <c r="C44" s="125">
        <v>6000000</v>
      </c>
      <c r="D44" s="106">
        <f>SUM(ROUND(C44*75%,0))</f>
        <v>4500000</v>
      </c>
      <c r="E44" s="97">
        <v>3021363</v>
      </c>
      <c r="F44" s="98">
        <f t="shared" ref="F44:F45" si="73">E44/C44</f>
        <v>0.50356049999999997</v>
      </c>
      <c r="G44" s="948" t="s">
        <v>41</v>
      </c>
      <c r="H44" s="124" t="s">
        <v>32</v>
      </c>
      <c r="I44" s="125">
        <v>0</v>
      </c>
      <c r="J44" s="106">
        <f>SUM(ROUND(I44*75%,0))</f>
        <v>0</v>
      </c>
      <c r="K44" s="97">
        <v>0</v>
      </c>
      <c r="L44" s="98">
        <v>0</v>
      </c>
      <c r="M44" s="948" t="s">
        <v>41</v>
      </c>
      <c r="N44" s="124" t="s">
        <v>32</v>
      </c>
      <c r="O44" s="102">
        <f t="shared" ref="O44:Q44" si="74">C44-I44</f>
        <v>6000000</v>
      </c>
      <c r="P44" s="102">
        <f t="shared" si="74"/>
        <v>4500000</v>
      </c>
      <c r="Q44" s="107">
        <f t="shared" si="74"/>
        <v>3021363</v>
      </c>
      <c r="R44" s="105">
        <f t="shared" ref="R44:R45" si="75">Q44/O44</f>
        <v>0.50356049999999997</v>
      </c>
    </row>
    <row r="45" spans="1:18" ht="15.75" customHeight="1">
      <c r="A45" s="950"/>
      <c r="B45" s="118" t="s">
        <v>25</v>
      </c>
      <c r="C45" s="115">
        <f t="shared" ref="C45:E45" si="76">SUM(C44)</f>
        <v>6000000</v>
      </c>
      <c r="D45" s="115">
        <f t="shared" si="76"/>
        <v>4500000</v>
      </c>
      <c r="E45" s="121">
        <f t="shared" si="76"/>
        <v>3021363</v>
      </c>
      <c r="F45" s="116">
        <f t="shared" si="73"/>
        <v>0.50356049999999997</v>
      </c>
      <c r="G45" s="950"/>
      <c r="H45" s="118" t="s">
        <v>25</v>
      </c>
      <c r="I45" s="115">
        <f t="shared" ref="I45:K45" si="77">SUM(I44)</f>
        <v>0</v>
      </c>
      <c r="J45" s="115">
        <f t="shared" si="77"/>
        <v>0</v>
      </c>
      <c r="K45" s="121">
        <f t="shared" si="77"/>
        <v>0</v>
      </c>
      <c r="L45" s="116">
        <v>0</v>
      </c>
      <c r="M45" s="950"/>
      <c r="N45" s="118" t="s">
        <v>25</v>
      </c>
      <c r="O45" s="115">
        <f t="shared" ref="O45:Q45" si="78">SUM(O44)</f>
        <v>6000000</v>
      </c>
      <c r="P45" s="115">
        <f t="shared" si="78"/>
        <v>4500000</v>
      </c>
      <c r="Q45" s="115">
        <f t="shared" si="78"/>
        <v>3021363</v>
      </c>
      <c r="R45" s="105">
        <f t="shared" si="75"/>
        <v>0.50356049999999997</v>
      </c>
    </row>
    <row r="46" spans="1:18" ht="15.75" customHeight="1">
      <c r="A46" s="954"/>
      <c r="B46" s="928"/>
      <c r="C46" s="928"/>
      <c r="D46" s="928"/>
      <c r="E46" s="928"/>
      <c r="F46" s="955"/>
      <c r="G46" s="954"/>
      <c r="H46" s="928"/>
      <c r="I46" s="928"/>
      <c r="J46" s="928"/>
      <c r="K46" s="928"/>
      <c r="L46" s="955"/>
      <c r="M46" s="954"/>
      <c r="N46" s="928"/>
      <c r="O46" s="928"/>
      <c r="P46" s="928"/>
      <c r="Q46" s="928"/>
      <c r="R46" s="955"/>
    </row>
    <row r="47" spans="1:18" ht="15.75" customHeight="1">
      <c r="A47" s="948" t="s">
        <v>42</v>
      </c>
      <c r="B47" s="95" t="s">
        <v>21</v>
      </c>
      <c r="C47" s="99">
        <v>4500</v>
      </c>
      <c r="D47" s="99">
        <f>C47</f>
        <v>4500</v>
      </c>
      <c r="E47" s="97">
        <v>0</v>
      </c>
      <c r="F47" s="98">
        <f>E47/C47</f>
        <v>0</v>
      </c>
      <c r="G47" s="948" t="s">
        <v>42</v>
      </c>
      <c r="H47" s="95" t="s">
        <v>21</v>
      </c>
      <c r="I47" s="99">
        <v>0</v>
      </c>
      <c r="J47" s="99">
        <f>I47</f>
        <v>0</v>
      </c>
      <c r="K47" s="97">
        <v>0</v>
      </c>
      <c r="L47" s="98">
        <v>0</v>
      </c>
      <c r="M47" s="948" t="s">
        <v>42</v>
      </c>
      <c r="N47" s="95" t="s">
        <v>21</v>
      </c>
      <c r="O47" s="102">
        <f t="shared" ref="O47:Q47" si="79">C47-I47</f>
        <v>4500</v>
      </c>
      <c r="P47" s="102">
        <f t="shared" si="79"/>
        <v>4500</v>
      </c>
      <c r="Q47" s="107">
        <f t="shared" si="79"/>
        <v>0</v>
      </c>
      <c r="R47" s="105">
        <f>Q47/O47</f>
        <v>0</v>
      </c>
    </row>
    <row r="48" spans="1:18" ht="15.75" customHeight="1">
      <c r="A48" s="949"/>
      <c r="B48" s="102" t="s">
        <v>28</v>
      </c>
      <c r="C48" s="106">
        <v>0</v>
      </c>
      <c r="D48" s="106">
        <f>SUM(ROUND(C48*50%,0))</f>
        <v>0</v>
      </c>
      <c r="E48" s="104">
        <v>4868</v>
      </c>
      <c r="F48" s="105">
        <v>0</v>
      </c>
      <c r="G48" s="949"/>
      <c r="H48" s="102" t="s">
        <v>28</v>
      </c>
      <c r="I48" s="106">
        <v>0</v>
      </c>
      <c r="J48" s="106">
        <f>SUM(ROUND(I48*50%,0))</f>
        <v>0</v>
      </c>
      <c r="K48" s="104">
        <v>0</v>
      </c>
      <c r="L48" s="105">
        <v>0</v>
      </c>
      <c r="M48" s="949"/>
      <c r="N48" s="102" t="s">
        <v>28</v>
      </c>
      <c r="O48" s="102">
        <f t="shared" ref="O48:Q48" si="80">C48-I48</f>
        <v>0</v>
      </c>
      <c r="P48" s="102">
        <f t="shared" si="80"/>
        <v>0</v>
      </c>
      <c r="Q48" s="107">
        <f t="shared" si="80"/>
        <v>4868</v>
      </c>
      <c r="R48" s="105">
        <v>0</v>
      </c>
    </row>
    <row r="49" spans="1:18" ht="15.75" customHeight="1">
      <c r="A49" s="949"/>
      <c r="B49" s="122" t="s">
        <v>32</v>
      </c>
      <c r="C49" s="123">
        <v>145500</v>
      </c>
      <c r="D49" s="106">
        <f>SUM(ROUND(C49*75%,0))</f>
        <v>109125</v>
      </c>
      <c r="E49" s="104">
        <v>45549</v>
      </c>
      <c r="F49" s="105">
        <f t="shared" ref="F49:F50" si="81">E49/C49</f>
        <v>0.31305154639175259</v>
      </c>
      <c r="G49" s="949"/>
      <c r="H49" s="122" t="s">
        <v>32</v>
      </c>
      <c r="I49" s="123">
        <v>2</v>
      </c>
      <c r="J49" s="106">
        <f>SUM(ROUND(I49*75%,0))</f>
        <v>2</v>
      </c>
      <c r="K49" s="104">
        <v>0</v>
      </c>
      <c r="L49" s="105">
        <f t="shared" ref="L49:L50" si="82">K49/I49</f>
        <v>0</v>
      </c>
      <c r="M49" s="949"/>
      <c r="N49" s="122" t="s">
        <v>32</v>
      </c>
      <c r="O49" s="102">
        <f t="shared" ref="O49:Q49" si="83">C49-I49</f>
        <v>145498</v>
      </c>
      <c r="P49" s="102">
        <f t="shared" si="83"/>
        <v>109123</v>
      </c>
      <c r="Q49" s="107">
        <f t="shared" si="83"/>
        <v>45549</v>
      </c>
      <c r="R49" s="105">
        <f t="shared" ref="R49:R50" si="84">Q49/O49</f>
        <v>0.31305584956494248</v>
      </c>
    </row>
    <row r="50" spans="1:18" ht="15.75" customHeight="1">
      <c r="A50" s="950"/>
      <c r="B50" s="118" t="s">
        <v>25</v>
      </c>
      <c r="C50" s="115">
        <f t="shared" ref="C50:E50" si="85">SUM(C47:C49)</f>
        <v>150000</v>
      </c>
      <c r="D50" s="115">
        <f t="shared" si="85"/>
        <v>113625</v>
      </c>
      <c r="E50" s="121">
        <f t="shared" si="85"/>
        <v>50417</v>
      </c>
      <c r="F50" s="116">
        <f t="shared" si="81"/>
        <v>0.33611333333333332</v>
      </c>
      <c r="G50" s="950"/>
      <c r="H50" s="118" t="s">
        <v>25</v>
      </c>
      <c r="I50" s="115">
        <f t="shared" ref="I50:K50" si="86">SUM(I47:I49)</f>
        <v>2</v>
      </c>
      <c r="J50" s="115">
        <f t="shared" si="86"/>
        <v>2</v>
      </c>
      <c r="K50" s="121">
        <f t="shared" si="86"/>
        <v>0</v>
      </c>
      <c r="L50" s="116">
        <f t="shared" si="82"/>
        <v>0</v>
      </c>
      <c r="M50" s="950"/>
      <c r="N50" s="118" t="s">
        <v>25</v>
      </c>
      <c r="O50" s="115">
        <f t="shared" ref="O50:Q50" si="87">SUM(O47:O49)</f>
        <v>149998</v>
      </c>
      <c r="P50" s="115">
        <f t="shared" si="87"/>
        <v>113623</v>
      </c>
      <c r="Q50" s="115">
        <f t="shared" si="87"/>
        <v>50417</v>
      </c>
      <c r="R50" s="105">
        <f t="shared" si="84"/>
        <v>0.33611781490419873</v>
      </c>
    </row>
    <row r="51" spans="1:18" ht="15.75" customHeight="1">
      <c r="A51" s="954"/>
      <c r="B51" s="928"/>
      <c r="C51" s="928"/>
      <c r="D51" s="928"/>
      <c r="E51" s="928"/>
      <c r="F51" s="955"/>
      <c r="G51" s="954"/>
      <c r="H51" s="928"/>
      <c r="I51" s="928"/>
      <c r="J51" s="928"/>
      <c r="K51" s="928"/>
      <c r="L51" s="955"/>
      <c r="M51" s="954"/>
      <c r="N51" s="928"/>
      <c r="O51" s="928"/>
      <c r="P51" s="928"/>
      <c r="Q51" s="928"/>
      <c r="R51" s="955"/>
    </row>
    <row r="52" spans="1:18" ht="15.75" customHeight="1">
      <c r="A52" s="948" t="s">
        <v>43</v>
      </c>
      <c r="B52" s="95" t="s">
        <v>21</v>
      </c>
      <c r="C52" s="99">
        <v>519984</v>
      </c>
      <c r="D52" s="99">
        <f>C52</f>
        <v>519984</v>
      </c>
      <c r="E52" s="97">
        <v>11855</v>
      </c>
      <c r="F52" s="98">
        <f t="shared" ref="F52:F54" si="88">E52/C52</f>
        <v>2.2798778423951505E-2</v>
      </c>
      <c r="G52" s="948" t="s">
        <v>43</v>
      </c>
      <c r="H52" s="95" t="s">
        <v>21</v>
      </c>
      <c r="I52" s="99">
        <v>330003</v>
      </c>
      <c r="J52" s="99">
        <f>I52</f>
        <v>330003</v>
      </c>
      <c r="K52" s="97">
        <v>4711</v>
      </c>
      <c r="L52" s="98">
        <v>0</v>
      </c>
      <c r="M52" s="948" t="s">
        <v>43</v>
      </c>
      <c r="N52" s="95" t="s">
        <v>21</v>
      </c>
      <c r="O52" s="102">
        <f t="shared" ref="O52:Q52" si="89">C52-I52</f>
        <v>189981</v>
      </c>
      <c r="P52" s="102">
        <f t="shared" si="89"/>
        <v>189981</v>
      </c>
      <c r="Q52" s="107">
        <f t="shared" si="89"/>
        <v>7144</v>
      </c>
      <c r="R52" s="105">
        <f t="shared" ref="R52:R54" si="90">Q52/O52</f>
        <v>3.7603760376037604E-2</v>
      </c>
    </row>
    <row r="53" spans="1:18" ht="15.75" customHeight="1">
      <c r="A53" s="949"/>
      <c r="B53" s="122" t="s">
        <v>32</v>
      </c>
      <c r="C53" s="123">
        <v>2533439</v>
      </c>
      <c r="D53" s="106">
        <f>SUM(ROUND(C53*75%,0))</f>
        <v>1900079</v>
      </c>
      <c r="E53" s="104">
        <v>778141</v>
      </c>
      <c r="F53" s="105">
        <f t="shared" si="88"/>
        <v>0.3071481097433173</v>
      </c>
      <c r="G53" s="949"/>
      <c r="H53" s="122" t="s">
        <v>32</v>
      </c>
      <c r="I53" s="123">
        <f>1004+1070009</f>
        <v>1071013</v>
      </c>
      <c r="J53" s="106">
        <f>SUM(ROUND(I53*75%,0))</f>
        <v>803260</v>
      </c>
      <c r="K53" s="104">
        <f>13860+437386</f>
        <v>451246</v>
      </c>
      <c r="L53" s="105">
        <f t="shared" ref="L53:L54" si="91">K53/I53</f>
        <v>0.42132635178097744</v>
      </c>
      <c r="M53" s="949"/>
      <c r="N53" s="122" t="s">
        <v>32</v>
      </c>
      <c r="O53" s="102">
        <f t="shared" ref="O53:Q53" si="92">C53-I53</f>
        <v>1462426</v>
      </c>
      <c r="P53" s="102">
        <f t="shared" si="92"/>
        <v>1096819</v>
      </c>
      <c r="Q53" s="107">
        <f t="shared" si="92"/>
        <v>326895</v>
      </c>
      <c r="R53" s="105">
        <f t="shared" si="90"/>
        <v>0.22352925891634859</v>
      </c>
    </row>
    <row r="54" spans="1:18" ht="15.75" customHeight="1">
      <c r="A54" s="950"/>
      <c r="B54" s="118" t="s">
        <v>25</v>
      </c>
      <c r="C54" s="115">
        <f t="shared" ref="C54:E54" si="93">SUM(C52:C53)</f>
        <v>3053423</v>
      </c>
      <c r="D54" s="115">
        <f t="shared" si="93"/>
        <v>2420063</v>
      </c>
      <c r="E54" s="115">
        <f t="shared" si="93"/>
        <v>789996</v>
      </c>
      <c r="F54" s="116">
        <f t="shared" si="88"/>
        <v>0.2587247164903127</v>
      </c>
      <c r="G54" s="950"/>
      <c r="H54" s="118" t="s">
        <v>25</v>
      </c>
      <c r="I54" s="115">
        <f t="shared" ref="I54:K54" si="94">SUM(I52:I53)</f>
        <v>1401016</v>
      </c>
      <c r="J54" s="115">
        <f t="shared" si="94"/>
        <v>1133263</v>
      </c>
      <c r="K54" s="115">
        <f t="shared" si="94"/>
        <v>455957</v>
      </c>
      <c r="L54" s="116">
        <f t="shared" si="91"/>
        <v>0.32544738960868397</v>
      </c>
      <c r="M54" s="950"/>
      <c r="N54" s="118" t="s">
        <v>25</v>
      </c>
      <c r="O54" s="115">
        <f t="shared" ref="O54:Q54" si="95">SUM(O52:O53)</f>
        <v>1652407</v>
      </c>
      <c r="P54" s="115">
        <f t="shared" si="95"/>
        <v>1286800</v>
      </c>
      <c r="Q54" s="115">
        <f t="shared" si="95"/>
        <v>334039</v>
      </c>
      <c r="R54" s="105">
        <f t="shared" si="90"/>
        <v>0.20215298047030786</v>
      </c>
    </row>
    <row r="55" spans="1:18" ht="15.75" customHeight="1">
      <c r="A55" s="954"/>
      <c r="B55" s="928"/>
      <c r="C55" s="928"/>
      <c r="D55" s="928"/>
      <c r="E55" s="928"/>
      <c r="F55" s="955"/>
      <c r="G55" s="954"/>
      <c r="H55" s="928"/>
      <c r="I55" s="928"/>
      <c r="J55" s="928"/>
      <c r="K55" s="928"/>
      <c r="L55" s="955"/>
      <c r="M55" s="954"/>
      <c r="N55" s="928"/>
      <c r="O55" s="928"/>
      <c r="P55" s="928"/>
      <c r="Q55" s="928"/>
      <c r="R55" s="955"/>
    </row>
    <row r="56" spans="1:18" ht="15.75" customHeight="1">
      <c r="A56" s="948" t="s">
        <v>44</v>
      </c>
      <c r="B56" s="95" t="s">
        <v>21</v>
      </c>
      <c r="C56" s="99">
        <v>368321</v>
      </c>
      <c r="D56" s="99">
        <f>C56</f>
        <v>368321</v>
      </c>
      <c r="E56" s="97">
        <v>24486</v>
      </c>
      <c r="F56" s="98">
        <f t="shared" ref="F56:F60" si="96">E56/C56</f>
        <v>6.6480054083258897E-2</v>
      </c>
      <c r="G56" s="948" t="s">
        <v>44</v>
      </c>
      <c r="H56" s="95" t="s">
        <v>21</v>
      </c>
      <c r="I56" s="99">
        <v>350210</v>
      </c>
      <c r="J56" s="99">
        <f>I56</f>
        <v>350210</v>
      </c>
      <c r="K56" s="97">
        <v>15963</v>
      </c>
      <c r="L56" s="98">
        <f>K56/I56</f>
        <v>4.5581222694954453E-2</v>
      </c>
      <c r="M56" s="948" t="s">
        <v>44</v>
      </c>
      <c r="N56" s="95" t="s">
        <v>21</v>
      </c>
      <c r="O56" s="102">
        <f t="shared" ref="O56:Q56" si="97">C56-I56</f>
        <v>18111</v>
      </c>
      <c r="P56" s="102">
        <f t="shared" si="97"/>
        <v>18111</v>
      </c>
      <c r="Q56" s="107">
        <f t="shared" si="97"/>
        <v>8523</v>
      </c>
      <c r="R56" s="105">
        <f t="shared" ref="R56:R60" si="98">Q56/O56</f>
        <v>0.47059797912870632</v>
      </c>
    </row>
    <row r="57" spans="1:18" ht="15.75" customHeight="1">
      <c r="A57" s="949"/>
      <c r="B57" s="102" t="s">
        <v>28</v>
      </c>
      <c r="C57" s="106">
        <v>33979</v>
      </c>
      <c r="D57" s="106">
        <f t="shared" ref="D57:D58" si="99">SUM(ROUND(C57*50%,0))</f>
        <v>16990</v>
      </c>
      <c r="E57" s="104">
        <v>0</v>
      </c>
      <c r="F57" s="105">
        <f t="shared" si="96"/>
        <v>0</v>
      </c>
      <c r="G57" s="949"/>
      <c r="H57" s="102" t="s">
        <v>28</v>
      </c>
      <c r="I57" s="106">
        <v>0</v>
      </c>
      <c r="J57" s="106">
        <f t="shared" ref="J57:J58" si="100">SUM(ROUND(I57*50%,0))</f>
        <v>0</v>
      </c>
      <c r="K57" s="104">
        <v>0</v>
      </c>
      <c r="L57" s="105">
        <v>0</v>
      </c>
      <c r="M57" s="949"/>
      <c r="N57" s="102" t="s">
        <v>28</v>
      </c>
      <c r="O57" s="102">
        <f t="shared" ref="O57:Q57" si="101">C57-I57</f>
        <v>33979</v>
      </c>
      <c r="P57" s="102">
        <f t="shared" si="101"/>
        <v>16990</v>
      </c>
      <c r="Q57" s="107">
        <f t="shared" si="101"/>
        <v>0</v>
      </c>
      <c r="R57" s="105">
        <f t="shared" si="98"/>
        <v>0</v>
      </c>
    </row>
    <row r="58" spans="1:18" ht="15.75" customHeight="1">
      <c r="A58" s="949"/>
      <c r="B58" s="102" t="s">
        <v>31</v>
      </c>
      <c r="C58" s="106">
        <v>104631</v>
      </c>
      <c r="D58" s="106">
        <f t="shared" si="99"/>
        <v>52316</v>
      </c>
      <c r="E58" s="104">
        <v>74432</v>
      </c>
      <c r="F58" s="105">
        <f t="shared" si="96"/>
        <v>0.71137616958645145</v>
      </c>
      <c r="G58" s="949"/>
      <c r="H58" s="102" t="s">
        <v>31</v>
      </c>
      <c r="I58" s="106">
        <v>84000</v>
      </c>
      <c r="J58" s="106">
        <f t="shared" si="100"/>
        <v>42000</v>
      </c>
      <c r="K58" s="104">
        <v>72911</v>
      </c>
      <c r="L58" s="105">
        <f t="shared" ref="L58:L60" si="102">K58/I58</f>
        <v>0.86798809523809528</v>
      </c>
      <c r="M58" s="949"/>
      <c r="N58" s="102" t="s">
        <v>31</v>
      </c>
      <c r="O58" s="102">
        <f t="shared" ref="O58:Q58" si="103">C58-I58</f>
        <v>20631</v>
      </c>
      <c r="P58" s="102">
        <f t="shared" si="103"/>
        <v>10316</v>
      </c>
      <c r="Q58" s="107">
        <f t="shared" si="103"/>
        <v>1521</v>
      </c>
      <c r="R58" s="105">
        <f t="shared" si="98"/>
        <v>7.3724007561436669E-2</v>
      </c>
    </row>
    <row r="59" spans="1:18" ht="15.75" customHeight="1">
      <c r="A59" s="949"/>
      <c r="B59" s="122" t="s">
        <v>32</v>
      </c>
      <c r="C59" s="123">
        <v>495422</v>
      </c>
      <c r="D59" s="106">
        <f>SUM(ROUND(C59*75%,0))</f>
        <v>371567</v>
      </c>
      <c r="E59" s="104">
        <v>52435</v>
      </c>
      <c r="F59" s="105">
        <f t="shared" si="96"/>
        <v>0.10583906245584572</v>
      </c>
      <c r="G59" s="949"/>
      <c r="H59" s="122" t="s">
        <v>32</v>
      </c>
      <c r="I59" s="123">
        <v>76700</v>
      </c>
      <c r="J59" s="106">
        <f>SUM(ROUND(I59*75%,0))</f>
        <v>57525</v>
      </c>
      <c r="K59" s="104">
        <v>8927</v>
      </c>
      <c r="L59" s="105">
        <f t="shared" si="102"/>
        <v>0.11638852672750978</v>
      </c>
      <c r="M59" s="949"/>
      <c r="N59" s="122" t="s">
        <v>32</v>
      </c>
      <c r="O59" s="102">
        <f t="shared" ref="O59:Q59" si="104">C59-I59</f>
        <v>418722</v>
      </c>
      <c r="P59" s="102">
        <f t="shared" si="104"/>
        <v>314042</v>
      </c>
      <c r="Q59" s="107">
        <f t="shared" si="104"/>
        <v>43508</v>
      </c>
      <c r="R59" s="105">
        <f t="shared" si="98"/>
        <v>0.1039066492804295</v>
      </c>
    </row>
    <row r="60" spans="1:18" ht="15.75" customHeight="1">
      <c r="A60" s="950"/>
      <c r="B60" s="118" t="s">
        <v>25</v>
      </c>
      <c r="C60" s="115">
        <f t="shared" ref="C60:E60" si="105">SUM(C56:C59)</f>
        <v>1002353</v>
      </c>
      <c r="D60" s="115">
        <f t="shared" si="105"/>
        <v>809194</v>
      </c>
      <c r="E60" s="115">
        <f t="shared" si="105"/>
        <v>151353</v>
      </c>
      <c r="F60" s="116">
        <f t="shared" si="96"/>
        <v>0.15099770240623811</v>
      </c>
      <c r="G60" s="950"/>
      <c r="H60" s="118" t="s">
        <v>25</v>
      </c>
      <c r="I60" s="115">
        <f t="shared" ref="I60:K60" si="106">SUM(I56:I59)</f>
        <v>510910</v>
      </c>
      <c r="J60" s="115">
        <f t="shared" si="106"/>
        <v>449735</v>
      </c>
      <c r="K60" s="115">
        <f t="shared" si="106"/>
        <v>97801</v>
      </c>
      <c r="L60" s="116">
        <f t="shared" si="102"/>
        <v>0.1914251042257932</v>
      </c>
      <c r="M60" s="950"/>
      <c r="N60" s="118" t="s">
        <v>25</v>
      </c>
      <c r="O60" s="115">
        <f t="shared" ref="O60:Q60" si="107">SUM(O56:O59)</f>
        <v>491443</v>
      </c>
      <c r="P60" s="115">
        <f t="shared" si="107"/>
        <v>359459</v>
      </c>
      <c r="Q60" s="115">
        <f t="shared" si="107"/>
        <v>53552</v>
      </c>
      <c r="R60" s="105">
        <f t="shared" si="98"/>
        <v>0.10896889364585517</v>
      </c>
    </row>
    <row r="61" spans="1:18" ht="15.75" customHeight="1">
      <c r="A61" s="954"/>
      <c r="B61" s="928"/>
      <c r="C61" s="928"/>
      <c r="D61" s="928"/>
      <c r="E61" s="928"/>
      <c r="F61" s="955"/>
      <c r="G61" s="954"/>
      <c r="H61" s="928"/>
      <c r="I61" s="928"/>
      <c r="J61" s="928"/>
      <c r="K61" s="928"/>
      <c r="L61" s="955"/>
      <c r="M61" s="954"/>
      <c r="N61" s="928"/>
      <c r="O61" s="928"/>
      <c r="P61" s="928"/>
      <c r="Q61" s="928"/>
      <c r="R61" s="955"/>
    </row>
    <row r="62" spans="1:18" ht="15.75" customHeight="1">
      <c r="A62" s="948" t="s">
        <v>45</v>
      </c>
      <c r="B62" s="95" t="s">
        <v>21</v>
      </c>
      <c r="C62" s="99">
        <v>83415</v>
      </c>
      <c r="D62" s="99">
        <f>C62</f>
        <v>83415</v>
      </c>
      <c r="E62" s="97">
        <v>62653</v>
      </c>
      <c r="F62" s="98">
        <f t="shared" ref="F62:F66" si="108">E62/C62</f>
        <v>0.75109992207636511</v>
      </c>
      <c r="G62" s="948" t="s">
        <v>45</v>
      </c>
      <c r="H62" s="95" t="s">
        <v>21</v>
      </c>
      <c r="I62" s="99">
        <v>0</v>
      </c>
      <c r="J62" s="99">
        <f>I62</f>
        <v>0</v>
      </c>
      <c r="K62" s="97">
        <v>0</v>
      </c>
      <c r="L62" s="98">
        <v>0</v>
      </c>
      <c r="M62" s="948" t="s">
        <v>45</v>
      </c>
      <c r="N62" s="95" t="s">
        <v>21</v>
      </c>
      <c r="O62" s="102">
        <f t="shared" ref="O62:Q62" si="109">C62-I62</f>
        <v>83415</v>
      </c>
      <c r="P62" s="102">
        <f t="shared" si="109"/>
        <v>83415</v>
      </c>
      <c r="Q62" s="107">
        <f t="shared" si="109"/>
        <v>62653</v>
      </c>
      <c r="R62" s="105">
        <f t="shared" ref="R62:R66" si="110">Q62/O62</f>
        <v>0.75109992207636511</v>
      </c>
    </row>
    <row r="63" spans="1:18" ht="15.75" customHeight="1">
      <c r="A63" s="949"/>
      <c r="B63" s="102" t="s">
        <v>28</v>
      </c>
      <c r="C63" s="106">
        <v>19235</v>
      </c>
      <c r="D63" s="106">
        <f t="shared" ref="D63:D64" si="111">SUM(ROUND(C63*50%,0))</f>
        <v>9618</v>
      </c>
      <c r="E63" s="104">
        <v>145591</v>
      </c>
      <c r="F63" s="105">
        <f t="shared" si="108"/>
        <v>7.5690668053028336</v>
      </c>
      <c r="G63" s="949"/>
      <c r="H63" s="102" t="s">
        <v>28</v>
      </c>
      <c r="I63" s="106">
        <v>0</v>
      </c>
      <c r="J63" s="106">
        <f t="shared" ref="J63:J64" si="112">SUM(ROUND(I63*50%,0))</f>
        <v>0</v>
      </c>
      <c r="K63" s="104">
        <v>0</v>
      </c>
      <c r="L63" s="98">
        <v>0</v>
      </c>
      <c r="M63" s="949"/>
      <c r="N63" s="102" t="s">
        <v>28</v>
      </c>
      <c r="O63" s="102">
        <f t="shared" ref="O63:Q63" si="113">C63-I63</f>
        <v>19235</v>
      </c>
      <c r="P63" s="102">
        <f t="shared" si="113"/>
        <v>9618</v>
      </c>
      <c r="Q63" s="107">
        <f t="shared" si="113"/>
        <v>145591</v>
      </c>
      <c r="R63" s="105">
        <f t="shared" si="110"/>
        <v>7.5690668053028336</v>
      </c>
    </row>
    <row r="64" spans="1:18" ht="15.75" customHeight="1">
      <c r="A64" s="949"/>
      <c r="B64" s="102" t="s">
        <v>31</v>
      </c>
      <c r="C64" s="106">
        <v>40499</v>
      </c>
      <c r="D64" s="106">
        <f t="shared" si="111"/>
        <v>20250</v>
      </c>
      <c r="E64" s="104">
        <v>17233</v>
      </c>
      <c r="F64" s="105">
        <f t="shared" si="108"/>
        <v>0.42551667942418331</v>
      </c>
      <c r="G64" s="949"/>
      <c r="H64" s="102" t="s">
        <v>31</v>
      </c>
      <c r="I64" s="106">
        <v>0</v>
      </c>
      <c r="J64" s="106">
        <f t="shared" si="112"/>
        <v>0</v>
      </c>
      <c r="K64" s="104">
        <v>0</v>
      </c>
      <c r="L64" s="98">
        <v>0</v>
      </c>
      <c r="M64" s="949"/>
      <c r="N64" s="102" t="s">
        <v>31</v>
      </c>
      <c r="O64" s="102">
        <f t="shared" ref="O64:Q64" si="114">C64-I64</f>
        <v>40499</v>
      </c>
      <c r="P64" s="102">
        <f t="shared" si="114"/>
        <v>20250</v>
      </c>
      <c r="Q64" s="107">
        <f t="shared" si="114"/>
        <v>17233</v>
      </c>
      <c r="R64" s="105">
        <f t="shared" si="110"/>
        <v>0.42551667942418331</v>
      </c>
    </row>
    <row r="65" spans="1:18" ht="15.75" customHeight="1">
      <c r="A65" s="949"/>
      <c r="B65" s="122" t="s">
        <v>32</v>
      </c>
      <c r="C65" s="123">
        <v>184800</v>
      </c>
      <c r="D65" s="106">
        <f>SUM(ROUND(C65*75%,0))</f>
        <v>138600</v>
      </c>
      <c r="E65" s="104">
        <v>2718</v>
      </c>
      <c r="F65" s="105">
        <f t="shared" si="108"/>
        <v>1.4707792207792208E-2</v>
      </c>
      <c r="G65" s="949"/>
      <c r="H65" s="122" t="s">
        <v>32</v>
      </c>
      <c r="I65" s="123">
        <v>0</v>
      </c>
      <c r="J65" s="106">
        <f>SUM(ROUND(I65*75%,0))</f>
        <v>0</v>
      </c>
      <c r="K65" s="104">
        <v>0</v>
      </c>
      <c r="L65" s="98">
        <v>0</v>
      </c>
      <c r="M65" s="949"/>
      <c r="N65" s="122" t="s">
        <v>32</v>
      </c>
      <c r="O65" s="102">
        <f t="shared" ref="O65:Q65" si="115">C65-I65</f>
        <v>184800</v>
      </c>
      <c r="P65" s="102">
        <f t="shared" si="115"/>
        <v>138600</v>
      </c>
      <c r="Q65" s="107">
        <f t="shared" si="115"/>
        <v>2718</v>
      </c>
      <c r="R65" s="105">
        <f t="shared" si="110"/>
        <v>1.4707792207792208E-2</v>
      </c>
    </row>
    <row r="66" spans="1:18" ht="15.75" customHeight="1">
      <c r="A66" s="950"/>
      <c r="B66" s="118" t="s">
        <v>25</v>
      </c>
      <c r="C66" s="115">
        <f t="shared" ref="C66:E66" si="116">SUM(C62:C65)</f>
        <v>327949</v>
      </c>
      <c r="D66" s="115">
        <f t="shared" si="116"/>
        <v>251883</v>
      </c>
      <c r="E66" s="121">
        <f t="shared" si="116"/>
        <v>228195</v>
      </c>
      <c r="F66" s="116">
        <f t="shared" si="108"/>
        <v>0.69582465566292317</v>
      </c>
      <c r="G66" s="950"/>
      <c r="H66" s="118" t="s">
        <v>25</v>
      </c>
      <c r="I66" s="115">
        <f t="shared" ref="I66:K66" si="117">SUM(I62:I65)</f>
        <v>0</v>
      </c>
      <c r="J66" s="115">
        <f t="shared" si="117"/>
        <v>0</v>
      </c>
      <c r="K66" s="121">
        <f t="shared" si="117"/>
        <v>0</v>
      </c>
      <c r="L66" s="116">
        <v>0</v>
      </c>
      <c r="M66" s="950"/>
      <c r="N66" s="118" t="s">
        <v>25</v>
      </c>
      <c r="O66" s="115">
        <f t="shared" ref="O66:Q66" si="118">SUM(O62:O65)</f>
        <v>327949</v>
      </c>
      <c r="P66" s="115">
        <f t="shared" si="118"/>
        <v>251883</v>
      </c>
      <c r="Q66" s="115">
        <f t="shared" si="118"/>
        <v>228195</v>
      </c>
      <c r="R66" s="105">
        <f t="shared" si="110"/>
        <v>0.69582465566292317</v>
      </c>
    </row>
    <row r="67" spans="1:18" ht="15.75" customHeight="1">
      <c r="A67" s="954"/>
      <c r="B67" s="928"/>
      <c r="C67" s="928"/>
      <c r="D67" s="928"/>
      <c r="E67" s="928"/>
      <c r="F67" s="955"/>
      <c r="G67" s="954"/>
      <c r="H67" s="928"/>
      <c r="I67" s="928"/>
      <c r="J67" s="928"/>
      <c r="K67" s="928"/>
      <c r="L67" s="955"/>
      <c r="M67" s="954"/>
      <c r="N67" s="928"/>
      <c r="O67" s="928"/>
      <c r="P67" s="928"/>
      <c r="Q67" s="928"/>
      <c r="R67" s="955"/>
    </row>
    <row r="68" spans="1:18" ht="15.75" customHeight="1">
      <c r="A68" s="948" t="s">
        <v>47</v>
      </c>
      <c r="B68" s="95" t="s">
        <v>21</v>
      </c>
      <c r="C68" s="99">
        <f>286580+490000</f>
        <v>776580</v>
      </c>
      <c r="D68" s="99">
        <f>C68</f>
        <v>776580</v>
      </c>
      <c r="E68" s="97">
        <v>180994</v>
      </c>
      <c r="F68" s="98">
        <f t="shared" ref="F68:F72" si="119">E68/C68</f>
        <v>0.23306549228669293</v>
      </c>
      <c r="G68" s="948" t="s">
        <v>47</v>
      </c>
      <c r="H68" s="95" t="s">
        <v>21</v>
      </c>
      <c r="I68" s="99">
        <v>100000</v>
      </c>
      <c r="J68" s="99">
        <f>I68</f>
        <v>100000</v>
      </c>
      <c r="K68" s="97">
        <v>100000</v>
      </c>
      <c r="L68" s="98">
        <f t="shared" ref="L68:L70" si="120">K68/I68</f>
        <v>1</v>
      </c>
      <c r="M68" s="948" t="s">
        <v>47</v>
      </c>
      <c r="N68" s="95" t="s">
        <v>21</v>
      </c>
      <c r="O68" s="95">
        <f t="shared" ref="O68:Q68" si="121">C68-I68</f>
        <v>676580</v>
      </c>
      <c r="P68" s="106">
        <f t="shared" si="121"/>
        <v>676580</v>
      </c>
      <c r="Q68" s="95">
        <f t="shared" si="121"/>
        <v>80994</v>
      </c>
      <c r="R68" s="105">
        <f t="shared" ref="R68:R72" si="122">Q68/O68</f>
        <v>0.11971089893286825</v>
      </c>
    </row>
    <row r="69" spans="1:18" ht="15.75" customHeight="1">
      <c r="A69" s="949"/>
      <c r="B69" s="102" t="s">
        <v>28</v>
      </c>
      <c r="C69" s="106">
        <v>91000</v>
      </c>
      <c r="D69" s="106">
        <f t="shared" ref="D69:D70" si="123">SUM(ROUND(C69*50%,0))</f>
        <v>45500</v>
      </c>
      <c r="E69" s="104">
        <v>3436</v>
      </c>
      <c r="F69" s="105">
        <f t="shared" si="119"/>
        <v>3.7758241758241759E-2</v>
      </c>
      <c r="G69" s="949"/>
      <c r="H69" s="102" t="s">
        <v>28</v>
      </c>
      <c r="I69" s="106">
        <v>57500</v>
      </c>
      <c r="J69" s="106">
        <f t="shared" ref="J69:J70" si="124">SUM(ROUND(I69*50%,0))</f>
        <v>28750</v>
      </c>
      <c r="K69" s="104">
        <v>2641</v>
      </c>
      <c r="L69" s="105">
        <f t="shared" si="120"/>
        <v>4.5930434782608692E-2</v>
      </c>
      <c r="M69" s="949"/>
      <c r="N69" s="102" t="s">
        <v>28</v>
      </c>
      <c r="O69" s="102">
        <f t="shared" ref="O69:Q69" si="125">C69-I69</f>
        <v>33500</v>
      </c>
      <c r="P69" s="106">
        <f t="shared" si="125"/>
        <v>16750</v>
      </c>
      <c r="Q69" s="102">
        <f t="shared" si="125"/>
        <v>795</v>
      </c>
      <c r="R69" s="105">
        <f t="shared" si="122"/>
        <v>2.373134328358209E-2</v>
      </c>
    </row>
    <row r="70" spans="1:18" ht="15.75" customHeight="1">
      <c r="A70" s="949"/>
      <c r="B70" s="102" t="s">
        <v>31</v>
      </c>
      <c r="C70" s="106">
        <v>81006</v>
      </c>
      <c r="D70" s="106">
        <f t="shared" si="123"/>
        <v>40503</v>
      </c>
      <c r="E70" s="104">
        <v>60582</v>
      </c>
      <c r="F70" s="105">
        <f t="shared" si="119"/>
        <v>0.74787052810902899</v>
      </c>
      <c r="G70" s="949"/>
      <c r="H70" s="102" t="s">
        <v>31</v>
      </c>
      <c r="I70" s="106">
        <v>34006</v>
      </c>
      <c r="J70" s="106">
        <f t="shared" si="124"/>
        <v>17003</v>
      </c>
      <c r="K70" s="104">
        <v>45336</v>
      </c>
      <c r="L70" s="105">
        <f t="shared" si="120"/>
        <v>1.3331764982650121</v>
      </c>
      <c r="M70" s="949"/>
      <c r="N70" s="102" t="s">
        <v>31</v>
      </c>
      <c r="O70" s="102">
        <f t="shared" ref="O70:Q70" si="126">C70-I70</f>
        <v>47000</v>
      </c>
      <c r="P70" s="106">
        <f t="shared" si="126"/>
        <v>23500</v>
      </c>
      <c r="Q70" s="102">
        <f t="shared" si="126"/>
        <v>15246</v>
      </c>
      <c r="R70" s="105">
        <f t="shared" si="122"/>
        <v>0.32438297872340427</v>
      </c>
    </row>
    <row r="71" spans="1:18" ht="15.75" customHeight="1">
      <c r="A71" s="949"/>
      <c r="B71" s="122" t="s">
        <v>32</v>
      </c>
      <c r="C71" s="123">
        <v>125000</v>
      </c>
      <c r="D71" s="106">
        <f>SUM(ROUND(C71*75%,0))</f>
        <v>93750</v>
      </c>
      <c r="E71" s="104">
        <v>14050</v>
      </c>
      <c r="F71" s="105">
        <f t="shared" si="119"/>
        <v>0.1124</v>
      </c>
      <c r="G71" s="949"/>
      <c r="H71" s="122" t="s">
        <v>32</v>
      </c>
      <c r="I71" s="123">
        <v>0</v>
      </c>
      <c r="J71" s="106">
        <f>SUM(ROUND(I71*75%,0))</f>
        <v>0</v>
      </c>
      <c r="K71" s="104">
        <v>0</v>
      </c>
      <c r="L71" s="105">
        <v>0</v>
      </c>
      <c r="M71" s="949"/>
      <c r="N71" s="122" t="s">
        <v>32</v>
      </c>
      <c r="O71" s="102">
        <f t="shared" ref="O71:Q71" si="127">C71-I71</f>
        <v>125000</v>
      </c>
      <c r="P71" s="106">
        <f t="shared" si="127"/>
        <v>93750</v>
      </c>
      <c r="Q71" s="102">
        <f t="shared" si="127"/>
        <v>14050</v>
      </c>
      <c r="R71" s="105">
        <f t="shared" si="122"/>
        <v>0.1124</v>
      </c>
    </row>
    <row r="72" spans="1:18" ht="15.75" customHeight="1">
      <c r="A72" s="950"/>
      <c r="B72" s="118" t="s">
        <v>25</v>
      </c>
      <c r="C72" s="115">
        <f t="shared" ref="C72:E72" si="128">SUM(C68:C71)</f>
        <v>1073586</v>
      </c>
      <c r="D72" s="115">
        <f t="shared" si="128"/>
        <v>956333</v>
      </c>
      <c r="E72" s="121">
        <f t="shared" si="128"/>
        <v>259062</v>
      </c>
      <c r="F72" s="116">
        <f t="shared" si="119"/>
        <v>0.24130530763255109</v>
      </c>
      <c r="G72" s="950"/>
      <c r="H72" s="118" t="s">
        <v>25</v>
      </c>
      <c r="I72" s="115">
        <f t="shared" ref="I72:K72" si="129">SUM(I68:I71)</f>
        <v>191506</v>
      </c>
      <c r="J72" s="115">
        <f t="shared" si="129"/>
        <v>145753</v>
      </c>
      <c r="K72" s="121">
        <f t="shared" si="129"/>
        <v>147977</v>
      </c>
      <c r="L72" s="116">
        <f>K72/I72</f>
        <v>0.77270163859095797</v>
      </c>
      <c r="M72" s="950"/>
      <c r="N72" s="118" t="s">
        <v>25</v>
      </c>
      <c r="O72" s="118">
        <f t="shared" ref="O72:Q72" si="130">SUM(O68:O71)</f>
        <v>882080</v>
      </c>
      <c r="P72" s="115">
        <f t="shared" si="130"/>
        <v>810580</v>
      </c>
      <c r="Q72" s="118">
        <f t="shared" si="130"/>
        <v>111085</v>
      </c>
      <c r="R72" s="105">
        <f t="shared" si="122"/>
        <v>0.1259352893161618</v>
      </c>
    </row>
    <row r="73" spans="1:18" ht="15.75" customHeight="1">
      <c r="A73" s="954"/>
      <c r="B73" s="928"/>
      <c r="C73" s="928"/>
      <c r="D73" s="928"/>
      <c r="E73" s="928"/>
      <c r="F73" s="955"/>
      <c r="G73" s="954"/>
      <c r="H73" s="928"/>
      <c r="I73" s="928"/>
      <c r="J73" s="928"/>
      <c r="K73" s="928"/>
      <c r="L73" s="955"/>
      <c r="M73" s="954"/>
      <c r="N73" s="928"/>
      <c r="O73" s="928"/>
      <c r="P73" s="928"/>
      <c r="Q73" s="928"/>
      <c r="R73" s="955"/>
    </row>
    <row r="74" spans="1:18" ht="15.75" customHeight="1">
      <c r="A74" s="948" t="s">
        <v>52</v>
      </c>
      <c r="B74" s="95" t="s">
        <v>21</v>
      </c>
      <c r="C74" s="99">
        <v>71102</v>
      </c>
      <c r="D74" s="99">
        <f>C74</f>
        <v>71102</v>
      </c>
      <c r="E74" s="97">
        <v>9730</v>
      </c>
      <c r="F74" s="98">
        <f t="shared" ref="F74:F77" si="131">E74/C74</f>
        <v>0.13684565834997608</v>
      </c>
      <c r="G74" s="948" t="s">
        <v>52</v>
      </c>
      <c r="H74" s="95" t="s">
        <v>21</v>
      </c>
      <c r="I74" s="99">
        <v>102</v>
      </c>
      <c r="J74" s="99">
        <f>I74</f>
        <v>102</v>
      </c>
      <c r="K74" s="97">
        <v>6594</v>
      </c>
      <c r="L74" s="98">
        <f t="shared" ref="L74:L77" si="132">K74/I74</f>
        <v>64.647058823529406</v>
      </c>
      <c r="M74" s="948" t="s">
        <v>52</v>
      </c>
      <c r="N74" s="95" t="s">
        <v>21</v>
      </c>
      <c r="O74" s="102">
        <f t="shared" ref="O74:Q74" si="133">C74-I74</f>
        <v>71000</v>
      </c>
      <c r="P74" s="102">
        <f t="shared" si="133"/>
        <v>71000</v>
      </c>
      <c r="Q74" s="107">
        <f t="shared" si="133"/>
        <v>3136</v>
      </c>
      <c r="R74" s="105">
        <f t="shared" ref="R74:R77" si="134">Q74/O74</f>
        <v>4.416901408450704E-2</v>
      </c>
    </row>
    <row r="75" spans="1:18" ht="15.75" customHeight="1">
      <c r="A75" s="949"/>
      <c r="B75" s="102" t="s">
        <v>102</v>
      </c>
      <c r="C75" s="106">
        <v>196016</v>
      </c>
      <c r="D75" s="106">
        <f t="shared" ref="D75:D76" si="135">SUM(ROUND(C75*50%,0))</f>
        <v>98008</v>
      </c>
      <c r="E75" s="104">
        <v>68584</v>
      </c>
      <c r="F75" s="105">
        <f t="shared" si="131"/>
        <v>0.34988980491388461</v>
      </c>
      <c r="G75" s="949"/>
      <c r="H75" s="102" t="s">
        <v>102</v>
      </c>
      <c r="I75" s="106">
        <v>87509</v>
      </c>
      <c r="J75" s="106">
        <f t="shared" ref="J75:J76" si="136">SUM(ROUND(I75*50%,0))</f>
        <v>43755</v>
      </c>
      <c r="K75" s="104">
        <v>37867</v>
      </c>
      <c r="L75" s="105">
        <f t="shared" si="132"/>
        <v>0.43272120581883006</v>
      </c>
      <c r="M75" s="949"/>
      <c r="N75" s="102" t="s">
        <v>102</v>
      </c>
      <c r="O75" s="102">
        <f t="shared" ref="O75:Q75" si="137">C75-I75</f>
        <v>108507</v>
      </c>
      <c r="P75" s="102">
        <f t="shared" si="137"/>
        <v>54253</v>
      </c>
      <c r="Q75" s="107">
        <f t="shared" si="137"/>
        <v>30717</v>
      </c>
      <c r="R75" s="105">
        <f t="shared" si="134"/>
        <v>0.28308772705908375</v>
      </c>
    </row>
    <row r="76" spans="1:18" ht="15.75" customHeight="1">
      <c r="A76" s="949"/>
      <c r="B76" s="102" t="s">
        <v>31</v>
      </c>
      <c r="C76" s="106">
        <v>43025</v>
      </c>
      <c r="D76" s="106">
        <f t="shared" si="135"/>
        <v>21513</v>
      </c>
      <c r="E76" s="104">
        <v>524</v>
      </c>
      <c r="F76" s="105">
        <f t="shared" si="131"/>
        <v>1.2178965717606042E-2</v>
      </c>
      <c r="G76" s="949"/>
      <c r="H76" s="102" t="s">
        <v>31</v>
      </c>
      <c r="I76" s="106">
        <v>203</v>
      </c>
      <c r="J76" s="106">
        <f t="shared" si="136"/>
        <v>102</v>
      </c>
      <c r="K76" s="104">
        <v>0</v>
      </c>
      <c r="L76" s="105">
        <f t="shared" si="132"/>
        <v>0</v>
      </c>
      <c r="M76" s="949"/>
      <c r="N76" s="102" t="s">
        <v>31</v>
      </c>
      <c r="O76" s="102">
        <f t="shared" ref="O76:Q76" si="138">C76-I76</f>
        <v>42822</v>
      </c>
      <c r="P76" s="102">
        <f t="shared" si="138"/>
        <v>21411</v>
      </c>
      <c r="Q76" s="107">
        <f t="shared" si="138"/>
        <v>524</v>
      </c>
      <c r="R76" s="105">
        <f t="shared" si="134"/>
        <v>1.2236700761290926E-2</v>
      </c>
    </row>
    <row r="77" spans="1:18" ht="15.75" customHeight="1">
      <c r="A77" s="950"/>
      <c r="B77" s="118" t="s">
        <v>25</v>
      </c>
      <c r="C77" s="115">
        <f t="shared" ref="C77:E77" si="139">SUM(C74:C76)</f>
        <v>310143</v>
      </c>
      <c r="D77" s="115">
        <f t="shared" si="139"/>
        <v>190623</v>
      </c>
      <c r="E77" s="121">
        <f t="shared" si="139"/>
        <v>78838</v>
      </c>
      <c r="F77" s="116">
        <f t="shared" si="131"/>
        <v>0.25419886955372201</v>
      </c>
      <c r="G77" s="950"/>
      <c r="H77" s="118" t="s">
        <v>25</v>
      </c>
      <c r="I77" s="115">
        <f t="shared" ref="I77:K77" si="140">SUM(I74:I76)</f>
        <v>87814</v>
      </c>
      <c r="J77" s="115">
        <f t="shared" si="140"/>
        <v>43959</v>
      </c>
      <c r="K77" s="121">
        <f t="shared" si="140"/>
        <v>44461</v>
      </c>
      <c r="L77" s="116">
        <f t="shared" si="132"/>
        <v>0.50630878903136178</v>
      </c>
      <c r="M77" s="950"/>
      <c r="N77" s="118" t="s">
        <v>25</v>
      </c>
      <c r="O77" s="115">
        <f t="shared" ref="O77:Q77" si="141">SUM(O74:O76)</f>
        <v>222329</v>
      </c>
      <c r="P77" s="115">
        <f t="shared" si="141"/>
        <v>146664</v>
      </c>
      <c r="Q77" s="115">
        <f t="shared" si="141"/>
        <v>34377</v>
      </c>
      <c r="R77" s="105">
        <f t="shared" si="134"/>
        <v>0.15462220403096313</v>
      </c>
    </row>
    <row r="78" spans="1:18" ht="15.75" customHeight="1">
      <c r="A78" s="954"/>
      <c r="B78" s="928"/>
      <c r="C78" s="928"/>
      <c r="D78" s="928"/>
      <c r="E78" s="928"/>
      <c r="F78" s="955"/>
      <c r="G78" s="954"/>
      <c r="H78" s="928"/>
      <c r="I78" s="928"/>
      <c r="J78" s="928"/>
      <c r="K78" s="928"/>
      <c r="L78" s="955"/>
      <c r="M78" s="954"/>
      <c r="N78" s="928"/>
      <c r="O78" s="928"/>
      <c r="P78" s="928"/>
      <c r="Q78" s="928"/>
      <c r="R78" s="955"/>
    </row>
    <row r="79" spans="1:18" ht="15.75" customHeight="1">
      <c r="A79" s="948" t="s">
        <v>54</v>
      </c>
      <c r="B79" s="95" t="s">
        <v>21</v>
      </c>
      <c r="C79" s="99">
        <v>482000</v>
      </c>
      <c r="D79" s="99">
        <f>C79</f>
        <v>482000</v>
      </c>
      <c r="E79" s="97">
        <v>39963</v>
      </c>
      <c r="F79" s="98">
        <f t="shared" ref="F79:F83" si="142">E79/C79</f>
        <v>8.2910788381742734E-2</v>
      </c>
      <c r="G79" s="948" t="s">
        <v>54</v>
      </c>
      <c r="H79" s="95" t="s">
        <v>21</v>
      </c>
      <c r="I79" s="99">
        <v>0</v>
      </c>
      <c r="J79" s="99">
        <f>I79</f>
        <v>0</v>
      </c>
      <c r="K79" s="97">
        <v>0</v>
      </c>
      <c r="L79" s="98">
        <v>0</v>
      </c>
      <c r="M79" s="948" t="s">
        <v>54</v>
      </c>
      <c r="N79" s="95" t="s">
        <v>21</v>
      </c>
      <c r="O79" s="102">
        <f t="shared" ref="O79:Q79" si="143">C79-I79</f>
        <v>482000</v>
      </c>
      <c r="P79" s="102">
        <f t="shared" si="143"/>
        <v>482000</v>
      </c>
      <c r="Q79" s="107">
        <f t="shared" si="143"/>
        <v>39963</v>
      </c>
      <c r="R79" s="105">
        <f t="shared" ref="R79:R83" si="144">Q79/O79</f>
        <v>8.2910788381742734E-2</v>
      </c>
    </row>
    <row r="80" spans="1:18" ht="15.75" customHeight="1">
      <c r="A80" s="949"/>
      <c r="B80" s="102" t="s">
        <v>28</v>
      </c>
      <c r="C80" s="106">
        <v>141003</v>
      </c>
      <c r="D80" s="106">
        <f t="shared" ref="D80:D81" si="145">SUM(ROUND(C80*50%,0))</f>
        <v>70502</v>
      </c>
      <c r="E80" s="104">
        <v>8476</v>
      </c>
      <c r="F80" s="105">
        <f t="shared" si="142"/>
        <v>6.0112196194407212E-2</v>
      </c>
      <c r="G80" s="949"/>
      <c r="H80" s="102" t="s">
        <v>28</v>
      </c>
      <c r="I80" s="106">
        <v>0</v>
      </c>
      <c r="J80" s="106">
        <f t="shared" ref="J80:J81" si="146">SUM(ROUND(I80*50%,0))</f>
        <v>0</v>
      </c>
      <c r="K80" s="104">
        <v>0</v>
      </c>
      <c r="L80" s="105">
        <v>0</v>
      </c>
      <c r="M80" s="949"/>
      <c r="N80" s="102" t="s">
        <v>28</v>
      </c>
      <c r="O80" s="102">
        <f t="shared" ref="O80:Q80" si="147">C80-I80</f>
        <v>141003</v>
      </c>
      <c r="P80" s="102">
        <f t="shared" si="147"/>
        <v>70502</v>
      </c>
      <c r="Q80" s="107">
        <f t="shared" si="147"/>
        <v>8476</v>
      </c>
      <c r="R80" s="105">
        <f t="shared" si="144"/>
        <v>6.0112196194407212E-2</v>
      </c>
    </row>
    <row r="81" spans="1:18" ht="15.75" customHeight="1">
      <c r="A81" s="949"/>
      <c r="B81" s="102" t="s">
        <v>31</v>
      </c>
      <c r="C81" s="106">
        <v>435516</v>
      </c>
      <c r="D81" s="106">
        <f t="shared" si="145"/>
        <v>217758</v>
      </c>
      <c r="E81" s="104">
        <v>94600</v>
      </c>
      <c r="F81" s="105">
        <f t="shared" si="142"/>
        <v>0.21721360409261659</v>
      </c>
      <c r="G81" s="949"/>
      <c r="H81" s="102" t="s">
        <v>31</v>
      </c>
      <c r="I81" s="106">
        <v>163102</v>
      </c>
      <c r="J81" s="106">
        <f t="shared" si="146"/>
        <v>81551</v>
      </c>
      <c r="K81" s="104">
        <v>25186</v>
      </c>
      <c r="L81" s="105">
        <f t="shared" ref="L81:L83" si="148">K81/I81</f>
        <v>0.15441870731198881</v>
      </c>
      <c r="M81" s="949"/>
      <c r="N81" s="102" t="s">
        <v>31</v>
      </c>
      <c r="O81" s="102">
        <f t="shared" ref="O81:Q81" si="149">C81-I81</f>
        <v>272414</v>
      </c>
      <c r="P81" s="102">
        <f t="shared" si="149"/>
        <v>136207</v>
      </c>
      <c r="Q81" s="107">
        <f t="shared" si="149"/>
        <v>69414</v>
      </c>
      <c r="R81" s="105">
        <f t="shared" si="144"/>
        <v>0.25481069254884109</v>
      </c>
    </row>
    <row r="82" spans="1:18" ht="15.75" customHeight="1">
      <c r="A82" s="949"/>
      <c r="B82" s="122" t="s">
        <v>32</v>
      </c>
      <c r="C82" s="123">
        <v>707811</v>
      </c>
      <c r="D82" s="106">
        <f>SUM(ROUND(C82*75%,0))</f>
        <v>530858</v>
      </c>
      <c r="E82" s="104">
        <v>154554</v>
      </c>
      <c r="F82" s="105">
        <f t="shared" si="142"/>
        <v>0.21835489982495326</v>
      </c>
      <c r="G82" s="949"/>
      <c r="H82" s="122" t="s">
        <v>32</v>
      </c>
      <c r="I82" s="123">
        <v>1</v>
      </c>
      <c r="J82" s="106">
        <f>SUM(ROUND(I82*75%,0))</f>
        <v>1</v>
      </c>
      <c r="K82" s="104">
        <v>0</v>
      </c>
      <c r="L82" s="105">
        <f t="shared" si="148"/>
        <v>0</v>
      </c>
      <c r="M82" s="949"/>
      <c r="N82" s="122" t="s">
        <v>32</v>
      </c>
      <c r="O82" s="102">
        <f t="shared" ref="O82:Q82" si="150">C82-I82</f>
        <v>707810</v>
      </c>
      <c r="P82" s="102">
        <f t="shared" si="150"/>
        <v>530857</v>
      </c>
      <c r="Q82" s="107">
        <f t="shared" si="150"/>
        <v>154554</v>
      </c>
      <c r="R82" s="105">
        <f t="shared" si="144"/>
        <v>0.21835520831861657</v>
      </c>
    </row>
    <row r="83" spans="1:18" ht="15.75" customHeight="1">
      <c r="A83" s="950"/>
      <c r="B83" s="118" t="s">
        <v>25</v>
      </c>
      <c r="C83" s="115">
        <f t="shared" ref="C83:E83" si="151">SUM(C79:C82)</f>
        <v>1766330</v>
      </c>
      <c r="D83" s="115">
        <f t="shared" si="151"/>
        <v>1301118</v>
      </c>
      <c r="E83" s="121">
        <f t="shared" si="151"/>
        <v>297593</v>
      </c>
      <c r="F83" s="116">
        <f t="shared" si="142"/>
        <v>0.16848097467630624</v>
      </c>
      <c r="G83" s="950"/>
      <c r="H83" s="118" t="s">
        <v>25</v>
      </c>
      <c r="I83" s="115">
        <f t="shared" ref="I83:K83" si="152">SUM(I79:I82)</f>
        <v>163103</v>
      </c>
      <c r="J83" s="115">
        <f t="shared" si="152"/>
        <v>81552</v>
      </c>
      <c r="K83" s="121">
        <f t="shared" si="152"/>
        <v>25186</v>
      </c>
      <c r="L83" s="116">
        <f t="shared" si="148"/>
        <v>0.15441776055621295</v>
      </c>
      <c r="M83" s="950"/>
      <c r="N83" s="118" t="s">
        <v>25</v>
      </c>
      <c r="O83" s="115">
        <f t="shared" ref="O83:Q83" si="153">SUM(O79:O82)</f>
        <v>1603227</v>
      </c>
      <c r="P83" s="115">
        <f t="shared" si="153"/>
        <v>1219566</v>
      </c>
      <c r="Q83" s="130">
        <f t="shared" si="153"/>
        <v>272407</v>
      </c>
      <c r="R83" s="105">
        <f t="shared" si="144"/>
        <v>0.16991168437158308</v>
      </c>
    </row>
    <row r="84" spans="1:18" ht="15.75" customHeight="1">
      <c r="A84" s="954"/>
      <c r="B84" s="928"/>
      <c r="C84" s="928"/>
      <c r="D84" s="928"/>
      <c r="E84" s="928"/>
      <c r="F84" s="955"/>
      <c r="G84" s="954"/>
      <c r="H84" s="928"/>
      <c r="I84" s="928"/>
      <c r="J84" s="928"/>
      <c r="K84" s="928"/>
      <c r="L84" s="955"/>
      <c r="M84" s="954"/>
      <c r="N84" s="928"/>
      <c r="O84" s="928"/>
      <c r="P84" s="928"/>
      <c r="Q84" s="928"/>
      <c r="R84" s="955"/>
    </row>
    <row r="85" spans="1:18" ht="15.75" customHeight="1">
      <c r="A85" s="948" t="s">
        <v>56</v>
      </c>
      <c r="B85" s="95" t="s">
        <v>21</v>
      </c>
      <c r="C85" s="99">
        <v>31541</v>
      </c>
      <c r="D85" s="99">
        <f>C85</f>
        <v>31541</v>
      </c>
      <c r="E85" s="97">
        <v>445</v>
      </c>
      <c r="F85" s="98">
        <f t="shared" ref="F85:F89" si="154">E85/C85</f>
        <v>1.4108620525665007E-2</v>
      </c>
      <c r="G85" s="948" t="s">
        <v>56</v>
      </c>
      <c r="H85" s="95" t="s">
        <v>21</v>
      </c>
      <c r="I85" s="99">
        <v>441</v>
      </c>
      <c r="J85" s="99">
        <f>I85</f>
        <v>441</v>
      </c>
      <c r="K85" s="97">
        <v>0</v>
      </c>
      <c r="L85" s="98">
        <f t="shared" ref="L85:L87" si="155">K85/I85</f>
        <v>0</v>
      </c>
      <c r="M85" s="948" t="s">
        <v>56</v>
      </c>
      <c r="N85" s="95" t="s">
        <v>21</v>
      </c>
      <c r="O85" s="102">
        <f t="shared" ref="O85:Q85" si="156">C85-I85</f>
        <v>31100</v>
      </c>
      <c r="P85" s="102">
        <f t="shared" si="156"/>
        <v>31100</v>
      </c>
      <c r="Q85" s="107">
        <f t="shared" si="156"/>
        <v>445</v>
      </c>
      <c r="R85" s="105">
        <f t="shared" ref="R85:R89" si="157">Q85/O85</f>
        <v>1.4308681672025723E-2</v>
      </c>
    </row>
    <row r="86" spans="1:18" ht="15.75" customHeight="1">
      <c r="A86" s="949"/>
      <c r="B86" s="102" t="s">
        <v>28</v>
      </c>
      <c r="C86" s="106">
        <v>9731</v>
      </c>
      <c r="D86" s="106">
        <f t="shared" ref="D86:D87" si="158">SUM(ROUND(C86*50%,0))</f>
        <v>4866</v>
      </c>
      <c r="E86" s="104">
        <v>3012</v>
      </c>
      <c r="F86" s="105">
        <f t="shared" si="154"/>
        <v>0.30952625629431713</v>
      </c>
      <c r="G86" s="949"/>
      <c r="H86" s="102" t="s">
        <v>28</v>
      </c>
      <c r="I86" s="106">
        <v>1</v>
      </c>
      <c r="J86" s="106">
        <f t="shared" ref="J86:J87" si="159">SUM(ROUND(I86*50%,0))</f>
        <v>1</v>
      </c>
      <c r="K86" s="104">
        <v>0</v>
      </c>
      <c r="L86" s="105">
        <f t="shared" si="155"/>
        <v>0</v>
      </c>
      <c r="M86" s="949"/>
      <c r="N86" s="102" t="s">
        <v>28</v>
      </c>
      <c r="O86" s="102">
        <f t="shared" ref="O86:Q86" si="160">C86-I86</f>
        <v>9730</v>
      </c>
      <c r="P86" s="102">
        <f t="shared" si="160"/>
        <v>4865</v>
      </c>
      <c r="Q86" s="107">
        <f t="shared" si="160"/>
        <v>3012</v>
      </c>
      <c r="R86" s="105">
        <f t="shared" si="157"/>
        <v>0.30955806783144912</v>
      </c>
    </row>
    <row r="87" spans="1:18" ht="15.75" customHeight="1">
      <c r="A87" s="949"/>
      <c r="B87" s="102" t="s">
        <v>103</v>
      </c>
      <c r="C87" s="106">
        <v>24603</v>
      </c>
      <c r="D87" s="106">
        <f t="shared" si="158"/>
        <v>12302</v>
      </c>
      <c r="E87" s="104">
        <v>60360</v>
      </c>
      <c r="F87" s="105">
        <f t="shared" si="154"/>
        <v>2.453359346421168</v>
      </c>
      <c r="G87" s="949"/>
      <c r="H87" s="102" t="s">
        <v>103</v>
      </c>
      <c r="I87" s="106">
        <v>1519</v>
      </c>
      <c r="J87" s="106">
        <f t="shared" si="159"/>
        <v>760</v>
      </c>
      <c r="K87" s="104">
        <v>0</v>
      </c>
      <c r="L87" s="105">
        <f t="shared" si="155"/>
        <v>0</v>
      </c>
      <c r="M87" s="949"/>
      <c r="N87" s="102" t="s">
        <v>103</v>
      </c>
      <c r="O87" s="102">
        <f t="shared" ref="O87:Q87" si="161">C87-I87</f>
        <v>23084</v>
      </c>
      <c r="P87" s="102">
        <f t="shared" si="161"/>
        <v>11542</v>
      </c>
      <c r="Q87" s="107">
        <f t="shared" si="161"/>
        <v>60360</v>
      </c>
      <c r="R87" s="105">
        <f t="shared" si="157"/>
        <v>2.6147981285739039</v>
      </c>
    </row>
    <row r="88" spans="1:18" ht="15.75" customHeight="1">
      <c r="A88" s="949"/>
      <c r="B88" s="122" t="s">
        <v>32</v>
      </c>
      <c r="C88" s="123">
        <v>334764</v>
      </c>
      <c r="D88" s="106">
        <f>SUM(ROUND(C88*75%,0))</f>
        <v>251073</v>
      </c>
      <c r="E88" s="104">
        <v>77079</v>
      </c>
      <c r="F88" s="105">
        <f t="shared" si="154"/>
        <v>0.23024877226941964</v>
      </c>
      <c r="G88" s="949"/>
      <c r="H88" s="122" t="s">
        <v>32</v>
      </c>
      <c r="I88" s="123">
        <v>0</v>
      </c>
      <c r="J88" s="106">
        <f>SUM(ROUND(I88*75%,0))</f>
        <v>0</v>
      </c>
      <c r="K88" s="104">
        <v>0</v>
      </c>
      <c r="L88" s="105">
        <v>0</v>
      </c>
      <c r="M88" s="949"/>
      <c r="N88" s="122" t="s">
        <v>32</v>
      </c>
      <c r="O88" s="102">
        <f t="shared" ref="O88:Q88" si="162">C88-I88</f>
        <v>334764</v>
      </c>
      <c r="P88" s="102">
        <f t="shared" si="162"/>
        <v>251073</v>
      </c>
      <c r="Q88" s="107">
        <f t="shared" si="162"/>
        <v>77079</v>
      </c>
      <c r="R88" s="105">
        <f t="shared" si="157"/>
        <v>0.23024877226941964</v>
      </c>
    </row>
    <row r="89" spans="1:18" ht="15.75" customHeight="1">
      <c r="A89" s="950"/>
      <c r="B89" s="118" t="s">
        <v>25</v>
      </c>
      <c r="C89" s="115">
        <f t="shared" ref="C89:E89" si="163">SUM(C85:C88)</f>
        <v>400639</v>
      </c>
      <c r="D89" s="115">
        <f t="shared" si="163"/>
        <v>299782</v>
      </c>
      <c r="E89" s="121">
        <f t="shared" si="163"/>
        <v>140896</v>
      </c>
      <c r="F89" s="116">
        <f t="shared" si="154"/>
        <v>0.35167819408494927</v>
      </c>
      <c r="G89" s="950"/>
      <c r="H89" s="118" t="s">
        <v>25</v>
      </c>
      <c r="I89" s="115">
        <f t="shared" ref="I89:K89" si="164">SUM(I85:I88)</f>
        <v>1961</v>
      </c>
      <c r="J89" s="115">
        <f t="shared" si="164"/>
        <v>1202</v>
      </c>
      <c r="K89" s="121">
        <f t="shared" si="164"/>
        <v>0</v>
      </c>
      <c r="L89" s="116">
        <f>K89/I89</f>
        <v>0</v>
      </c>
      <c r="M89" s="950"/>
      <c r="N89" s="118" t="s">
        <v>25</v>
      </c>
      <c r="O89" s="115">
        <f t="shared" ref="O89:Q89" si="165">SUM(O85:O88)</f>
        <v>398678</v>
      </c>
      <c r="P89" s="115">
        <f t="shared" si="165"/>
        <v>298580</v>
      </c>
      <c r="Q89" s="130">
        <f t="shared" si="165"/>
        <v>140896</v>
      </c>
      <c r="R89" s="105">
        <f t="shared" si="157"/>
        <v>0.35340801348456652</v>
      </c>
    </row>
    <row r="90" spans="1:18" ht="15.75" customHeight="1">
      <c r="A90" s="954"/>
      <c r="B90" s="928"/>
      <c r="C90" s="928"/>
      <c r="D90" s="928"/>
      <c r="E90" s="928"/>
      <c r="F90" s="955"/>
      <c r="G90" s="954"/>
      <c r="H90" s="928"/>
      <c r="I90" s="928"/>
      <c r="J90" s="928"/>
      <c r="K90" s="928"/>
      <c r="L90" s="955"/>
      <c r="M90" s="954"/>
      <c r="N90" s="928"/>
      <c r="O90" s="928"/>
      <c r="P90" s="928"/>
      <c r="Q90" s="928"/>
      <c r="R90" s="955"/>
    </row>
    <row r="91" spans="1:18" ht="15.75" customHeight="1">
      <c r="A91" s="948" t="s">
        <v>59</v>
      </c>
      <c r="B91" s="95" t="s">
        <v>21</v>
      </c>
      <c r="C91" s="99">
        <v>5000</v>
      </c>
      <c r="D91" s="106">
        <f>SUM(ROUND(C91*50%,0))</f>
        <v>2500</v>
      </c>
      <c r="E91" s="97">
        <v>0</v>
      </c>
      <c r="F91" s="98">
        <f t="shared" ref="F91:F94" si="166">E91/C91</f>
        <v>0</v>
      </c>
      <c r="G91" s="948" t="s">
        <v>59</v>
      </c>
      <c r="H91" s="95" t="s">
        <v>21</v>
      </c>
      <c r="I91" s="99">
        <v>0</v>
      </c>
      <c r="J91" s="106">
        <f>SUM(ROUND(I91*50%,0))</f>
        <v>0</v>
      </c>
      <c r="K91" s="97">
        <v>0</v>
      </c>
      <c r="L91" s="98">
        <v>0</v>
      </c>
      <c r="M91" s="951" t="s">
        <v>59</v>
      </c>
      <c r="N91" s="95" t="s">
        <v>21</v>
      </c>
      <c r="O91" s="107">
        <f t="shared" ref="O91:Q91" si="167">C91-I91</f>
        <v>5000</v>
      </c>
      <c r="P91" s="102">
        <f t="shared" si="167"/>
        <v>2500</v>
      </c>
      <c r="Q91" s="107">
        <f t="shared" si="167"/>
        <v>0</v>
      </c>
      <c r="R91" s="105">
        <f t="shared" ref="R91:R94" si="168">Q91/O91</f>
        <v>0</v>
      </c>
    </row>
    <row r="92" spans="1:18" ht="15.75" customHeight="1">
      <c r="A92" s="949"/>
      <c r="B92" s="131" t="s">
        <v>31</v>
      </c>
      <c r="C92" s="132">
        <v>7002</v>
      </c>
      <c r="D92" s="106"/>
      <c r="E92" s="133">
        <v>876</v>
      </c>
      <c r="F92" s="105">
        <f t="shared" si="166"/>
        <v>0.12510711225364182</v>
      </c>
      <c r="G92" s="949"/>
      <c r="H92" s="131" t="s">
        <v>31</v>
      </c>
      <c r="I92" s="132">
        <v>1</v>
      </c>
      <c r="J92" s="106"/>
      <c r="K92" s="133">
        <v>0</v>
      </c>
      <c r="L92" s="105">
        <f>K92/I92</f>
        <v>0</v>
      </c>
      <c r="M92" s="952"/>
      <c r="N92" s="131" t="s">
        <v>31</v>
      </c>
      <c r="O92" s="107">
        <f t="shared" ref="O92:O93" si="169">C92-I92</f>
        <v>7001</v>
      </c>
      <c r="P92" s="102"/>
      <c r="Q92" s="107">
        <f>E92-K92</f>
        <v>876</v>
      </c>
      <c r="R92" s="105">
        <f t="shared" si="168"/>
        <v>0.12512498214540779</v>
      </c>
    </row>
    <row r="93" spans="1:18" ht="15.75" customHeight="1">
      <c r="A93" s="949"/>
      <c r="B93" s="102" t="s">
        <v>32</v>
      </c>
      <c r="C93" s="106">
        <v>19000</v>
      </c>
      <c r="D93" s="106">
        <f>SUM(ROUND(C93*75%,0))</f>
        <v>14250</v>
      </c>
      <c r="E93" s="104">
        <v>361</v>
      </c>
      <c r="F93" s="105">
        <f t="shared" si="166"/>
        <v>1.9E-2</v>
      </c>
      <c r="G93" s="949"/>
      <c r="H93" s="102" t="s">
        <v>32</v>
      </c>
      <c r="I93" s="106">
        <v>0</v>
      </c>
      <c r="J93" s="106">
        <f>SUM(ROUND(I93*75%,0))</f>
        <v>0</v>
      </c>
      <c r="K93" s="104">
        <v>0</v>
      </c>
      <c r="L93" s="105">
        <v>0</v>
      </c>
      <c r="M93" s="952"/>
      <c r="N93" s="102" t="s">
        <v>32</v>
      </c>
      <c r="O93" s="107">
        <f t="shared" si="169"/>
        <v>19000</v>
      </c>
      <c r="P93" s="102">
        <f t="shared" ref="P93:Q93" si="170">D93-J93</f>
        <v>14250</v>
      </c>
      <c r="Q93" s="107">
        <f t="shared" si="170"/>
        <v>361</v>
      </c>
      <c r="R93" s="105">
        <f t="shared" si="168"/>
        <v>1.9E-2</v>
      </c>
    </row>
    <row r="94" spans="1:18" ht="15.75" customHeight="1">
      <c r="A94" s="950"/>
      <c r="B94" s="118" t="s">
        <v>25</v>
      </c>
      <c r="C94" s="115">
        <f t="shared" ref="C94:E94" si="171">SUM(C91:C93)</f>
        <v>31002</v>
      </c>
      <c r="D94" s="115">
        <f t="shared" si="171"/>
        <v>16750</v>
      </c>
      <c r="E94" s="115">
        <f t="shared" si="171"/>
        <v>1237</v>
      </c>
      <c r="F94" s="116">
        <f t="shared" si="166"/>
        <v>3.9900651570866398E-2</v>
      </c>
      <c r="G94" s="950"/>
      <c r="H94" s="118" t="s">
        <v>25</v>
      </c>
      <c r="I94" s="115">
        <f t="shared" ref="I94:K94" si="172">SUM(I91:I93)</f>
        <v>1</v>
      </c>
      <c r="J94" s="115">
        <f t="shared" si="172"/>
        <v>0</v>
      </c>
      <c r="K94" s="115">
        <f t="shared" si="172"/>
        <v>0</v>
      </c>
      <c r="L94" s="116">
        <f>K94/I94</f>
        <v>0</v>
      </c>
      <c r="M94" s="953"/>
      <c r="N94" s="118" t="s">
        <v>25</v>
      </c>
      <c r="O94" s="114">
        <f t="shared" ref="O94:Q94" si="173">SUM(O91:O93)</f>
        <v>31001</v>
      </c>
      <c r="P94" s="115">
        <f t="shared" si="173"/>
        <v>16750</v>
      </c>
      <c r="Q94" s="130">
        <f t="shared" si="173"/>
        <v>1237</v>
      </c>
      <c r="R94" s="105">
        <f t="shared" si="168"/>
        <v>3.9901938647140416E-2</v>
      </c>
    </row>
    <row r="95" spans="1:18" ht="15.75" customHeight="1">
      <c r="A95" s="954"/>
      <c r="B95" s="928"/>
      <c r="C95" s="928"/>
      <c r="D95" s="928"/>
      <c r="E95" s="928"/>
      <c r="F95" s="955"/>
      <c r="G95" s="954"/>
      <c r="H95" s="928"/>
      <c r="I95" s="928"/>
      <c r="J95" s="928"/>
      <c r="K95" s="928"/>
      <c r="L95" s="955"/>
      <c r="M95" s="954"/>
      <c r="N95" s="928"/>
      <c r="O95" s="928"/>
      <c r="P95" s="928"/>
      <c r="Q95" s="928"/>
      <c r="R95" s="955"/>
    </row>
    <row r="96" spans="1:18" ht="15.75" customHeight="1">
      <c r="A96" s="968" t="s">
        <v>60</v>
      </c>
      <c r="B96" s="134" t="s">
        <v>21</v>
      </c>
      <c r="C96" s="135">
        <f t="shared" ref="C96:E96" si="174">C5+C10+C13+C16+C22+C27+C33+C47+C52+C56+C62+C68+C74+C79+C85+C91</f>
        <v>23175549</v>
      </c>
      <c r="D96" s="135">
        <f t="shared" si="174"/>
        <v>23173049</v>
      </c>
      <c r="E96" s="136">
        <f t="shared" si="174"/>
        <v>3910541</v>
      </c>
      <c r="F96" s="137">
        <f>E96/C96</f>
        <v>0.16873563599291649</v>
      </c>
      <c r="G96" s="968" t="s">
        <v>60</v>
      </c>
      <c r="H96" s="134" t="s">
        <v>21</v>
      </c>
      <c r="I96" s="135">
        <f t="shared" ref="I96:K96" si="175">I5+I10+I13+I16+I22+I27+I33+I47+I52+I56+I62+I68+I74+I79+I85+I91</f>
        <v>15124062</v>
      </c>
      <c r="J96" s="135">
        <f t="shared" si="175"/>
        <v>15124062</v>
      </c>
      <c r="K96" s="136">
        <f t="shared" si="175"/>
        <v>563410</v>
      </c>
      <c r="L96" s="137">
        <f>K96/I96</f>
        <v>3.7252558208237974E-2</v>
      </c>
      <c r="M96" s="968" t="s">
        <v>60</v>
      </c>
      <c r="N96" s="134" t="s">
        <v>21</v>
      </c>
      <c r="O96" s="135">
        <f>O5+O10+O13+O16+O22+O27+O33+O47+O52+O56+O62+O68+O74+O79+O85+O91</f>
        <v>8051487</v>
      </c>
      <c r="P96" s="135">
        <f t="shared" ref="P96:Q96" si="176">P5+P10+P13+P16+P22+P27+P33+P47+P52+P56+P62+P68+P74+P79+P85</f>
        <v>8046487</v>
      </c>
      <c r="Q96" s="135">
        <f t="shared" si="176"/>
        <v>3347131</v>
      </c>
      <c r="R96" s="137">
        <f>Q96/O96</f>
        <v>0.41571587956361356</v>
      </c>
    </row>
    <row r="97" spans="1:26" ht="15.75" customHeight="1">
      <c r="A97" s="949"/>
      <c r="B97" s="138" t="s">
        <v>22</v>
      </c>
      <c r="C97" s="139">
        <f t="shared" ref="C97:E97" si="177">C6</f>
        <v>0</v>
      </c>
      <c r="D97" s="139">
        <f t="shared" si="177"/>
        <v>0</v>
      </c>
      <c r="E97" s="140">
        <f t="shared" si="177"/>
        <v>0</v>
      </c>
      <c r="F97" s="141">
        <v>0</v>
      </c>
      <c r="G97" s="949"/>
      <c r="H97" s="138" t="s">
        <v>22</v>
      </c>
      <c r="I97" s="139">
        <f t="shared" ref="I97:K97" si="178">I6</f>
        <v>0</v>
      </c>
      <c r="J97" s="139">
        <f t="shared" si="178"/>
        <v>0</v>
      </c>
      <c r="K97" s="140">
        <f t="shared" si="178"/>
        <v>0</v>
      </c>
      <c r="L97" s="141">
        <v>0</v>
      </c>
      <c r="M97" s="949"/>
      <c r="N97" s="138" t="s">
        <v>22</v>
      </c>
      <c r="O97" s="139">
        <f t="shared" ref="O97:Q97" si="179">O6</f>
        <v>0</v>
      </c>
      <c r="P97" s="139">
        <f t="shared" si="179"/>
        <v>0</v>
      </c>
      <c r="Q97" s="139">
        <f t="shared" si="179"/>
        <v>0</v>
      </c>
      <c r="R97" s="141">
        <v>0</v>
      </c>
    </row>
    <row r="98" spans="1:26" ht="15.75" customHeight="1">
      <c r="A98" s="949"/>
      <c r="B98" s="138" t="s">
        <v>28</v>
      </c>
      <c r="C98" s="139">
        <f t="shared" ref="C98:E98" si="180">C17+C23+C28+C48+C57+C63+C69+C75+C80+C86</f>
        <v>520964</v>
      </c>
      <c r="D98" s="139">
        <f t="shared" si="180"/>
        <v>260484</v>
      </c>
      <c r="E98" s="140">
        <f t="shared" si="180"/>
        <v>234490</v>
      </c>
      <c r="F98" s="141">
        <f t="shared" ref="F98:F102" si="181">E98/C98</f>
        <v>0.45010787693583432</v>
      </c>
      <c r="G98" s="949"/>
      <c r="H98" s="138" t="s">
        <v>28</v>
      </c>
      <c r="I98" s="139">
        <f t="shared" ref="I98:K98" si="182">I17+I23+I28+I48+I57+I63+I69+I75+I80+I86</f>
        <v>145010</v>
      </c>
      <c r="J98" s="139">
        <f t="shared" si="182"/>
        <v>72506</v>
      </c>
      <c r="K98" s="140">
        <f t="shared" si="182"/>
        <v>40508</v>
      </c>
      <c r="L98" s="141">
        <f t="shared" ref="L98:L102" si="183">K98/I98</f>
        <v>0.27934625198262186</v>
      </c>
      <c r="M98" s="949"/>
      <c r="N98" s="138" t="s">
        <v>28</v>
      </c>
      <c r="O98" s="139">
        <f t="shared" ref="O98:Q98" si="184">O17+O23+O28+O48+O57+O63+O69+O75+O80+O86</f>
        <v>375954</v>
      </c>
      <c r="P98" s="139">
        <f t="shared" si="184"/>
        <v>187978</v>
      </c>
      <c r="Q98" s="139">
        <f t="shared" si="184"/>
        <v>193982</v>
      </c>
      <c r="R98" s="141">
        <f t="shared" ref="R98:R102" si="185">Q98/O98</f>
        <v>0.51597269878761765</v>
      </c>
    </row>
    <row r="99" spans="1:26" ht="15.75" customHeight="1">
      <c r="A99" s="949"/>
      <c r="B99" s="138" t="s">
        <v>31</v>
      </c>
      <c r="C99" s="139">
        <f t="shared" ref="C99:E99" si="186">C18+C24+C29+C58+C64+C70+C76+C81+C87+C92</f>
        <v>912071</v>
      </c>
      <c r="D99" s="139">
        <f t="shared" si="186"/>
        <v>452537</v>
      </c>
      <c r="E99" s="140">
        <f t="shared" si="186"/>
        <v>362135</v>
      </c>
      <c r="F99" s="141">
        <f t="shared" si="181"/>
        <v>0.39704694042459415</v>
      </c>
      <c r="G99" s="949"/>
      <c r="H99" s="138" t="s">
        <v>31</v>
      </c>
      <c r="I99" s="139">
        <f t="shared" ref="I99:K99" si="187">I18+I24+I29+I58+I64+I70+I76+I81+I87+I92</f>
        <v>382858</v>
      </c>
      <c r="J99" s="139">
        <f t="shared" si="187"/>
        <v>191430</v>
      </c>
      <c r="K99" s="140">
        <f t="shared" si="187"/>
        <v>182066</v>
      </c>
      <c r="L99" s="141">
        <f t="shared" si="183"/>
        <v>0.47554445773628867</v>
      </c>
      <c r="M99" s="949"/>
      <c r="N99" s="138" t="s">
        <v>31</v>
      </c>
      <c r="O99" s="139">
        <f t="shared" ref="O99:Q99" si="188">O18+O24+O29+O58+O64+O70+O76+O81+O87+O92</f>
        <v>529213</v>
      </c>
      <c r="P99" s="139">
        <f t="shared" si="188"/>
        <v>261107</v>
      </c>
      <c r="Q99" s="139">
        <f t="shared" si="188"/>
        <v>180069</v>
      </c>
      <c r="R99" s="141">
        <f t="shared" si="185"/>
        <v>0.34025808133964963</v>
      </c>
    </row>
    <row r="100" spans="1:26" ht="15.75" customHeight="1">
      <c r="A100" s="949"/>
      <c r="B100" s="138" t="s">
        <v>40</v>
      </c>
      <c r="C100" s="139">
        <f t="shared" ref="C100:E100" si="189">C36+C40+C7</f>
        <v>4857411</v>
      </c>
      <c r="D100" s="139">
        <f t="shared" si="189"/>
        <v>4857409</v>
      </c>
      <c r="E100" s="140">
        <f t="shared" si="189"/>
        <v>201568</v>
      </c>
      <c r="F100" s="141">
        <f t="shared" si="181"/>
        <v>4.1497003238968246E-2</v>
      </c>
      <c r="G100" s="949"/>
      <c r="H100" s="138" t="s">
        <v>40</v>
      </c>
      <c r="I100" s="139">
        <f t="shared" ref="I100:K100" si="190">I36+I40+I7</f>
        <v>1291402</v>
      </c>
      <c r="J100" s="139">
        <f t="shared" si="190"/>
        <v>1291400</v>
      </c>
      <c r="K100" s="140">
        <f t="shared" si="190"/>
        <v>200223</v>
      </c>
      <c r="L100" s="141">
        <f t="shared" si="183"/>
        <v>0.15504312367488976</v>
      </c>
      <c r="M100" s="949"/>
      <c r="N100" s="138" t="s">
        <v>40</v>
      </c>
      <c r="O100" s="139">
        <f t="shared" ref="O100:Q100" si="191">O36+O40</f>
        <v>3566009</v>
      </c>
      <c r="P100" s="139">
        <f t="shared" si="191"/>
        <v>3566009</v>
      </c>
      <c r="Q100" s="139">
        <f t="shared" si="191"/>
        <v>1345</v>
      </c>
      <c r="R100" s="141">
        <f t="shared" si="185"/>
        <v>3.7717235149995414E-4</v>
      </c>
    </row>
    <row r="101" spans="1:26" ht="15.75" customHeight="1">
      <c r="A101" s="949"/>
      <c r="B101" s="249" t="s">
        <v>32</v>
      </c>
      <c r="C101" s="209">
        <f t="shared" ref="C101:E101" si="192">C19+C30++C37+C41+C44+C49+C53+C59+C65+C71+C82+C88+C93</f>
        <v>11269846</v>
      </c>
      <c r="D101" s="209">
        <f t="shared" si="192"/>
        <v>8452385</v>
      </c>
      <c r="E101" s="250">
        <f t="shared" si="192"/>
        <v>4550190</v>
      </c>
      <c r="F101" s="207">
        <f t="shared" si="181"/>
        <v>0.40374908406024357</v>
      </c>
      <c r="G101" s="949"/>
      <c r="H101" s="142" t="s">
        <v>32</v>
      </c>
      <c r="I101" s="139">
        <f t="shared" ref="I101:K101" si="193">I19+I30++I37+I41+I44+I49+I53+I59+I65+I71+I82+I88+I93</f>
        <v>1301579</v>
      </c>
      <c r="J101" s="139">
        <f t="shared" si="193"/>
        <v>976186</v>
      </c>
      <c r="K101" s="140">
        <f t="shared" si="193"/>
        <v>491746</v>
      </c>
      <c r="L101" s="141">
        <f t="shared" si="183"/>
        <v>0.37780726333169173</v>
      </c>
      <c r="M101" s="949"/>
      <c r="N101" s="142" t="s">
        <v>32</v>
      </c>
      <c r="O101" s="139">
        <f t="shared" ref="O101:Q101" si="194">O19+O30++O37+O41+O44+O49+O53+O59+O65+O71+O82+O88+O93</f>
        <v>9968267</v>
      </c>
      <c r="P101" s="139">
        <f t="shared" si="194"/>
        <v>7476199</v>
      </c>
      <c r="Q101" s="139">
        <f t="shared" si="194"/>
        <v>4058444</v>
      </c>
      <c r="R101" s="141">
        <f t="shared" si="185"/>
        <v>0.40713636582968737</v>
      </c>
    </row>
    <row r="102" spans="1:26" ht="15.75" customHeight="1">
      <c r="A102" s="950"/>
      <c r="B102" s="251" t="s">
        <v>25</v>
      </c>
      <c r="C102" s="252">
        <f t="shared" ref="C102:E102" si="195">C96+C97+C98+C99+C100+C101</f>
        <v>40735841</v>
      </c>
      <c r="D102" s="252">
        <f t="shared" si="195"/>
        <v>37195864</v>
      </c>
      <c r="E102" s="252">
        <f t="shared" si="195"/>
        <v>9258924</v>
      </c>
      <c r="F102" s="253">
        <f t="shared" si="181"/>
        <v>0.22729183374414683</v>
      </c>
      <c r="G102" s="949"/>
      <c r="H102" s="208" t="s">
        <v>25</v>
      </c>
      <c r="I102" s="209">
        <f t="shared" ref="I102:K102" si="196">I96+I97+I98+I99+I100+I101</f>
        <v>18244911</v>
      </c>
      <c r="J102" s="209">
        <f t="shared" si="196"/>
        <v>17655584</v>
      </c>
      <c r="K102" s="209">
        <f t="shared" si="196"/>
        <v>1477953</v>
      </c>
      <c r="L102" s="207">
        <f t="shared" si="183"/>
        <v>8.1006314582734884E-2</v>
      </c>
      <c r="M102" s="949"/>
      <c r="N102" s="208" t="s">
        <v>25</v>
      </c>
      <c r="O102" s="209">
        <f t="shared" ref="O102:Q102" si="197">SUM(O96:O101)</f>
        <v>22490930</v>
      </c>
      <c r="P102" s="209">
        <f t="shared" si="197"/>
        <v>19537780</v>
      </c>
      <c r="Q102" s="209">
        <f t="shared" si="197"/>
        <v>7780971</v>
      </c>
      <c r="R102" s="207">
        <f t="shared" si="185"/>
        <v>0.34596039381208338</v>
      </c>
    </row>
    <row r="103" spans="1:26" ht="17.25" customHeight="1">
      <c r="A103" s="88" t="s">
        <v>29</v>
      </c>
      <c r="B103" s="210"/>
      <c r="C103" s="254"/>
      <c r="D103" s="254"/>
      <c r="E103" s="254"/>
      <c r="F103" s="212"/>
      <c r="G103" s="88"/>
      <c r="H103" s="210"/>
      <c r="I103" s="254"/>
      <c r="J103" s="254"/>
      <c r="K103" s="254"/>
      <c r="L103" s="212"/>
      <c r="M103" s="88"/>
      <c r="N103" s="210"/>
      <c r="O103" s="211">
        <f t="shared" ref="O103:Q103" si="198">O8+O11+O14+O20+O25+O31+O34+O38+O42+O45+O50+O54+O60+O66+O72+O77+O83+O89+O94</f>
        <v>22490930</v>
      </c>
      <c r="P103" s="211">
        <f t="shared" si="198"/>
        <v>19306175</v>
      </c>
      <c r="Q103" s="211">
        <f t="shared" si="198"/>
        <v>7780971</v>
      </c>
      <c r="R103" s="212"/>
    </row>
    <row r="104" spans="1:26" ht="15.75" customHeight="1">
      <c r="A104" s="973">
        <v>1500</v>
      </c>
      <c r="B104" s="149" t="s">
        <v>29</v>
      </c>
      <c r="C104" s="149">
        <f>12020015-1800000</f>
        <v>10220015</v>
      </c>
      <c r="D104" s="149">
        <f>C104</f>
        <v>10220015</v>
      </c>
      <c r="E104" s="150">
        <v>4264786</v>
      </c>
      <c r="F104" s="215">
        <f t="shared" ref="F104:F112" si="199">E104/C104</f>
        <v>0.41729743058107055</v>
      </c>
      <c r="G104" s="973">
        <v>1500</v>
      </c>
      <c r="H104" s="149" t="s">
        <v>29</v>
      </c>
      <c r="I104" s="149">
        <f>6920014+5000001-1800000</f>
        <v>10120015</v>
      </c>
      <c r="J104" s="149">
        <f>I104</f>
        <v>10120015</v>
      </c>
      <c r="K104" s="150">
        <f>878393+3385800</f>
        <v>4264193</v>
      </c>
      <c r="L104" s="215">
        <f t="shared" ref="L104:L107" si="200">K104/I104</f>
        <v>0.42136232011513819</v>
      </c>
      <c r="M104" s="973">
        <v>1500</v>
      </c>
      <c r="N104" s="149" t="s">
        <v>29</v>
      </c>
      <c r="O104" s="149">
        <f t="shared" ref="O104:Q104" si="201">C104-I104</f>
        <v>100000</v>
      </c>
      <c r="P104" s="149">
        <f t="shared" si="201"/>
        <v>100000</v>
      </c>
      <c r="Q104" s="149">
        <f t="shared" si="201"/>
        <v>593</v>
      </c>
      <c r="R104" s="215">
        <f>Q104/O104</f>
        <v>5.9300000000000004E-3</v>
      </c>
      <c r="S104" s="147"/>
      <c r="T104" s="147"/>
      <c r="U104" s="147"/>
      <c r="V104" s="147"/>
      <c r="W104" s="147"/>
      <c r="X104" s="147"/>
      <c r="Y104" s="147"/>
      <c r="Z104" s="147"/>
    </row>
    <row r="105" spans="1:26" ht="15.75" customHeight="1">
      <c r="A105" s="918"/>
      <c r="B105" s="155" t="s">
        <v>25</v>
      </c>
      <c r="C105" s="155">
        <f t="shared" ref="C105:E105" si="202">SUM(C104)</f>
        <v>10220015</v>
      </c>
      <c r="D105" s="155">
        <f t="shared" si="202"/>
        <v>10220015</v>
      </c>
      <c r="E105" s="216">
        <f t="shared" si="202"/>
        <v>4264786</v>
      </c>
      <c r="F105" s="129">
        <f t="shared" si="199"/>
        <v>0.41729743058107055</v>
      </c>
      <c r="G105" s="918"/>
      <c r="H105" s="155" t="s">
        <v>25</v>
      </c>
      <c r="I105" s="155">
        <f t="shared" ref="I105:K105" si="203">SUM(I104)</f>
        <v>10120015</v>
      </c>
      <c r="J105" s="155">
        <f t="shared" si="203"/>
        <v>10120015</v>
      </c>
      <c r="K105" s="216">
        <f t="shared" si="203"/>
        <v>4264193</v>
      </c>
      <c r="L105" s="129">
        <f t="shared" si="200"/>
        <v>0.42136232011513819</v>
      </c>
      <c r="M105" s="918"/>
      <c r="N105" s="155" t="s">
        <v>25</v>
      </c>
      <c r="O105" s="155">
        <f t="shared" ref="O105:Q105" si="204">SUM(O104)</f>
        <v>100000</v>
      </c>
      <c r="P105" s="155">
        <f t="shared" si="204"/>
        <v>100000</v>
      </c>
      <c r="Q105" s="155">
        <f t="shared" si="204"/>
        <v>593</v>
      </c>
      <c r="R105" s="129">
        <f>Q105/P105</f>
        <v>5.9300000000000004E-3</v>
      </c>
      <c r="S105" s="147"/>
      <c r="T105" s="147"/>
      <c r="U105" s="147"/>
      <c r="V105" s="147"/>
      <c r="W105" s="147"/>
      <c r="X105" s="147"/>
      <c r="Y105" s="147"/>
      <c r="Z105" s="147"/>
    </row>
    <row r="106" spans="1:26" ht="15.75" customHeight="1">
      <c r="A106" s="974">
        <v>1600</v>
      </c>
      <c r="B106" s="153" t="s">
        <v>29</v>
      </c>
      <c r="C106" s="218">
        <v>13416785</v>
      </c>
      <c r="D106" s="218">
        <f>C106</f>
        <v>13416785</v>
      </c>
      <c r="E106" s="154">
        <v>74309</v>
      </c>
      <c r="F106" s="128">
        <f t="shared" si="199"/>
        <v>5.5385101572396067E-3</v>
      </c>
      <c r="G106" s="974">
        <v>1600</v>
      </c>
      <c r="H106" s="153" t="s">
        <v>29</v>
      </c>
      <c r="I106" s="218">
        <v>0</v>
      </c>
      <c r="J106" s="218">
        <f>I106</f>
        <v>0</v>
      </c>
      <c r="K106" s="154">
        <v>0</v>
      </c>
      <c r="L106" s="128" t="e">
        <f t="shared" si="200"/>
        <v>#DIV/0!</v>
      </c>
      <c r="M106" s="974">
        <v>1600</v>
      </c>
      <c r="N106" s="153" t="s">
        <v>29</v>
      </c>
      <c r="O106" s="153">
        <f t="shared" ref="O106:Q106" si="205">C106-I106</f>
        <v>13416785</v>
      </c>
      <c r="P106" s="153">
        <f t="shared" si="205"/>
        <v>13416785</v>
      </c>
      <c r="Q106" s="153">
        <f t="shared" si="205"/>
        <v>74309</v>
      </c>
      <c r="R106" s="128">
        <f>Q106/O106</f>
        <v>5.5385101572396067E-3</v>
      </c>
      <c r="S106" s="147"/>
      <c r="T106" s="147"/>
      <c r="U106" s="147"/>
      <c r="V106" s="147"/>
      <c r="W106" s="147"/>
      <c r="X106" s="147"/>
      <c r="Y106" s="147"/>
      <c r="Z106" s="147"/>
    </row>
    <row r="107" spans="1:26" ht="15.75" customHeight="1">
      <c r="A107" s="918"/>
      <c r="B107" s="155" t="s">
        <v>25</v>
      </c>
      <c r="C107" s="155">
        <f t="shared" ref="C107:E107" si="206">SUM(C106)</f>
        <v>13416785</v>
      </c>
      <c r="D107" s="155">
        <f t="shared" si="206"/>
        <v>13416785</v>
      </c>
      <c r="E107" s="216">
        <f t="shared" si="206"/>
        <v>74309</v>
      </c>
      <c r="F107" s="129">
        <f t="shared" si="199"/>
        <v>5.5385101572396067E-3</v>
      </c>
      <c r="G107" s="918"/>
      <c r="H107" s="155" t="s">
        <v>25</v>
      </c>
      <c r="I107" s="155">
        <f t="shared" ref="I107:K107" si="207">SUM(I106)</f>
        <v>0</v>
      </c>
      <c r="J107" s="155">
        <f t="shared" si="207"/>
        <v>0</v>
      </c>
      <c r="K107" s="216">
        <f t="shared" si="207"/>
        <v>0</v>
      </c>
      <c r="L107" s="129" t="e">
        <f t="shared" si="200"/>
        <v>#DIV/0!</v>
      </c>
      <c r="M107" s="918"/>
      <c r="N107" s="155" t="s">
        <v>25</v>
      </c>
      <c r="O107" s="155">
        <f t="shared" ref="O107:Q107" si="208">SUM(O106)</f>
        <v>13416785</v>
      </c>
      <c r="P107" s="155">
        <f t="shared" si="208"/>
        <v>13416785</v>
      </c>
      <c r="Q107" s="155">
        <f t="shared" si="208"/>
        <v>74309</v>
      </c>
      <c r="R107" s="129">
        <f>Q107/P107</f>
        <v>5.5385101572396067E-3</v>
      </c>
      <c r="S107" s="147"/>
      <c r="T107" s="147"/>
      <c r="U107" s="147"/>
      <c r="V107" s="147"/>
      <c r="W107" s="147"/>
      <c r="X107" s="147"/>
      <c r="Y107" s="147"/>
      <c r="Z107" s="147"/>
    </row>
    <row r="108" spans="1:26" ht="15.75" customHeight="1">
      <c r="A108" s="975">
        <v>3300</v>
      </c>
      <c r="B108" s="153" t="s">
        <v>29</v>
      </c>
      <c r="C108" s="218">
        <v>1</v>
      </c>
      <c r="D108" s="153"/>
      <c r="E108" s="154">
        <v>0</v>
      </c>
      <c r="F108" s="128">
        <f t="shared" si="199"/>
        <v>0</v>
      </c>
      <c r="G108" s="975">
        <v>3300</v>
      </c>
      <c r="H108" s="153" t="s">
        <v>29</v>
      </c>
      <c r="I108" s="218">
        <v>0</v>
      </c>
      <c r="J108" s="153"/>
      <c r="K108" s="154">
        <v>0</v>
      </c>
      <c r="L108" s="128">
        <v>0</v>
      </c>
      <c r="M108" s="975">
        <v>3300</v>
      </c>
      <c r="N108" s="153" t="s">
        <v>29</v>
      </c>
      <c r="O108" s="153">
        <f>C108-I108</f>
        <v>1</v>
      </c>
      <c r="P108" s="153"/>
      <c r="Q108" s="153">
        <f>E108-K108</f>
        <v>0</v>
      </c>
      <c r="R108" s="128">
        <f>Q108/O108</f>
        <v>0</v>
      </c>
      <c r="S108" s="147"/>
      <c r="T108" s="147"/>
      <c r="U108" s="147"/>
      <c r="V108" s="147"/>
      <c r="W108" s="147"/>
      <c r="X108" s="147"/>
      <c r="Y108" s="147"/>
      <c r="Z108" s="147"/>
    </row>
    <row r="109" spans="1:26" ht="15.75" customHeight="1">
      <c r="A109" s="918"/>
      <c r="B109" s="155" t="s">
        <v>25</v>
      </c>
      <c r="C109" s="155">
        <f t="shared" ref="C109:E109" si="209">SUM(C108)</f>
        <v>1</v>
      </c>
      <c r="D109" s="155">
        <f t="shared" si="209"/>
        <v>0</v>
      </c>
      <c r="E109" s="216">
        <f t="shared" si="209"/>
        <v>0</v>
      </c>
      <c r="F109" s="129">
        <f t="shared" si="199"/>
        <v>0</v>
      </c>
      <c r="G109" s="918"/>
      <c r="H109" s="155" t="s">
        <v>25</v>
      </c>
      <c r="I109" s="155">
        <f t="shared" ref="I109:K109" si="210">SUM(I108)</f>
        <v>0</v>
      </c>
      <c r="J109" s="155">
        <f t="shared" si="210"/>
        <v>0</v>
      </c>
      <c r="K109" s="216">
        <f t="shared" si="210"/>
        <v>0</v>
      </c>
      <c r="L109" s="129">
        <v>0</v>
      </c>
      <c r="M109" s="918"/>
      <c r="N109" s="155" t="s">
        <v>25</v>
      </c>
      <c r="O109" s="155">
        <f t="shared" ref="O109:Q109" si="211">SUM(O108)</f>
        <v>1</v>
      </c>
      <c r="P109" s="155">
        <f t="shared" si="211"/>
        <v>0</v>
      </c>
      <c r="Q109" s="155">
        <f t="shared" si="211"/>
        <v>0</v>
      </c>
      <c r="R109" s="129" t="e">
        <f>Q109/P109</f>
        <v>#DIV/0!</v>
      </c>
      <c r="S109" s="147"/>
      <c r="T109" s="147"/>
      <c r="U109" s="147"/>
      <c r="V109" s="147"/>
      <c r="W109" s="147"/>
      <c r="X109" s="147"/>
      <c r="Y109" s="147"/>
      <c r="Z109" s="147"/>
    </row>
    <row r="110" spans="1:26" ht="15.75" customHeight="1">
      <c r="A110" s="975">
        <v>4200</v>
      </c>
      <c r="B110" s="153" t="s">
        <v>29</v>
      </c>
      <c r="C110" s="218">
        <v>10000</v>
      </c>
      <c r="D110" s="153"/>
      <c r="E110" s="154">
        <v>0</v>
      </c>
      <c r="F110" s="128">
        <f t="shared" si="199"/>
        <v>0</v>
      </c>
      <c r="G110" s="975">
        <v>4200</v>
      </c>
      <c r="H110" s="153" t="s">
        <v>29</v>
      </c>
      <c r="I110" s="218">
        <v>0</v>
      </c>
      <c r="J110" s="153"/>
      <c r="K110" s="154">
        <v>0</v>
      </c>
      <c r="L110" s="128">
        <v>0</v>
      </c>
      <c r="M110" s="975">
        <v>4200</v>
      </c>
      <c r="N110" s="153" t="s">
        <v>29</v>
      </c>
      <c r="O110" s="153">
        <f>C110-I110</f>
        <v>10000</v>
      </c>
      <c r="P110" s="153"/>
      <c r="Q110" s="153">
        <f>E110-K110</f>
        <v>0</v>
      </c>
      <c r="R110" s="128">
        <f>Q110/O110</f>
        <v>0</v>
      </c>
    </row>
    <row r="111" spans="1:26" ht="15.75" customHeight="1">
      <c r="A111" s="918"/>
      <c r="B111" s="155" t="s">
        <v>25</v>
      </c>
      <c r="C111" s="155">
        <f t="shared" ref="C111:E111" si="212">SUM(C110)</f>
        <v>10000</v>
      </c>
      <c r="D111" s="155">
        <f t="shared" si="212"/>
        <v>0</v>
      </c>
      <c r="E111" s="216">
        <f t="shared" si="212"/>
        <v>0</v>
      </c>
      <c r="F111" s="129">
        <f t="shared" si="199"/>
        <v>0</v>
      </c>
      <c r="G111" s="918"/>
      <c r="H111" s="155" t="s">
        <v>25</v>
      </c>
      <c r="I111" s="155">
        <f t="shared" ref="I111:K111" si="213">SUM(I110)</f>
        <v>0</v>
      </c>
      <c r="J111" s="155">
        <f t="shared" si="213"/>
        <v>0</v>
      </c>
      <c r="K111" s="216">
        <f t="shared" si="213"/>
        <v>0</v>
      </c>
      <c r="L111" s="129">
        <v>0</v>
      </c>
      <c r="M111" s="918"/>
      <c r="N111" s="155" t="s">
        <v>25</v>
      </c>
      <c r="O111" s="155">
        <f t="shared" ref="O111:Q111" si="214">SUM(O110)</f>
        <v>10000</v>
      </c>
      <c r="P111" s="155">
        <f t="shared" si="214"/>
        <v>0</v>
      </c>
      <c r="Q111" s="155">
        <f t="shared" si="214"/>
        <v>0</v>
      </c>
      <c r="R111" s="129" t="e">
        <f>Q111/P111</f>
        <v>#DIV/0!</v>
      </c>
    </row>
    <row r="112" spans="1:26" ht="15.75" customHeight="1">
      <c r="A112" s="220"/>
      <c r="B112" s="221" t="s">
        <v>120</v>
      </c>
      <c r="C112" s="222">
        <f t="shared" ref="C112:E112" si="215">C105+C107+C109+C111</f>
        <v>23646801</v>
      </c>
      <c r="D112" s="222">
        <f t="shared" si="215"/>
        <v>23636800</v>
      </c>
      <c r="E112" s="222">
        <f t="shared" si="215"/>
        <v>4339095</v>
      </c>
      <c r="F112" s="255">
        <f t="shared" si="199"/>
        <v>0.1834960678190678</v>
      </c>
      <c r="G112" s="220"/>
      <c r="H112" s="221" t="s">
        <v>120</v>
      </c>
      <c r="I112" s="222">
        <f t="shared" ref="I112:K112" si="216">I105+I107+I109+I111</f>
        <v>10120015</v>
      </c>
      <c r="J112" s="222">
        <f t="shared" si="216"/>
        <v>10120015</v>
      </c>
      <c r="K112" s="222">
        <f t="shared" si="216"/>
        <v>4264193</v>
      </c>
      <c r="L112" s="255">
        <f>K112/I112</f>
        <v>0.42136232011513819</v>
      </c>
      <c r="M112" s="220"/>
      <c r="N112" s="221" t="s">
        <v>120</v>
      </c>
      <c r="O112" s="222">
        <f t="shared" ref="O112:Q112" si="217">O105+O107+O109+O111</f>
        <v>13526786</v>
      </c>
      <c r="P112" s="222">
        <f t="shared" si="217"/>
        <v>13516785</v>
      </c>
      <c r="Q112" s="222">
        <f t="shared" si="217"/>
        <v>74902</v>
      </c>
      <c r="R112" s="255">
        <f>Q112/O112</f>
        <v>5.5373094539974237E-3</v>
      </c>
    </row>
    <row r="113" spans="1:26" ht="17.25" customHeight="1">
      <c r="A113" s="88" t="s">
        <v>23</v>
      </c>
      <c r="B113" s="195"/>
      <c r="C113" s="195"/>
      <c r="D113" s="224"/>
      <c r="E113" s="195"/>
      <c r="F113" s="225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5"/>
      <c r="S113" s="147"/>
      <c r="T113" s="147"/>
      <c r="U113" s="147"/>
      <c r="V113" s="147"/>
      <c r="W113" s="147"/>
      <c r="X113" s="147"/>
      <c r="Y113" s="147"/>
      <c r="Z113" s="147"/>
    </row>
    <row r="114" spans="1:26" ht="16.5" customHeight="1">
      <c r="A114" s="968">
        <v>3000</v>
      </c>
      <c r="B114" s="226" t="s">
        <v>23</v>
      </c>
      <c r="C114" s="227">
        <v>1093000</v>
      </c>
      <c r="D114" s="227">
        <v>1250000</v>
      </c>
      <c r="E114" s="228">
        <v>0</v>
      </c>
      <c r="F114" s="229">
        <f t="shared" ref="F114:F119" si="218">E114/C114</f>
        <v>0</v>
      </c>
      <c r="G114" s="151"/>
      <c r="H114" s="147"/>
      <c r="I114" s="147"/>
      <c r="J114" s="147"/>
      <c r="K114" s="147"/>
      <c r="L114" s="147"/>
    </row>
    <row r="115" spans="1:26" ht="15" customHeight="1">
      <c r="A115" s="950"/>
      <c r="B115" s="230" t="s">
        <v>25</v>
      </c>
      <c r="C115" s="155">
        <f t="shared" ref="C115:E115" si="219">SUM(C114)</f>
        <v>1093000</v>
      </c>
      <c r="D115" s="155">
        <f t="shared" si="219"/>
        <v>1250000</v>
      </c>
      <c r="E115" s="216">
        <f t="shared" si="219"/>
        <v>0</v>
      </c>
      <c r="F115" s="129">
        <f t="shared" si="218"/>
        <v>0</v>
      </c>
      <c r="G115" s="151"/>
      <c r="H115" s="147"/>
      <c r="I115" s="147"/>
      <c r="J115" s="147"/>
      <c r="K115" s="147"/>
      <c r="L115" s="147"/>
    </row>
    <row r="116" spans="1:26" ht="15" customHeight="1">
      <c r="A116" s="978">
        <v>5300</v>
      </c>
      <c r="B116" s="153" t="s">
        <v>23</v>
      </c>
      <c r="C116" s="153">
        <v>3160000</v>
      </c>
      <c r="D116" s="153">
        <v>7500000</v>
      </c>
      <c r="E116" s="154">
        <v>0</v>
      </c>
      <c r="F116" s="128">
        <f t="shared" si="218"/>
        <v>0</v>
      </c>
      <c r="G116" s="151"/>
      <c r="H116" s="147"/>
      <c r="I116" s="147"/>
      <c r="J116" s="147"/>
      <c r="K116" s="147"/>
      <c r="L116" s="147"/>
    </row>
    <row r="117" spans="1:26" ht="16.5" customHeight="1">
      <c r="A117" s="918"/>
      <c r="B117" s="155" t="s">
        <v>25</v>
      </c>
      <c r="C117" s="155">
        <f t="shared" ref="C117:E117" si="220">SUM(C116)</f>
        <v>3160000</v>
      </c>
      <c r="D117" s="155">
        <f t="shared" si="220"/>
        <v>7500000</v>
      </c>
      <c r="E117" s="216">
        <f t="shared" si="220"/>
        <v>0</v>
      </c>
      <c r="F117" s="129">
        <f t="shared" si="218"/>
        <v>0</v>
      </c>
      <c r="G117" s="151"/>
      <c r="H117" s="147"/>
      <c r="I117" s="147"/>
      <c r="J117" s="147"/>
      <c r="K117" s="147"/>
      <c r="L117" s="147"/>
      <c r="M117" s="147"/>
      <c r="P117" s="157">
        <f>F102-L102</f>
        <v>0.14628551916141194</v>
      </c>
    </row>
    <row r="118" spans="1:26" ht="17.25" customHeight="1">
      <c r="A118" s="220"/>
      <c r="B118" s="221" t="s">
        <v>121</v>
      </c>
      <c r="C118" s="222">
        <f t="shared" ref="C118:E118" si="221">C114+C117</f>
        <v>4253000</v>
      </c>
      <c r="D118" s="222">
        <f t="shared" si="221"/>
        <v>8750000</v>
      </c>
      <c r="E118" s="222">
        <f t="shared" si="221"/>
        <v>0</v>
      </c>
      <c r="F118" s="231">
        <f t="shared" si="218"/>
        <v>0</v>
      </c>
      <c r="G118" s="151"/>
      <c r="H118" s="147"/>
      <c r="I118" s="147"/>
      <c r="J118" s="147"/>
      <c r="K118" s="147"/>
      <c r="L118" s="147"/>
    </row>
    <row r="119" spans="1:26" ht="18.75" customHeight="1">
      <c r="A119" s="232" t="s">
        <v>104</v>
      </c>
      <c r="B119" s="233"/>
      <c r="C119" s="233">
        <f t="shared" ref="C119:E119" si="222">C102+C112+C118</f>
        <v>68635642</v>
      </c>
      <c r="D119" s="233">
        <f t="shared" si="222"/>
        <v>69582664</v>
      </c>
      <c r="E119" s="233">
        <f t="shared" si="222"/>
        <v>13598019</v>
      </c>
      <c r="F119" s="256">
        <f t="shared" si="218"/>
        <v>0.19811891611649818</v>
      </c>
      <c r="G119" s="151"/>
      <c r="H119" s="147"/>
      <c r="I119" s="147"/>
      <c r="J119" s="147"/>
      <c r="K119" s="147"/>
      <c r="L119" s="147"/>
    </row>
    <row r="120" spans="1:26" ht="15.75" customHeight="1">
      <c r="A120" s="235"/>
      <c r="B120" s="236"/>
      <c r="C120" s="236"/>
      <c r="D120" s="236"/>
      <c r="E120" s="236"/>
      <c r="F120" s="237"/>
      <c r="G120" s="151"/>
      <c r="H120" s="147"/>
      <c r="I120" s="147"/>
      <c r="J120" s="147"/>
      <c r="K120" s="147"/>
      <c r="L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</row>
    <row r="121" spans="1:26" ht="15.75" customHeight="1">
      <c r="A121" s="172"/>
      <c r="B121" s="238"/>
      <c r="C121" s="238"/>
      <c r="D121" s="238"/>
      <c r="E121" s="238"/>
      <c r="F121" s="239"/>
      <c r="G121" s="151"/>
      <c r="H121" s="147"/>
      <c r="I121" s="147"/>
      <c r="J121" s="147"/>
      <c r="K121" s="147"/>
    </row>
    <row r="122" spans="1:26" ht="15.75" customHeight="1">
      <c r="A122" s="982" t="s">
        <v>122</v>
      </c>
      <c r="B122" s="983" t="s">
        <v>7</v>
      </c>
      <c r="C122" s="257" t="s">
        <v>105</v>
      </c>
      <c r="D122" s="258" t="s">
        <v>106</v>
      </c>
      <c r="E122" s="257" t="s">
        <v>116</v>
      </c>
      <c r="F122" s="259" t="s">
        <v>108</v>
      </c>
      <c r="G122" s="260"/>
    </row>
    <row r="123" spans="1:26" ht="15.75" customHeight="1">
      <c r="A123" s="950"/>
      <c r="B123" s="953"/>
      <c r="C123" s="261" t="s">
        <v>19</v>
      </c>
      <c r="D123" s="262" t="s">
        <v>19</v>
      </c>
      <c r="E123" s="261" t="s">
        <v>19</v>
      </c>
      <c r="F123" s="263"/>
      <c r="G123" s="260"/>
    </row>
    <row r="124" spans="1:26" ht="15.75" customHeight="1">
      <c r="A124" s="264" t="s">
        <v>109</v>
      </c>
      <c r="B124" s="265" t="s">
        <v>21</v>
      </c>
      <c r="C124" s="266">
        <v>9819593</v>
      </c>
      <c r="D124" s="267">
        <f>ROUND(C124*75%,0)</f>
        <v>7364695</v>
      </c>
      <c r="E124" s="266">
        <v>558108</v>
      </c>
      <c r="F124" s="268">
        <f t="shared" ref="F124:F127" si="223">E124/C124</f>
        <v>5.6836164187252972E-2</v>
      </c>
      <c r="G124" s="260"/>
    </row>
    <row r="125" spans="1:26" ht="15.75" customHeight="1">
      <c r="A125" s="269" t="s">
        <v>110</v>
      </c>
      <c r="B125" s="270" t="s">
        <v>21</v>
      </c>
      <c r="C125" s="271">
        <v>6871037</v>
      </c>
      <c r="D125" s="272">
        <v>6830990</v>
      </c>
      <c r="E125" s="271">
        <v>1324471</v>
      </c>
      <c r="F125" s="268">
        <f t="shared" si="223"/>
        <v>0.19276144197739001</v>
      </c>
      <c r="G125" s="260"/>
    </row>
    <row r="126" spans="1:26" ht="15.75" customHeight="1">
      <c r="A126" s="273" t="s">
        <v>111</v>
      </c>
      <c r="B126" s="274" t="s">
        <v>21</v>
      </c>
      <c r="C126" s="275">
        <v>20000</v>
      </c>
      <c r="D126" s="276">
        <v>20000</v>
      </c>
      <c r="E126" s="275">
        <v>9508</v>
      </c>
      <c r="F126" s="268">
        <f t="shared" si="223"/>
        <v>0.47539999999999999</v>
      </c>
      <c r="G126" s="260"/>
      <c r="L126" s="240"/>
      <c r="M126" s="147"/>
      <c r="N126" s="147"/>
      <c r="O126" s="147"/>
    </row>
    <row r="127" spans="1:26" ht="15.75" customHeight="1">
      <c r="A127" s="277"/>
      <c r="B127" s="278" t="s">
        <v>25</v>
      </c>
      <c r="C127" s="279">
        <f t="shared" ref="C127:E127" si="224">SUM(C124:C126)</f>
        <v>16710630</v>
      </c>
      <c r="D127" s="280">
        <f t="shared" si="224"/>
        <v>14215685</v>
      </c>
      <c r="E127" s="279">
        <f t="shared" si="224"/>
        <v>1892087</v>
      </c>
      <c r="F127" s="268">
        <f t="shared" si="223"/>
        <v>0.11322655100376228</v>
      </c>
      <c r="G127" s="260"/>
      <c r="L127" s="240"/>
      <c r="M127" s="147"/>
      <c r="N127" s="147"/>
      <c r="O127" s="147"/>
    </row>
    <row r="128" spans="1:26" ht="15.75" customHeight="1">
      <c r="A128" s="281" t="s">
        <v>79</v>
      </c>
      <c r="B128" s="260"/>
      <c r="C128" s="260"/>
      <c r="D128" s="260"/>
      <c r="E128" s="260"/>
      <c r="F128" s="268"/>
      <c r="G128" s="260"/>
      <c r="L128" s="240"/>
      <c r="M128" s="147"/>
      <c r="N128" s="147"/>
      <c r="O128" s="147"/>
    </row>
    <row r="129" spans="1:15" ht="15.75" customHeight="1">
      <c r="A129" s="282" t="s">
        <v>109</v>
      </c>
      <c r="B129" s="265" t="s">
        <v>21</v>
      </c>
      <c r="C129" s="266">
        <v>9905586</v>
      </c>
      <c r="D129" s="266">
        <f>ROUND(C129*75%,0)</f>
        <v>7429190</v>
      </c>
      <c r="E129" s="266">
        <v>791724</v>
      </c>
      <c r="F129" s="268">
        <f t="shared" ref="F129:F133" si="225">E129/C129</f>
        <v>7.992702299490409E-2</v>
      </c>
      <c r="G129" s="260"/>
      <c r="L129" s="240"/>
      <c r="M129" s="147"/>
      <c r="N129" s="147"/>
      <c r="O129" s="147"/>
    </row>
    <row r="130" spans="1:15" ht="15.75" customHeight="1">
      <c r="A130" s="269" t="s">
        <v>110</v>
      </c>
      <c r="B130" s="270" t="s">
        <v>21</v>
      </c>
      <c r="C130" s="271">
        <v>6941037</v>
      </c>
      <c r="D130" s="271">
        <v>6800513</v>
      </c>
      <c r="E130" s="271">
        <v>1134260</v>
      </c>
      <c r="F130" s="268">
        <f t="shared" si="225"/>
        <v>0.1634136224889739</v>
      </c>
      <c r="G130" s="260"/>
      <c r="L130" s="240"/>
      <c r="M130" s="147"/>
      <c r="N130" s="147"/>
      <c r="O130" s="147"/>
    </row>
    <row r="131" spans="1:15" ht="15.75" customHeight="1">
      <c r="A131" s="273" t="s">
        <v>111</v>
      </c>
      <c r="B131" s="274" t="s">
        <v>21</v>
      </c>
      <c r="C131" s="275">
        <v>20000</v>
      </c>
      <c r="D131" s="275">
        <v>20000</v>
      </c>
      <c r="E131" s="275">
        <v>0</v>
      </c>
      <c r="F131" s="268">
        <f t="shared" si="225"/>
        <v>0</v>
      </c>
      <c r="G131" s="260"/>
      <c r="L131" s="241"/>
      <c r="M131" s="147"/>
      <c r="N131" s="147"/>
      <c r="O131" s="147"/>
    </row>
    <row r="132" spans="1:15" ht="15.75" customHeight="1">
      <c r="A132" s="277"/>
      <c r="B132" s="283" t="s">
        <v>25</v>
      </c>
      <c r="C132" s="284">
        <f t="shared" ref="C132:E132" si="226">SUM(C129:C131)</f>
        <v>16866623</v>
      </c>
      <c r="D132" s="284">
        <f t="shared" si="226"/>
        <v>14249703</v>
      </c>
      <c r="E132" s="284">
        <f t="shared" si="226"/>
        <v>1925984</v>
      </c>
      <c r="F132" s="268">
        <f t="shared" si="225"/>
        <v>0.11418907033138762</v>
      </c>
      <c r="G132" s="260"/>
      <c r="L132" s="241"/>
      <c r="M132" s="147"/>
      <c r="N132" s="147"/>
      <c r="O132" s="147"/>
    </row>
    <row r="133" spans="1:15" ht="15.75" customHeight="1">
      <c r="A133" s="285"/>
      <c r="B133" s="286" t="s">
        <v>83</v>
      </c>
      <c r="C133" s="287">
        <f t="shared" ref="C133:E133" si="227">C127-C132</f>
        <v>-155993</v>
      </c>
      <c r="D133" s="287">
        <f t="shared" si="227"/>
        <v>-34018</v>
      </c>
      <c r="E133" s="287">
        <f t="shared" si="227"/>
        <v>-33897</v>
      </c>
      <c r="F133" s="268">
        <f t="shared" si="225"/>
        <v>0.21729821209926087</v>
      </c>
      <c r="G133" s="260"/>
      <c r="L133" s="240"/>
      <c r="M133" s="199"/>
      <c r="N133" s="199"/>
      <c r="O133" s="147"/>
    </row>
    <row r="134" spans="1:15" ht="15.75" customHeight="1">
      <c r="A134" s="288"/>
      <c r="B134" s="289"/>
      <c r="C134" s="289"/>
      <c r="D134" s="289"/>
      <c r="E134" s="289"/>
      <c r="F134" s="290"/>
      <c r="G134" s="260"/>
    </row>
    <row r="135" spans="1:15" ht="15.75" customHeight="1">
      <c r="A135" s="277" t="s">
        <v>118</v>
      </c>
      <c r="B135" s="291" t="s">
        <v>28</v>
      </c>
      <c r="C135" s="279">
        <v>0</v>
      </c>
      <c r="D135" s="292">
        <f t="shared" ref="D135:D136" si="228">ROUND(C135*75%,0)</f>
        <v>0</v>
      </c>
      <c r="E135" s="279">
        <v>27252</v>
      </c>
      <c r="F135" s="268" t="e">
        <f t="shared" ref="F135:F136" si="229">E135/C135</f>
        <v>#DIV/0!</v>
      </c>
      <c r="G135" s="260"/>
    </row>
    <row r="136" spans="1:15" ht="15.75" customHeight="1">
      <c r="A136" s="277" t="s">
        <v>112</v>
      </c>
      <c r="B136" s="291" t="s">
        <v>32</v>
      </c>
      <c r="C136" s="279">
        <v>293605</v>
      </c>
      <c r="D136" s="292">
        <f t="shared" si="228"/>
        <v>220204</v>
      </c>
      <c r="E136" s="279">
        <f>178331+4500</f>
        <v>182831</v>
      </c>
      <c r="F136" s="293">
        <f t="shared" si="229"/>
        <v>0.6227107848980773</v>
      </c>
      <c r="G136" s="260"/>
    </row>
    <row r="137" spans="1:15" ht="15.75" customHeight="1">
      <c r="A137" s="245"/>
      <c r="B137" s="199"/>
      <c r="C137" s="199"/>
      <c r="D137" s="246"/>
      <c r="E137" s="199"/>
      <c r="F137" s="247"/>
    </row>
    <row r="138" spans="1:15" ht="15.75" customHeight="1">
      <c r="A138" s="976"/>
      <c r="B138" s="977"/>
      <c r="C138" s="199"/>
      <c r="D138" s="199"/>
      <c r="E138" s="199"/>
      <c r="F138" s="247"/>
    </row>
    <row r="139" spans="1:15" ht="15.75" customHeight="1">
      <c r="A139" s="976"/>
      <c r="B139" s="977"/>
      <c r="C139" s="199"/>
      <c r="D139" s="199"/>
      <c r="E139" s="199"/>
      <c r="F139" s="247"/>
    </row>
    <row r="140" spans="1:15" ht="15.75" customHeight="1">
      <c r="A140" s="248"/>
      <c r="B140" s="248"/>
      <c r="C140" s="199"/>
      <c r="D140" s="199"/>
      <c r="E140" s="199"/>
      <c r="F140" s="247"/>
    </row>
    <row r="141" spans="1:15" ht="15.75" customHeight="1"/>
    <row r="142" spans="1:15" ht="15.75" customHeight="1"/>
    <row r="143" spans="1:15" ht="15.75" customHeight="1"/>
    <row r="144" spans="1:1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0">
    <mergeCell ref="A12:F12"/>
    <mergeCell ref="A13:A14"/>
    <mergeCell ref="A79:A83"/>
    <mergeCell ref="A15:F15"/>
    <mergeCell ref="G15:L15"/>
    <mergeCell ref="A16:A20"/>
    <mergeCell ref="A22:A25"/>
    <mergeCell ref="G27:G31"/>
    <mergeCell ref="G33:G34"/>
    <mergeCell ref="G36:G38"/>
    <mergeCell ref="A26:F26"/>
    <mergeCell ref="G26:L26"/>
    <mergeCell ref="A27:A31"/>
    <mergeCell ref="A32:F32"/>
    <mergeCell ref="G32:L32"/>
    <mergeCell ref="G35:L35"/>
    <mergeCell ref="A33:A34"/>
    <mergeCell ref="A35:F35"/>
    <mergeCell ref="A36:A38"/>
    <mergeCell ref="A67:F67"/>
    <mergeCell ref="G67:L67"/>
    <mergeCell ref="G68:G72"/>
    <mergeCell ref="A39:F39"/>
    <mergeCell ref="G39:L39"/>
    <mergeCell ref="A122:A123"/>
    <mergeCell ref="B122:B123"/>
    <mergeCell ref="A138:B138"/>
    <mergeCell ref="A139:B139"/>
    <mergeCell ref="A91:A94"/>
    <mergeCell ref="A95:F95"/>
    <mergeCell ref="A96:A102"/>
    <mergeCell ref="A104:A105"/>
    <mergeCell ref="A106:A107"/>
    <mergeCell ref="A108:A109"/>
    <mergeCell ref="A110:A111"/>
    <mergeCell ref="A84:F84"/>
    <mergeCell ref="G84:L84"/>
    <mergeCell ref="A85:A89"/>
    <mergeCell ref="M85:M89"/>
    <mergeCell ref="A90:F90"/>
    <mergeCell ref="G90:L90"/>
    <mergeCell ref="M91:M94"/>
    <mergeCell ref="A114:A115"/>
    <mergeCell ref="A116:A117"/>
    <mergeCell ref="G91:G94"/>
    <mergeCell ref="G96:G102"/>
    <mergeCell ref="G104:G105"/>
    <mergeCell ref="G106:G107"/>
    <mergeCell ref="G108:G109"/>
    <mergeCell ref="G110:G111"/>
    <mergeCell ref="G95:L95"/>
    <mergeCell ref="M95:R95"/>
    <mergeCell ref="M96:M102"/>
    <mergeCell ref="M104:M105"/>
    <mergeCell ref="M106:M107"/>
    <mergeCell ref="M108:M109"/>
    <mergeCell ref="M110:M111"/>
    <mergeCell ref="M84:R84"/>
    <mergeCell ref="M90:R90"/>
    <mergeCell ref="A56:A60"/>
    <mergeCell ref="A61:F61"/>
    <mergeCell ref="A62:A66"/>
    <mergeCell ref="G62:G66"/>
    <mergeCell ref="M74:M77"/>
    <mergeCell ref="M79:M83"/>
    <mergeCell ref="M33:M34"/>
    <mergeCell ref="M36:M38"/>
    <mergeCell ref="M40:M42"/>
    <mergeCell ref="M52:M54"/>
    <mergeCell ref="M56:M60"/>
    <mergeCell ref="M62:M66"/>
    <mergeCell ref="M68:M72"/>
    <mergeCell ref="M35:R35"/>
    <mergeCell ref="M39:R39"/>
    <mergeCell ref="A40:A42"/>
    <mergeCell ref="G40:G42"/>
    <mergeCell ref="G51:L51"/>
    <mergeCell ref="M51:R51"/>
    <mergeCell ref="M55:R55"/>
    <mergeCell ref="M61:R61"/>
    <mergeCell ref="M67:R67"/>
    <mergeCell ref="M73:R73"/>
    <mergeCell ref="M78:R78"/>
    <mergeCell ref="G85:G89"/>
    <mergeCell ref="A47:A50"/>
    <mergeCell ref="A51:F51"/>
    <mergeCell ref="G74:G77"/>
    <mergeCell ref="G79:G83"/>
    <mergeCell ref="A68:A72"/>
    <mergeCell ref="A73:F73"/>
    <mergeCell ref="G73:L73"/>
    <mergeCell ref="A74:A77"/>
    <mergeCell ref="A78:F78"/>
    <mergeCell ref="G78:L78"/>
    <mergeCell ref="A52:A54"/>
    <mergeCell ref="G52:G54"/>
    <mergeCell ref="A55:F55"/>
    <mergeCell ref="G55:L55"/>
    <mergeCell ref="G56:G60"/>
    <mergeCell ref="G61:L61"/>
    <mergeCell ref="A43:F43"/>
    <mergeCell ref="G43:L43"/>
    <mergeCell ref="A44:A45"/>
    <mergeCell ref="M44:M45"/>
    <mergeCell ref="A46:F46"/>
    <mergeCell ref="G46:L46"/>
    <mergeCell ref="M47:M50"/>
    <mergeCell ref="G44:G45"/>
    <mergeCell ref="G47:G50"/>
    <mergeCell ref="M43:R43"/>
    <mergeCell ref="M46:R46"/>
    <mergeCell ref="M26:R26"/>
    <mergeCell ref="M32:R32"/>
    <mergeCell ref="M27:M31"/>
    <mergeCell ref="G3:G4"/>
    <mergeCell ref="H3:H4"/>
    <mergeCell ref="L3:L4"/>
    <mergeCell ref="M3:M4"/>
    <mergeCell ref="M5:M8"/>
    <mergeCell ref="M10:M11"/>
    <mergeCell ref="M13:M14"/>
    <mergeCell ref="M22:M25"/>
    <mergeCell ref="G5:G8"/>
    <mergeCell ref="G9:L9"/>
    <mergeCell ref="G10:G11"/>
    <mergeCell ref="G12:L12"/>
    <mergeCell ref="A21:F21"/>
    <mergeCell ref="G21:L21"/>
    <mergeCell ref="M21:R21"/>
    <mergeCell ref="G13:G14"/>
    <mergeCell ref="G22:G25"/>
    <mergeCell ref="B3:B4"/>
    <mergeCell ref="F3:F4"/>
    <mergeCell ref="A1:F1"/>
    <mergeCell ref="G1:L1"/>
    <mergeCell ref="M1:R1"/>
    <mergeCell ref="A2:F2"/>
    <mergeCell ref="G2:L2"/>
    <mergeCell ref="M2:R2"/>
    <mergeCell ref="A3:A4"/>
    <mergeCell ref="G16:G20"/>
    <mergeCell ref="M16:M20"/>
    <mergeCell ref="N3:N4"/>
    <mergeCell ref="R3:R4"/>
    <mergeCell ref="M9:R9"/>
    <mergeCell ref="M12:R12"/>
    <mergeCell ref="M15:R15"/>
    <mergeCell ref="A5:A8"/>
    <mergeCell ref="A9:F9"/>
    <mergeCell ref="A10:A1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Z1000"/>
  <sheetViews>
    <sheetView topLeftCell="G1" workbookViewId="0">
      <selection sqref="A1:F1"/>
    </sheetView>
  </sheetViews>
  <sheetFormatPr defaultColWidth="12.625" defaultRowHeight="15" customHeight="1"/>
  <cols>
    <col min="1" max="1" width="22.625" customWidth="1"/>
    <col min="2" max="2" width="15.25" customWidth="1"/>
    <col min="3" max="3" width="13.375" customWidth="1"/>
    <col min="4" max="4" width="1.75" hidden="1" customWidth="1"/>
    <col min="5" max="5" width="15" customWidth="1"/>
    <col min="6" max="6" width="13.375" customWidth="1"/>
    <col min="7" max="7" width="23.125" customWidth="1"/>
    <col min="8" max="8" width="13.25" customWidth="1"/>
    <col min="9" max="9" width="13.625" customWidth="1"/>
    <col min="10" max="10" width="13.375" hidden="1" customWidth="1"/>
    <col min="11" max="11" width="15" customWidth="1"/>
    <col min="12" max="12" width="14.125" customWidth="1"/>
    <col min="13" max="13" width="22" customWidth="1"/>
    <col min="14" max="14" width="13.25" customWidth="1"/>
    <col min="15" max="15" width="13.625" customWidth="1"/>
    <col min="16" max="16" width="0.25" hidden="1" customWidth="1"/>
    <col min="17" max="17" width="15" customWidth="1"/>
    <col min="18" max="18" width="14.625" customWidth="1"/>
    <col min="19" max="26" width="7.875" customWidth="1"/>
  </cols>
  <sheetData>
    <row r="1" spans="1:18" ht="21" customHeight="1">
      <c r="A1" s="962" t="s">
        <v>88</v>
      </c>
      <c r="B1" s="928"/>
      <c r="C1" s="928"/>
      <c r="D1" s="928"/>
      <c r="E1" s="928"/>
      <c r="F1" s="928"/>
      <c r="G1" s="963" t="str">
        <f>A1</f>
        <v xml:space="preserve">Capex review on OBG 2021-22 </v>
      </c>
      <c r="H1" s="957"/>
      <c r="I1" s="957"/>
      <c r="J1" s="957"/>
      <c r="K1" s="957"/>
      <c r="L1" s="957"/>
      <c r="M1" s="964" t="str">
        <f>G1</f>
        <v xml:space="preserve">Capex review on OBG 2021-22 </v>
      </c>
      <c r="N1" s="957"/>
      <c r="O1" s="957"/>
      <c r="P1" s="957"/>
      <c r="Q1" s="957"/>
      <c r="R1" s="957"/>
    </row>
    <row r="2" spans="1:18">
      <c r="A2" s="965" t="s">
        <v>1</v>
      </c>
      <c r="B2" s="966"/>
      <c r="C2" s="966"/>
      <c r="D2" s="966"/>
      <c r="E2" s="966"/>
      <c r="F2" s="967"/>
      <c r="G2" s="965" t="s">
        <v>89</v>
      </c>
      <c r="H2" s="966"/>
      <c r="I2" s="966"/>
      <c r="J2" s="966"/>
      <c r="K2" s="966"/>
      <c r="L2" s="967"/>
      <c r="M2" s="965" t="s">
        <v>90</v>
      </c>
      <c r="N2" s="966"/>
      <c r="O2" s="966"/>
      <c r="P2" s="966"/>
      <c r="Q2" s="966"/>
      <c r="R2" s="967"/>
    </row>
    <row r="3" spans="1:18" ht="15.75">
      <c r="A3" s="959" t="s">
        <v>91</v>
      </c>
      <c r="B3" s="960"/>
      <c r="C3" s="960"/>
      <c r="D3" s="960"/>
      <c r="E3" s="960"/>
      <c r="F3" s="961"/>
      <c r="G3" s="959" t="s">
        <v>91</v>
      </c>
      <c r="H3" s="960"/>
      <c r="I3" s="960"/>
      <c r="J3" s="960"/>
      <c r="K3" s="960"/>
      <c r="L3" s="961"/>
      <c r="M3" s="959" t="s">
        <v>91</v>
      </c>
      <c r="N3" s="960"/>
      <c r="O3" s="960"/>
      <c r="P3" s="960"/>
      <c r="Q3" s="960"/>
      <c r="R3" s="961"/>
    </row>
    <row r="4" spans="1:18" ht="53.25" customHeight="1">
      <c r="A4" s="968" t="s">
        <v>119</v>
      </c>
      <c r="B4" s="968" t="s">
        <v>7</v>
      </c>
      <c r="C4" s="89" t="s">
        <v>92</v>
      </c>
      <c r="D4" s="89" t="s">
        <v>93</v>
      </c>
      <c r="E4" s="90" t="s">
        <v>131</v>
      </c>
      <c r="F4" s="969" t="s">
        <v>128</v>
      </c>
      <c r="G4" s="968" t="s">
        <v>119</v>
      </c>
      <c r="H4" s="968" t="s">
        <v>7</v>
      </c>
      <c r="I4" s="89" t="str">
        <f t="shared" ref="I4:K4" si="0">C4</f>
        <v xml:space="preserve">OBG 2021-22 </v>
      </c>
      <c r="J4" s="89" t="str">
        <f t="shared" si="0"/>
        <v>Spending Limit 2021-22 ( S L)</v>
      </c>
      <c r="K4" s="91" t="str">
        <f t="shared" si="0"/>
        <v>Actual Exp. up to June-2021</v>
      </c>
      <c r="L4" s="969" t="s">
        <v>132</v>
      </c>
      <c r="M4" s="968" t="s">
        <v>119</v>
      </c>
      <c r="N4" s="968" t="s">
        <v>7</v>
      </c>
      <c r="O4" s="89" t="str">
        <f t="shared" ref="O4:Q4" si="1">C4</f>
        <v xml:space="preserve">OBG 2021-22 </v>
      </c>
      <c r="P4" s="89" t="str">
        <f t="shared" si="1"/>
        <v>Spending Limit 2021-22 ( S L)</v>
      </c>
      <c r="Q4" s="91" t="str">
        <f t="shared" si="1"/>
        <v>Actual Exp. up to June-2021</v>
      </c>
      <c r="R4" s="969" t="s">
        <v>128</v>
      </c>
    </row>
    <row r="5" spans="1:18" ht="33.75" customHeight="1">
      <c r="A5" s="949"/>
      <c r="B5" s="949"/>
      <c r="C5" s="92" t="s">
        <v>19</v>
      </c>
      <c r="D5" s="92" t="s">
        <v>19</v>
      </c>
      <c r="E5" s="93" t="s">
        <v>19</v>
      </c>
      <c r="F5" s="934"/>
      <c r="G5" s="949"/>
      <c r="H5" s="949"/>
      <c r="I5" s="94" t="s">
        <v>19</v>
      </c>
      <c r="J5" s="92" t="s">
        <v>19</v>
      </c>
      <c r="K5" s="93" t="s">
        <v>19</v>
      </c>
      <c r="L5" s="958"/>
      <c r="M5" s="949"/>
      <c r="N5" s="949"/>
      <c r="O5" s="92" t="s">
        <v>19</v>
      </c>
      <c r="P5" s="92" t="s">
        <v>19</v>
      </c>
      <c r="Q5" s="93" t="s">
        <v>19</v>
      </c>
      <c r="R5" s="958"/>
    </row>
    <row r="6" spans="1:18" ht="15.75" customHeight="1">
      <c r="A6" s="951" t="s">
        <v>97</v>
      </c>
      <c r="B6" s="95" t="s">
        <v>21</v>
      </c>
      <c r="C6" s="96">
        <v>10001</v>
      </c>
      <c r="D6" s="95">
        <f t="shared" ref="D6:D7" si="2">C6</f>
        <v>10001</v>
      </c>
      <c r="E6" s="97">
        <v>810</v>
      </c>
      <c r="F6" s="98">
        <f>E6/C6</f>
        <v>8.0991900809919012E-2</v>
      </c>
      <c r="G6" s="951" t="s">
        <v>97</v>
      </c>
      <c r="H6" s="95" t="s">
        <v>21</v>
      </c>
      <c r="I6" s="96">
        <v>10001</v>
      </c>
      <c r="J6" s="95">
        <f t="shared" ref="J6:J7" si="3">I6</f>
        <v>10001</v>
      </c>
      <c r="K6" s="97">
        <v>810</v>
      </c>
      <c r="L6" s="98">
        <f>K6/I6</f>
        <v>8.0991900809919012E-2</v>
      </c>
      <c r="M6" s="951" t="s">
        <v>97</v>
      </c>
      <c r="N6" s="99" t="s">
        <v>21</v>
      </c>
      <c r="O6" s="95">
        <f t="shared" ref="O6:Q6" si="4">C6-I6</f>
        <v>0</v>
      </c>
      <c r="P6" s="95">
        <f t="shared" si="4"/>
        <v>0</v>
      </c>
      <c r="Q6" s="100">
        <f t="shared" si="4"/>
        <v>0</v>
      </c>
      <c r="R6" s="101"/>
    </row>
    <row r="7" spans="1:18">
      <c r="A7" s="952"/>
      <c r="B7" s="102" t="s">
        <v>22</v>
      </c>
      <c r="C7" s="103">
        <v>0</v>
      </c>
      <c r="D7" s="102">
        <f t="shared" si="2"/>
        <v>0</v>
      </c>
      <c r="E7" s="104">
        <v>0</v>
      </c>
      <c r="F7" s="105">
        <v>0</v>
      </c>
      <c r="G7" s="952"/>
      <c r="H7" s="102" t="s">
        <v>22</v>
      </c>
      <c r="I7" s="103">
        <v>0</v>
      </c>
      <c r="J7" s="102">
        <f t="shared" si="3"/>
        <v>0</v>
      </c>
      <c r="K7" s="104">
        <v>0</v>
      </c>
      <c r="L7" s="105">
        <v>0</v>
      </c>
      <c r="M7" s="952"/>
      <c r="N7" s="106" t="s">
        <v>22</v>
      </c>
      <c r="O7" s="102">
        <f t="shared" ref="O7:Q7" si="5">C7-I7</f>
        <v>0</v>
      </c>
      <c r="P7" s="102">
        <f t="shared" si="5"/>
        <v>0</v>
      </c>
      <c r="Q7" s="107">
        <f t="shared" si="5"/>
        <v>0</v>
      </c>
      <c r="R7" s="101"/>
    </row>
    <row r="8" spans="1:18">
      <c r="A8" s="952"/>
      <c r="B8" s="102" t="s">
        <v>40</v>
      </c>
      <c r="C8" s="108">
        <v>2</v>
      </c>
      <c r="D8" s="109"/>
      <c r="E8" s="110">
        <v>424</v>
      </c>
      <c r="F8" s="105">
        <f t="shared" ref="F8:F9" si="6">E8/C8</f>
        <v>212</v>
      </c>
      <c r="G8" s="952"/>
      <c r="H8" s="102" t="s">
        <v>40</v>
      </c>
      <c r="I8" s="108">
        <v>2</v>
      </c>
      <c r="J8" s="109"/>
      <c r="K8" s="110">
        <v>424</v>
      </c>
      <c r="L8" s="105">
        <f t="shared" ref="L8:L9" si="7">K8/I8</f>
        <v>212</v>
      </c>
      <c r="M8" s="952"/>
      <c r="N8" s="102" t="s">
        <v>40</v>
      </c>
      <c r="O8" s="102">
        <f t="shared" ref="O8:Q8" si="8">C8-I8</f>
        <v>0</v>
      </c>
      <c r="P8" s="102">
        <f t="shared" si="8"/>
        <v>0</v>
      </c>
      <c r="Q8" s="107">
        <f t="shared" si="8"/>
        <v>0</v>
      </c>
      <c r="R8" s="101"/>
    </row>
    <row r="9" spans="1:18" ht="15.75">
      <c r="A9" s="953"/>
      <c r="B9" s="113" t="s">
        <v>25</v>
      </c>
      <c r="C9" s="114">
        <f t="shared" ref="C9:E9" si="9">SUM(C6:C8)</f>
        <v>10003</v>
      </c>
      <c r="D9" s="115">
        <f t="shared" si="9"/>
        <v>10001</v>
      </c>
      <c r="E9" s="115">
        <f t="shared" si="9"/>
        <v>1234</v>
      </c>
      <c r="F9" s="116">
        <f t="shared" si="6"/>
        <v>0.1233629911026692</v>
      </c>
      <c r="G9" s="953"/>
      <c r="H9" s="113" t="s">
        <v>25</v>
      </c>
      <c r="I9" s="114">
        <f t="shared" ref="I9:K9" si="10">SUM(I6:I8)</f>
        <v>10003</v>
      </c>
      <c r="J9" s="115">
        <f t="shared" si="10"/>
        <v>10001</v>
      </c>
      <c r="K9" s="115">
        <f t="shared" si="10"/>
        <v>1234</v>
      </c>
      <c r="L9" s="116">
        <f t="shared" si="7"/>
        <v>0.1233629911026692</v>
      </c>
      <c r="M9" s="953"/>
      <c r="N9" s="117" t="s">
        <v>25</v>
      </c>
      <c r="O9" s="118">
        <f t="shared" ref="O9:Q9" si="11">SUM(O6:O7)</f>
        <v>0</v>
      </c>
      <c r="P9" s="118">
        <f t="shared" si="11"/>
        <v>0</v>
      </c>
      <c r="Q9" s="118">
        <f t="shared" si="11"/>
        <v>0</v>
      </c>
      <c r="R9" s="101"/>
    </row>
    <row r="10" spans="1:18" ht="15.75">
      <c r="A10" s="954"/>
      <c r="B10" s="928"/>
      <c r="C10" s="928"/>
      <c r="D10" s="928"/>
      <c r="E10" s="928"/>
      <c r="F10" s="955"/>
      <c r="G10" s="954"/>
      <c r="H10" s="928"/>
      <c r="I10" s="928"/>
      <c r="J10" s="928"/>
      <c r="K10" s="928"/>
      <c r="L10" s="955"/>
      <c r="M10" s="954"/>
      <c r="N10" s="928"/>
      <c r="O10" s="928"/>
      <c r="P10" s="928"/>
      <c r="Q10" s="928"/>
      <c r="R10" s="955"/>
    </row>
    <row r="11" spans="1:18" ht="15.75" customHeight="1">
      <c r="A11" s="951" t="s">
        <v>26</v>
      </c>
      <c r="B11" s="119" t="s">
        <v>21</v>
      </c>
      <c r="C11" s="119">
        <v>260001</v>
      </c>
      <c r="D11" s="119">
        <f>C11</f>
        <v>260001</v>
      </c>
      <c r="E11" s="120">
        <v>26413</v>
      </c>
      <c r="F11" s="98">
        <f t="shared" ref="F11:F12" si="12">E11/C11</f>
        <v>0.10158807081511224</v>
      </c>
      <c r="G11" s="951" t="s">
        <v>26</v>
      </c>
      <c r="H11" s="119" t="s">
        <v>21</v>
      </c>
      <c r="I11" s="119">
        <v>260001</v>
      </c>
      <c r="J11" s="119">
        <f>I11</f>
        <v>260001</v>
      </c>
      <c r="K11" s="120">
        <v>26413</v>
      </c>
      <c r="L11" s="98">
        <f t="shared" ref="L11:L12" si="13">K11/I11</f>
        <v>0.10158807081511224</v>
      </c>
      <c r="M11" s="951" t="s">
        <v>26</v>
      </c>
      <c r="N11" s="119" t="s">
        <v>21</v>
      </c>
      <c r="O11" s="102">
        <f t="shared" ref="O11:Q11" si="14">C11-I11</f>
        <v>0</v>
      </c>
      <c r="P11" s="102">
        <f t="shared" si="14"/>
        <v>0</v>
      </c>
      <c r="Q11" s="107">
        <f t="shared" si="14"/>
        <v>0</v>
      </c>
      <c r="R11" s="105"/>
    </row>
    <row r="12" spans="1:18" ht="15.75">
      <c r="A12" s="953"/>
      <c r="B12" s="118" t="s">
        <v>25</v>
      </c>
      <c r="C12" s="118">
        <f t="shared" ref="C12:E12" si="15">SUM(C11)</f>
        <v>260001</v>
      </c>
      <c r="D12" s="118">
        <f t="shared" si="15"/>
        <v>260001</v>
      </c>
      <c r="E12" s="121">
        <f t="shared" si="15"/>
        <v>26413</v>
      </c>
      <c r="F12" s="116">
        <f t="shared" si="12"/>
        <v>0.10158807081511224</v>
      </c>
      <c r="G12" s="953"/>
      <c r="H12" s="118" t="s">
        <v>25</v>
      </c>
      <c r="I12" s="118">
        <f t="shared" ref="I12:K12" si="16">SUM(I11)</f>
        <v>260001</v>
      </c>
      <c r="J12" s="118">
        <f t="shared" si="16"/>
        <v>260001</v>
      </c>
      <c r="K12" s="121">
        <f t="shared" si="16"/>
        <v>26413</v>
      </c>
      <c r="L12" s="116">
        <f t="shared" si="13"/>
        <v>0.10158807081511224</v>
      </c>
      <c r="M12" s="953"/>
      <c r="N12" s="118" t="s">
        <v>25</v>
      </c>
      <c r="O12" s="118">
        <f t="shared" ref="O12:Q12" si="17">SUM(O11)</f>
        <v>0</v>
      </c>
      <c r="P12" s="118">
        <f t="shared" si="17"/>
        <v>0</v>
      </c>
      <c r="Q12" s="118">
        <f t="shared" si="17"/>
        <v>0</v>
      </c>
      <c r="R12" s="105"/>
    </row>
    <row r="13" spans="1:18" ht="15.75">
      <c r="A13" s="954"/>
      <c r="B13" s="928"/>
      <c r="C13" s="928"/>
      <c r="D13" s="928"/>
      <c r="E13" s="928"/>
      <c r="F13" s="955"/>
      <c r="G13" s="954"/>
      <c r="H13" s="928"/>
      <c r="I13" s="928"/>
      <c r="J13" s="928"/>
      <c r="K13" s="928"/>
      <c r="L13" s="955"/>
      <c r="M13" s="954"/>
      <c r="N13" s="928"/>
      <c r="O13" s="928"/>
      <c r="P13" s="928"/>
      <c r="Q13" s="928"/>
      <c r="R13" s="955"/>
    </row>
    <row r="14" spans="1:18">
      <c r="A14" s="948" t="s">
        <v>27</v>
      </c>
      <c r="B14" s="95" t="s">
        <v>21</v>
      </c>
      <c r="C14" s="99">
        <v>6780400</v>
      </c>
      <c r="D14" s="99">
        <f>C14</f>
        <v>6780400</v>
      </c>
      <c r="E14" s="97">
        <v>33076</v>
      </c>
      <c r="F14" s="98">
        <f t="shared" ref="F14:F15" si="18">E14/C14</f>
        <v>4.8781782785676363E-3</v>
      </c>
      <c r="G14" s="948" t="s">
        <v>27</v>
      </c>
      <c r="H14" s="95" t="s">
        <v>21</v>
      </c>
      <c r="I14" s="99">
        <f>2700400+4000000</f>
        <v>6700400</v>
      </c>
      <c r="J14" s="99">
        <f>I14</f>
        <v>6700400</v>
      </c>
      <c r="K14" s="97">
        <v>33076</v>
      </c>
      <c r="L14" s="98">
        <f t="shared" ref="L14:L15" si="19">K14/I14</f>
        <v>4.9364217061667959E-3</v>
      </c>
      <c r="M14" s="948" t="s">
        <v>27</v>
      </c>
      <c r="N14" s="95" t="s">
        <v>21</v>
      </c>
      <c r="O14" s="102">
        <f t="shared" ref="O14:Q14" si="20">C14-I14</f>
        <v>80000</v>
      </c>
      <c r="P14" s="102">
        <f t="shared" si="20"/>
        <v>80000</v>
      </c>
      <c r="Q14" s="107">
        <f t="shared" si="20"/>
        <v>0</v>
      </c>
      <c r="R14" s="105">
        <f>Q14/O14</f>
        <v>0</v>
      </c>
    </row>
    <row r="15" spans="1:18" ht="15.75">
      <c r="A15" s="950"/>
      <c r="B15" s="118" t="s">
        <v>25</v>
      </c>
      <c r="C15" s="115">
        <f t="shared" ref="C15:E15" si="21">SUM(C14)</f>
        <v>6780400</v>
      </c>
      <c r="D15" s="115">
        <f t="shared" si="21"/>
        <v>6780400</v>
      </c>
      <c r="E15" s="121">
        <f t="shared" si="21"/>
        <v>33076</v>
      </c>
      <c r="F15" s="116">
        <f t="shared" si="18"/>
        <v>4.8781782785676363E-3</v>
      </c>
      <c r="G15" s="950"/>
      <c r="H15" s="118" t="s">
        <v>25</v>
      </c>
      <c r="I15" s="115">
        <f t="shared" ref="I15:K15" si="22">SUM(I14)</f>
        <v>6700400</v>
      </c>
      <c r="J15" s="115">
        <f t="shared" si="22"/>
        <v>6700400</v>
      </c>
      <c r="K15" s="121">
        <f t="shared" si="22"/>
        <v>33076</v>
      </c>
      <c r="L15" s="116">
        <f t="shared" si="19"/>
        <v>4.9364217061667959E-3</v>
      </c>
      <c r="M15" s="950"/>
      <c r="N15" s="118" t="s">
        <v>25</v>
      </c>
      <c r="O15" s="115">
        <f t="shared" ref="O15:Q15" si="23">SUM(O14)</f>
        <v>80000</v>
      </c>
      <c r="P15" s="115">
        <f t="shared" si="23"/>
        <v>80000</v>
      </c>
      <c r="Q15" s="115">
        <f t="shared" si="23"/>
        <v>0</v>
      </c>
      <c r="R15" s="105">
        <f>Q15/P15</f>
        <v>0</v>
      </c>
    </row>
    <row r="16" spans="1:18" ht="15.75">
      <c r="A16" s="954"/>
      <c r="B16" s="928"/>
      <c r="C16" s="928"/>
      <c r="D16" s="928"/>
      <c r="E16" s="928"/>
      <c r="F16" s="955"/>
      <c r="G16" s="954"/>
      <c r="H16" s="928"/>
      <c r="I16" s="928"/>
      <c r="J16" s="928"/>
      <c r="K16" s="928"/>
      <c r="L16" s="955"/>
      <c r="M16" s="954"/>
      <c r="N16" s="928"/>
      <c r="O16" s="928"/>
      <c r="P16" s="928"/>
      <c r="Q16" s="928"/>
      <c r="R16" s="955"/>
    </row>
    <row r="17" spans="1:18" ht="15.75" customHeight="1">
      <c r="A17" s="948" t="s">
        <v>30</v>
      </c>
      <c r="B17" s="95" t="s">
        <v>21</v>
      </c>
      <c r="C17" s="99">
        <v>150007</v>
      </c>
      <c r="D17" s="99">
        <f>C17</f>
        <v>150007</v>
      </c>
      <c r="E17" s="97">
        <v>71877</v>
      </c>
      <c r="F17" s="98">
        <f>E17/C17</f>
        <v>0.47915763931016553</v>
      </c>
      <c r="G17" s="948" t="s">
        <v>30</v>
      </c>
      <c r="H17" s="95" t="s">
        <v>21</v>
      </c>
      <c r="I17" s="99">
        <v>150007</v>
      </c>
      <c r="J17" s="99">
        <f>I17</f>
        <v>150007</v>
      </c>
      <c r="K17" s="97">
        <v>29224</v>
      </c>
      <c r="L17" s="98">
        <f>K17/I17</f>
        <v>0.19481757517982495</v>
      </c>
      <c r="M17" s="948" t="s">
        <v>30</v>
      </c>
      <c r="N17" s="95" t="s">
        <v>21</v>
      </c>
      <c r="O17" s="102">
        <f t="shared" ref="O17:Q17" si="24">C17-I17</f>
        <v>0</v>
      </c>
      <c r="P17" s="102">
        <f t="shared" si="24"/>
        <v>0</v>
      </c>
      <c r="Q17" s="107">
        <f t="shared" si="24"/>
        <v>42653</v>
      </c>
      <c r="R17" s="105">
        <v>0</v>
      </c>
    </row>
    <row r="18" spans="1:18">
      <c r="A18" s="949"/>
      <c r="B18" s="102" t="s">
        <v>28</v>
      </c>
      <c r="C18" s="106">
        <v>0</v>
      </c>
      <c r="D18" s="106">
        <f t="shared" ref="D18:D19" si="25">SUM(ROUND(C18*50%,0))</f>
        <v>0</v>
      </c>
      <c r="E18" s="104">
        <v>256</v>
      </c>
      <c r="F18" s="105">
        <v>0</v>
      </c>
      <c r="G18" s="949"/>
      <c r="H18" s="102" t="s">
        <v>28</v>
      </c>
      <c r="I18" s="106">
        <v>0</v>
      </c>
      <c r="J18" s="106">
        <f t="shared" ref="J18:J19" si="26">SUM(ROUND(I18*50%,0))</f>
        <v>0</v>
      </c>
      <c r="K18" s="104">
        <v>0</v>
      </c>
      <c r="L18" s="105">
        <v>0</v>
      </c>
      <c r="M18" s="949"/>
      <c r="N18" s="102" t="s">
        <v>28</v>
      </c>
      <c r="O18" s="102">
        <f t="shared" ref="O18:Q18" si="27">C18-I18</f>
        <v>0</v>
      </c>
      <c r="P18" s="102">
        <f t="shared" si="27"/>
        <v>0</v>
      </c>
      <c r="Q18" s="107">
        <f t="shared" si="27"/>
        <v>256</v>
      </c>
      <c r="R18" s="105">
        <v>0</v>
      </c>
    </row>
    <row r="19" spans="1:18">
      <c r="A19" s="949"/>
      <c r="B19" s="102" t="s">
        <v>31</v>
      </c>
      <c r="C19" s="106">
        <v>100039</v>
      </c>
      <c r="D19" s="106">
        <f t="shared" si="25"/>
        <v>50020</v>
      </c>
      <c r="E19" s="104">
        <v>21142</v>
      </c>
      <c r="F19" s="105">
        <f t="shared" ref="F19:F21" si="28">E19/C19</f>
        <v>0.21133757834444566</v>
      </c>
      <c r="G19" s="949"/>
      <c r="H19" s="102" t="s">
        <v>31</v>
      </c>
      <c r="I19" s="106">
        <v>50026</v>
      </c>
      <c r="J19" s="106">
        <f t="shared" si="26"/>
        <v>25013</v>
      </c>
      <c r="K19" s="104">
        <v>12824</v>
      </c>
      <c r="L19" s="105">
        <f t="shared" ref="L19:L21" si="29">K19/I19</f>
        <v>0.2563466997161476</v>
      </c>
      <c r="M19" s="949"/>
      <c r="N19" s="102" t="s">
        <v>31</v>
      </c>
      <c r="O19" s="102">
        <f t="shared" ref="O19:Q19" si="30">C19-I19</f>
        <v>50013</v>
      </c>
      <c r="P19" s="102">
        <f t="shared" si="30"/>
        <v>25007</v>
      </c>
      <c r="Q19" s="107">
        <f t="shared" si="30"/>
        <v>8318</v>
      </c>
      <c r="R19" s="105">
        <f>Q19/O19</f>
        <v>0.16631675764301282</v>
      </c>
    </row>
    <row r="20" spans="1:18">
      <c r="A20" s="949"/>
      <c r="B20" s="122" t="s">
        <v>32</v>
      </c>
      <c r="C20" s="123">
        <v>2</v>
      </c>
      <c r="D20" s="106">
        <f>SUM(ROUND(C20*75%,0))</f>
        <v>2</v>
      </c>
      <c r="E20" s="104">
        <v>29922</v>
      </c>
      <c r="F20" s="105">
        <f t="shared" si="28"/>
        <v>14961</v>
      </c>
      <c r="G20" s="949"/>
      <c r="H20" s="122" t="s">
        <v>32</v>
      </c>
      <c r="I20" s="123">
        <f>2</f>
        <v>2</v>
      </c>
      <c r="J20" s="106">
        <f>SUM(ROUND(I20*75%,0))</f>
        <v>2</v>
      </c>
      <c r="K20" s="104">
        <f>6831+10320</f>
        <v>17151</v>
      </c>
      <c r="L20" s="105">
        <f t="shared" si="29"/>
        <v>8575.5</v>
      </c>
      <c r="M20" s="949"/>
      <c r="N20" s="122" t="s">
        <v>32</v>
      </c>
      <c r="O20" s="102">
        <f t="shared" ref="O20:Q20" si="31">C20-I20</f>
        <v>0</v>
      </c>
      <c r="P20" s="102">
        <f t="shared" si="31"/>
        <v>0</v>
      </c>
      <c r="Q20" s="107">
        <f t="shared" si="31"/>
        <v>12771</v>
      </c>
      <c r="R20" s="105">
        <v>0</v>
      </c>
    </row>
    <row r="21" spans="1:18" ht="15.75" customHeight="1">
      <c r="A21" s="950"/>
      <c r="B21" s="118" t="s">
        <v>25</v>
      </c>
      <c r="C21" s="115">
        <f t="shared" ref="C21:E21" si="32">SUM(C17:C20)</f>
        <v>250048</v>
      </c>
      <c r="D21" s="115">
        <f t="shared" si="32"/>
        <v>200029</v>
      </c>
      <c r="E21" s="121">
        <f t="shared" si="32"/>
        <v>123197</v>
      </c>
      <c r="F21" s="116">
        <f t="shared" si="28"/>
        <v>0.49269340286664959</v>
      </c>
      <c r="G21" s="950"/>
      <c r="H21" s="118" t="s">
        <v>25</v>
      </c>
      <c r="I21" s="115">
        <f t="shared" ref="I21:K21" si="33">SUM(I17:I20)</f>
        <v>200035</v>
      </c>
      <c r="J21" s="115">
        <f t="shared" si="33"/>
        <v>175022</v>
      </c>
      <c r="K21" s="121">
        <f t="shared" si="33"/>
        <v>59199</v>
      </c>
      <c r="L21" s="116">
        <f t="shared" si="29"/>
        <v>0.29594320993826079</v>
      </c>
      <c r="M21" s="950"/>
      <c r="N21" s="118" t="s">
        <v>25</v>
      </c>
      <c r="O21" s="115">
        <f t="shared" ref="O21:Q21" si="34">SUM(O17:O20)</f>
        <v>50013</v>
      </c>
      <c r="P21" s="115">
        <f t="shared" si="34"/>
        <v>25007</v>
      </c>
      <c r="Q21" s="115">
        <f t="shared" si="34"/>
        <v>63998</v>
      </c>
      <c r="R21" s="105">
        <f>Q21/O21</f>
        <v>1.2796272969028053</v>
      </c>
    </row>
    <row r="22" spans="1:18" ht="15.75" customHeight="1">
      <c r="A22" s="954"/>
      <c r="B22" s="928"/>
      <c r="C22" s="928"/>
      <c r="D22" s="928"/>
      <c r="E22" s="928"/>
      <c r="F22" s="955"/>
      <c r="G22" s="954"/>
      <c r="H22" s="928"/>
      <c r="I22" s="928"/>
      <c r="J22" s="928"/>
      <c r="K22" s="928"/>
      <c r="L22" s="955"/>
      <c r="M22" s="954"/>
      <c r="N22" s="928"/>
      <c r="O22" s="928"/>
      <c r="P22" s="928"/>
      <c r="Q22" s="928"/>
      <c r="R22" s="955"/>
    </row>
    <row r="23" spans="1:18" ht="15.75" customHeight="1">
      <c r="A23" s="948" t="s">
        <v>34</v>
      </c>
      <c r="B23" s="95" t="s">
        <v>21</v>
      </c>
      <c r="C23" s="99">
        <v>5000</v>
      </c>
      <c r="D23" s="99">
        <f>C23</f>
        <v>5000</v>
      </c>
      <c r="E23" s="97">
        <v>0</v>
      </c>
      <c r="F23" s="98">
        <f t="shared" ref="F23:F26" si="35">E23/C23</f>
        <v>0</v>
      </c>
      <c r="G23" s="948" t="s">
        <v>34</v>
      </c>
      <c r="H23" s="95" t="s">
        <v>21</v>
      </c>
      <c r="I23" s="99">
        <v>0</v>
      </c>
      <c r="J23" s="99">
        <f>I23</f>
        <v>0</v>
      </c>
      <c r="K23" s="97">
        <v>0</v>
      </c>
      <c r="L23" s="98">
        <v>0</v>
      </c>
      <c r="M23" s="948" t="s">
        <v>34</v>
      </c>
      <c r="N23" s="95" t="s">
        <v>21</v>
      </c>
      <c r="O23" s="102">
        <f t="shared" ref="O23:Q23" si="36">C23-I23</f>
        <v>5000</v>
      </c>
      <c r="P23" s="102">
        <f t="shared" si="36"/>
        <v>5000</v>
      </c>
      <c r="Q23" s="107">
        <f t="shared" si="36"/>
        <v>0</v>
      </c>
      <c r="R23" s="105">
        <f t="shared" ref="R23:R26" si="37">Q23/O23</f>
        <v>0</v>
      </c>
    </row>
    <row r="24" spans="1:18" ht="15.75" customHeight="1">
      <c r="A24" s="949"/>
      <c r="B24" s="102" t="s">
        <v>28</v>
      </c>
      <c r="C24" s="106">
        <v>30000</v>
      </c>
      <c r="D24" s="106">
        <f t="shared" ref="D24:D25" si="38">SUM(ROUND(C24*50%,0))</f>
        <v>15000</v>
      </c>
      <c r="E24" s="104">
        <v>0</v>
      </c>
      <c r="F24" s="105">
        <f t="shared" si="35"/>
        <v>0</v>
      </c>
      <c r="G24" s="949"/>
      <c r="H24" s="102" t="s">
        <v>28</v>
      </c>
      <c r="I24" s="106">
        <v>0</v>
      </c>
      <c r="J24" s="106">
        <f t="shared" ref="J24:J25" si="39">SUM(ROUND(I24*50%,0))</f>
        <v>0</v>
      </c>
      <c r="K24" s="104">
        <v>0</v>
      </c>
      <c r="L24" s="105">
        <v>0</v>
      </c>
      <c r="M24" s="949"/>
      <c r="N24" s="102" t="s">
        <v>28</v>
      </c>
      <c r="O24" s="102">
        <f t="shared" ref="O24:Q24" si="40">C24-I24</f>
        <v>30000</v>
      </c>
      <c r="P24" s="102">
        <f t="shared" si="40"/>
        <v>15000</v>
      </c>
      <c r="Q24" s="107">
        <f t="shared" si="40"/>
        <v>0</v>
      </c>
      <c r="R24" s="105">
        <f t="shared" si="37"/>
        <v>0</v>
      </c>
    </row>
    <row r="25" spans="1:18" ht="15.75" customHeight="1">
      <c r="A25" s="949"/>
      <c r="B25" s="102" t="s">
        <v>31</v>
      </c>
      <c r="C25" s="106">
        <v>104</v>
      </c>
      <c r="D25" s="106">
        <f t="shared" si="38"/>
        <v>52</v>
      </c>
      <c r="E25" s="104">
        <v>117</v>
      </c>
      <c r="F25" s="105">
        <f t="shared" si="35"/>
        <v>1.125</v>
      </c>
      <c r="G25" s="949"/>
      <c r="H25" s="102" t="s">
        <v>31</v>
      </c>
      <c r="I25" s="106">
        <v>0</v>
      </c>
      <c r="J25" s="106">
        <f t="shared" si="39"/>
        <v>0</v>
      </c>
      <c r="K25" s="104">
        <v>0</v>
      </c>
      <c r="L25" s="105">
        <v>0</v>
      </c>
      <c r="M25" s="949"/>
      <c r="N25" s="102" t="s">
        <v>31</v>
      </c>
      <c r="O25" s="102">
        <f t="shared" ref="O25:Q25" si="41">C25-I25</f>
        <v>104</v>
      </c>
      <c r="P25" s="102">
        <f t="shared" si="41"/>
        <v>52</v>
      </c>
      <c r="Q25" s="107">
        <f t="shared" si="41"/>
        <v>117</v>
      </c>
      <c r="R25" s="105">
        <f t="shared" si="37"/>
        <v>1.125</v>
      </c>
    </row>
    <row r="26" spans="1:18" ht="15.75" customHeight="1">
      <c r="A26" s="950"/>
      <c r="B26" s="118" t="s">
        <v>25</v>
      </c>
      <c r="C26" s="115">
        <f t="shared" ref="C26:E26" si="42">SUM(C23:C25)</f>
        <v>35104</v>
      </c>
      <c r="D26" s="115">
        <f t="shared" si="42"/>
        <v>20052</v>
      </c>
      <c r="E26" s="121">
        <f t="shared" si="42"/>
        <v>117</v>
      </c>
      <c r="F26" s="116">
        <f t="shared" si="35"/>
        <v>3.3329535095715586E-3</v>
      </c>
      <c r="G26" s="950"/>
      <c r="H26" s="118" t="s">
        <v>25</v>
      </c>
      <c r="I26" s="115">
        <f t="shared" ref="I26:K26" si="43">SUM(I23:I25)</f>
        <v>0</v>
      </c>
      <c r="J26" s="115">
        <f t="shared" si="43"/>
        <v>0</v>
      </c>
      <c r="K26" s="121">
        <f t="shared" si="43"/>
        <v>0</v>
      </c>
      <c r="L26" s="116">
        <v>0</v>
      </c>
      <c r="M26" s="950"/>
      <c r="N26" s="118" t="s">
        <v>25</v>
      </c>
      <c r="O26" s="115">
        <f t="shared" ref="O26:Q26" si="44">SUM(O23:O25)</f>
        <v>35104</v>
      </c>
      <c r="P26" s="115">
        <f t="shared" si="44"/>
        <v>20052</v>
      </c>
      <c r="Q26" s="115">
        <f t="shared" si="44"/>
        <v>117</v>
      </c>
      <c r="R26" s="105">
        <f t="shared" si="37"/>
        <v>3.3329535095715586E-3</v>
      </c>
    </row>
    <row r="27" spans="1:18" ht="15.75" customHeight="1">
      <c r="A27" s="954"/>
      <c r="B27" s="928"/>
      <c r="C27" s="928"/>
      <c r="D27" s="928"/>
      <c r="E27" s="928"/>
      <c r="F27" s="955"/>
      <c r="G27" s="954"/>
      <c r="H27" s="928"/>
      <c r="I27" s="928"/>
      <c r="J27" s="928"/>
      <c r="K27" s="928"/>
      <c r="L27" s="955"/>
      <c r="M27" s="954"/>
      <c r="N27" s="928"/>
      <c r="O27" s="928"/>
      <c r="P27" s="928"/>
      <c r="Q27" s="928"/>
      <c r="R27" s="955"/>
    </row>
    <row r="28" spans="1:18" ht="15.75" customHeight="1">
      <c r="A28" s="948" t="s">
        <v>98</v>
      </c>
      <c r="B28" s="95" t="s">
        <v>21</v>
      </c>
      <c r="C28" s="99">
        <v>17001</v>
      </c>
      <c r="D28" s="99">
        <f>C28</f>
        <v>17001</v>
      </c>
      <c r="E28" s="97">
        <v>8108</v>
      </c>
      <c r="F28" s="98">
        <f>E28/C28</f>
        <v>0.47691312275748488</v>
      </c>
      <c r="G28" s="948" t="s">
        <v>98</v>
      </c>
      <c r="H28" s="95" t="s">
        <v>21</v>
      </c>
      <c r="I28" s="99">
        <v>0</v>
      </c>
      <c r="J28" s="99">
        <f>I28</f>
        <v>0</v>
      </c>
      <c r="K28" s="97">
        <v>0</v>
      </c>
      <c r="L28" s="98">
        <v>0</v>
      </c>
      <c r="M28" s="948" t="s">
        <v>98</v>
      </c>
      <c r="N28" s="95" t="s">
        <v>21</v>
      </c>
      <c r="O28" s="102">
        <f t="shared" ref="O28:Q28" si="45">C28-I28</f>
        <v>17001</v>
      </c>
      <c r="P28" s="102">
        <f t="shared" si="45"/>
        <v>17001</v>
      </c>
      <c r="Q28" s="107">
        <f t="shared" si="45"/>
        <v>8108</v>
      </c>
      <c r="R28" s="105">
        <f>Q28/O28</f>
        <v>0.47691312275748488</v>
      </c>
    </row>
    <row r="29" spans="1:18" ht="15.75" customHeight="1">
      <c r="A29" s="949"/>
      <c r="B29" s="102" t="s">
        <v>28</v>
      </c>
      <c r="C29" s="106">
        <v>0</v>
      </c>
      <c r="D29" s="106">
        <f t="shared" ref="D29:D30" si="46">SUM(ROUND(C29*50%,0))</f>
        <v>0</v>
      </c>
      <c r="E29" s="104">
        <v>0</v>
      </c>
      <c r="F29" s="105">
        <v>0</v>
      </c>
      <c r="G29" s="949"/>
      <c r="H29" s="102" t="s">
        <v>28</v>
      </c>
      <c r="I29" s="106">
        <v>0</v>
      </c>
      <c r="J29" s="106">
        <f t="shared" ref="J29:J30" si="47">SUM(ROUND(I29*50%,0))</f>
        <v>0</v>
      </c>
      <c r="K29" s="104">
        <v>0</v>
      </c>
      <c r="L29" s="98">
        <v>0</v>
      </c>
      <c r="M29" s="949"/>
      <c r="N29" s="102" t="s">
        <v>28</v>
      </c>
      <c r="O29" s="102">
        <f t="shared" ref="O29:Q29" si="48">C29-I29</f>
        <v>0</v>
      </c>
      <c r="P29" s="102">
        <f t="shared" si="48"/>
        <v>0</v>
      </c>
      <c r="Q29" s="107">
        <f t="shared" si="48"/>
        <v>0</v>
      </c>
      <c r="R29" s="105">
        <v>0</v>
      </c>
    </row>
    <row r="30" spans="1:18" ht="15.75" customHeight="1">
      <c r="A30" s="949"/>
      <c r="B30" s="102" t="s">
        <v>31</v>
      </c>
      <c r="C30" s="106">
        <v>75646</v>
      </c>
      <c r="D30" s="106">
        <f t="shared" si="46"/>
        <v>37823</v>
      </c>
      <c r="E30" s="104">
        <v>0</v>
      </c>
      <c r="F30" s="105">
        <f t="shared" ref="F30:F32" si="49">E30/C30</f>
        <v>0</v>
      </c>
      <c r="G30" s="949"/>
      <c r="H30" s="102" t="s">
        <v>31</v>
      </c>
      <c r="I30" s="106">
        <v>0</v>
      </c>
      <c r="J30" s="106">
        <f t="shared" si="47"/>
        <v>0</v>
      </c>
      <c r="K30" s="104">
        <v>0</v>
      </c>
      <c r="L30" s="98">
        <v>0</v>
      </c>
      <c r="M30" s="949"/>
      <c r="N30" s="102" t="s">
        <v>31</v>
      </c>
      <c r="O30" s="102">
        <f t="shared" ref="O30:Q30" si="50">C30-I30</f>
        <v>75646</v>
      </c>
      <c r="P30" s="102">
        <f t="shared" si="50"/>
        <v>37823</v>
      </c>
      <c r="Q30" s="107">
        <f t="shared" si="50"/>
        <v>0</v>
      </c>
      <c r="R30" s="105">
        <f t="shared" ref="R30:R32" si="51">Q30/O30</f>
        <v>0</v>
      </c>
    </row>
    <row r="31" spans="1:18" ht="15.75" customHeight="1">
      <c r="A31" s="949"/>
      <c r="B31" s="122" t="s">
        <v>32</v>
      </c>
      <c r="C31" s="123">
        <v>87373</v>
      </c>
      <c r="D31" s="106">
        <f>SUM(ROUND(C31*75%,0))</f>
        <v>65530</v>
      </c>
      <c r="E31" s="104">
        <v>6406</v>
      </c>
      <c r="F31" s="105">
        <f t="shared" si="49"/>
        <v>7.3317844185274622E-2</v>
      </c>
      <c r="G31" s="949"/>
      <c r="H31" s="122" t="s">
        <v>32</v>
      </c>
      <c r="I31" s="123">
        <v>0</v>
      </c>
      <c r="J31" s="106">
        <f>SUM(ROUND(I31*75%,0))</f>
        <v>0</v>
      </c>
      <c r="K31" s="104">
        <v>0</v>
      </c>
      <c r="L31" s="98">
        <v>0</v>
      </c>
      <c r="M31" s="949"/>
      <c r="N31" s="122" t="s">
        <v>32</v>
      </c>
      <c r="O31" s="102">
        <f t="shared" ref="O31:Q31" si="52">C31-I31</f>
        <v>87373</v>
      </c>
      <c r="P31" s="102">
        <f t="shared" si="52"/>
        <v>65530</v>
      </c>
      <c r="Q31" s="107">
        <f t="shared" si="52"/>
        <v>6406</v>
      </c>
      <c r="R31" s="105">
        <f t="shared" si="51"/>
        <v>7.3317844185274622E-2</v>
      </c>
    </row>
    <row r="32" spans="1:18" ht="15.75" customHeight="1">
      <c r="A32" s="950"/>
      <c r="B32" s="118" t="s">
        <v>25</v>
      </c>
      <c r="C32" s="115">
        <f t="shared" ref="C32:E32" si="53">SUM(C28:C31)</f>
        <v>180020</v>
      </c>
      <c r="D32" s="115">
        <f t="shared" si="53"/>
        <v>120354</v>
      </c>
      <c r="E32" s="121">
        <f t="shared" si="53"/>
        <v>14514</v>
      </c>
      <c r="F32" s="116">
        <f t="shared" si="49"/>
        <v>8.0624375069436732E-2</v>
      </c>
      <c r="G32" s="950"/>
      <c r="H32" s="118" t="s">
        <v>25</v>
      </c>
      <c r="I32" s="115">
        <f t="shared" ref="I32:K32" si="54">SUM(I28:I31)</f>
        <v>0</v>
      </c>
      <c r="J32" s="115">
        <f t="shared" si="54"/>
        <v>0</v>
      </c>
      <c r="K32" s="121">
        <f t="shared" si="54"/>
        <v>0</v>
      </c>
      <c r="L32" s="116">
        <v>0</v>
      </c>
      <c r="M32" s="950"/>
      <c r="N32" s="118" t="s">
        <v>25</v>
      </c>
      <c r="O32" s="115">
        <f t="shared" ref="O32:Q32" si="55">SUM(O28:O31)</f>
        <v>180020</v>
      </c>
      <c r="P32" s="115">
        <f t="shared" si="55"/>
        <v>120354</v>
      </c>
      <c r="Q32" s="115">
        <f t="shared" si="55"/>
        <v>14514</v>
      </c>
      <c r="R32" s="105">
        <f t="shared" si="51"/>
        <v>8.0624375069436732E-2</v>
      </c>
    </row>
    <row r="33" spans="1:18" ht="15.75" customHeight="1">
      <c r="A33" s="954"/>
      <c r="B33" s="928"/>
      <c r="C33" s="928"/>
      <c r="D33" s="928"/>
      <c r="E33" s="928"/>
      <c r="F33" s="955"/>
      <c r="G33" s="954"/>
      <c r="H33" s="928"/>
      <c r="I33" s="928"/>
      <c r="J33" s="928"/>
      <c r="K33" s="928"/>
      <c r="L33" s="955"/>
      <c r="M33" s="954"/>
      <c r="N33" s="928"/>
      <c r="O33" s="928"/>
      <c r="P33" s="928"/>
      <c r="Q33" s="928"/>
      <c r="R33" s="955"/>
    </row>
    <row r="34" spans="1:18" ht="15.75" customHeight="1">
      <c r="A34" s="948" t="s">
        <v>99</v>
      </c>
      <c r="B34" s="95" t="s">
        <v>21</v>
      </c>
      <c r="C34" s="99">
        <v>6167100</v>
      </c>
      <c r="D34" s="99">
        <f>C34</f>
        <v>6167100</v>
      </c>
      <c r="E34" s="97">
        <v>3077600</v>
      </c>
      <c r="F34" s="98">
        <f t="shared" ref="F34:F35" si="56">E34/C34</f>
        <v>0.49903520293168591</v>
      </c>
      <c r="G34" s="948" t="s">
        <v>99</v>
      </c>
      <c r="H34" s="95" t="s">
        <v>21</v>
      </c>
      <c r="I34" s="99">
        <v>0</v>
      </c>
      <c r="J34" s="99">
        <f>I34</f>
        <v>0</v>
      </c>
      <c r="K34" s="97">
        <v>0</v>
      </c>
      <c r="L34" s="98">
        <v>0</v>
      </c>
      <c r="M34" s="948" t="s">
        <v>100</v>
      </c>
      <c r="N34" s="95" t="s">
        <v>21</v>
      </c>
      <c r="O34" s="102">
        <f t="shared" ref="O34:Q34" si="57">C34-I34</f>
        <v>6167100</v>
      </c>
      <c r="P34" s="102">
        <f t="shared" si="57"/>
        <v>6167100</v>
      </c>
      <c r="Q34" s="107">
        <f t="shared" si="57"/>
        <v>3077600</v>
      </c>
      <c r="R34" s="105">
        <f t="shared" ref="R34:R35" si="58">Q34/O34</f>
        <v>0.49903520293168591</v>
      </c>
    </row>
    <row r="35" spans="1:18" ht="15.75" customHeight="1">
      <c r="A35" s="950"/>
      <c r="B35" s="118" t="s">
        <v>25</v>
      </c>
      <c r="C35" s="115">
        <f t="shared" ref="C35:E35" si="59">SUM(C34)</f>
        <v>6167100</v>
      </c>
      <c r="D35" s="115">
        <f t="shared" si="59"/>
        <v>6167100</v>
      </c>
      <c r="E35" s="121">
        <f t="shared" si="59"/>
        <v>3077600</v>
      </c>
      <c r="F35" s="116">
        <f t="shared" si="56"/>
        <v>0.49903520293168591</v>
      </c>
      <c r="G35" s="950"/>
      <c r="H35" s="118" t="s">
        <v>25</v>
      </c>
      <c r="I35" s="115">
        <f t="shared" ref="I35:K35" si="60">SUM(I34)</f>
        <v>0</v>
      </c>
      <c r="J35" s="115">
        <f t="shared" si="60"/>
        <v>0</v>
      </c>
      <c r="K35" s="121">
        <f t="shared" si="60"/>
        <v>0</v>
      </c>
      <c r="L35" s="116">
        <v>0</v>
      </c>
      <c r="M35" s="950"/>
      <c r="N35" s="118" t="s">
        <v>25</v>
      </c>
      <c r="O35" s="115">
        <f t="shared" ref="O35:Q35" si="61">SUM(O34)</f>
        <v>6167100</v>
      </c>
      <c r="P35" s="115">
        <f t="shared" si="61"/>
        <v>6167100</v>
      </c>
      <c r="Q35" s="115">
        <f t="shared" si="61"/>
        <v>3077600</v>
      </c>
      <c r="R35" s="105">
        <f t="shared" si="58"/>
        <v>0.49903520293168591</v>
      </c>
    </row>
    <row r="36" spans="1:18" ht="15.75" customHeight="1">
      <c r="A36" s="954"/>
      <c r="B36" s="928"/>
      <c r="C36" s="928"/>
      <c r="D36" s="928"/>
      <c r="E36" s="928"/>
      <c r="F36" s="955"/>
      <c r="G36" s="954"/>
      <c r="H36" s="928"/>
      <c r="I36" s="928"/>
      <c r="J36" s="928"/>
      <c r="K36" s="928"/>
      <c r="L36" s="955"/>
      <c r="M36" s="954"/>
      <c r="N36" s="928"/>
      <c r="O36" s="928"/>
      <c r="P36" s="928"/>
      <c r="Q36" s="928"/>
      <c r="R36" s="955"/>
    </row>
    <row r="37" spans="1:18" ht="15.75" customHeight="1">
      <c r="A37" s="948" t="s">
        <v>101</v>
      </c>
      <c r="B37" s="119" t="s">
        <v>40</v>
      </c>
      <c r="C37" s="119">
        <v>244105</v>
      </c>
      <c r="D37" s="119">
        <f>C37</f>
        <v>244105</v>
      </c>
      <c r="E37" s="120">
        <v>0</v>
      </c>
      <c r="F37" s="98">
        <f>E37/C37</f>
        <v>0</v>
      </c>
      <c r="G37" s="948" t="s">
        <v>101</v>
      </c>
      <c r="H37" s="119" t="s">
        <v>40</v>
      </c>
      <c r="I37" s="119">
        <v>10000</v>
      </c>
      <c r="J37" s="119">
        <f>I37</f>
        <v>10000</v>
      </c>
      <c r="K37" s="120">
        <v>0</v>
      </c>
      <c r="L37" s="98">
        <f>K37/I37</f>
        <v>0</v>
      </c>
      <c r="M37" s="948" t="s">
        <v>101</v>
      </c>
      <c r="N37" s="119" t="s">
        <v>40</v>
      </c>
      <c r="O37" s="102">
        <f t="shared" ref="O37:Q37" si="62">C37-I37</f>
        <v>234105</v>
      </c>
      <c r="P37" s="102">
        <f t="shared" si="62"/>
        <v>234105</v>
      </c>
      <c r="Q37" s="107">
        <f t="shared" si="62"/>
        <v>0</v>
      </c>
      <c r="R37" s="105">
        <f>Q37/O37</f>
        <v>0</v>
      </c>
    </row>
    <row r="38" spans="1:18" ht="15.75" customHeight="1">
      <c r="A38" s="949"/>
      <c r="B38" s="122" t="s">
        <v>32</v>
      </c>
      <c r="C38" s="122">
        <v>0</v>
      </c>
      <c r="D38" s="106">
        <f>SUM(ROUND(C38*75%,0))</f>
        <v>0</v>
      </c>
      <c r="E38" s="104">
        <v>4113</v>
      </c>
      <c r="F38" s="105">
        <v>0</v>
      </c>
      <c r="G38" s="949"/>
      <c r="H38" s="122" t="s">
        <v>32</v>
      </c>
      <c r="I38" s="122">
        <v>0</v>
      </c>
      <c r="J38" s="106">
        <f>SUM(ROUND(I38*75%,0))</f>
        <v>0</v>
      </c>
      <c r="K38" s="104">
        <v>0</v>
      </c>
      <c r="L38" s="105">
        <v>0</v>
      </c>
      <c r="M38" s="949"/>
      <c r="N38" s="122" t="s">
        <v>32</v>
      </c>
      <c r="O38" s="102">
        <f t="shared" ref="O38:Q38" si="63">C38-I38</f>
        <v>0</v>
      </c>
      <c r="P38" s="102">
        <f t="shared" si="63"/>
        <v>0</v>
      </c>
      <c r="Q38" s="107">
        <f t="shared" si="63"/>
        <v>4113</v>
      </c>
      <c r="R38" s="105">
        <v>0</v>
      </c>
    </row>
    <row r="39" spans="1:18" ht="15.75" customHeight="1">
      <c r="A39" s="950"/>
      <c r="B39" s="118" t="s">
        <v>25</v>
      </c>
      <c r="C39" s="118">
        <f>SUM(C37:C38)</f>
        <v>244105</v>
      </c>
      <c r="D39" s="118">
        <f>SUM(D38)</f>
        <v>0</v>
      </c>
      <c r="E39" s="121">
        <f>SUM(E37:E38)</f>
        <v>4113</v>
      </c>
      <c r="F39" s="116">
        <v>0</v>
      </c>
      <c r="G39" s="950"/>
      <c r="H39" s="118" t="s">
        <v>25</v>
      </c>
      <c r="I39" s="118">
        <f>SUM(I37:I38)</f>
        <v>10000</v>
      </c>
      <c r="J39" s="118">
        <f t="shared" ref="J39:K39" si="64">SUM(J38)</f>
        <v>0</v>
      </c>
      <c r="K39" s="121">
        <f t="shared" si="64"/>
        <v>0</v>
      </c>
      <c r="L39" s="116">
        <v>0</v>
      </c>
      <c r="M39" s="950"/>
      <c r="N39" s="118" t="s">
        <v>25</v>
      </c>
      <c r="O39" s="118">
        <f>SUM(O37:O38)</f>
        <v>234105</v>
      </c>
      <c r="P39" s="118">
        <f t="shared" ref="P39:Q39" si="65">SUM(P38)</f>
        <v>0</v>
      </c>
      <c r="Q39" s="118">
        <f t="shared" si="65"/>
        <v>4113</v>
      </c>
      <c r="R39" s="105">
        <v>0</v>
      </c>
    </row>
    <row r="40" spans="1:18" ht="15.75" customHeight="1">
      <c r="A40" s="956"/>
      <c r="B40" s="957"/>
      <c r="C40" s="957"/>
      <c r="D40" s="957"/>
      <c r="E40" s="957"/>
      <c r="F40" s="958"/>
      <c r="G40" s="956"/>
      <c r="H40" s="957"/>
      <c r="I40" s="957"/>
      <c r="J40" s="957"/>
      <c r="K40" s="957"/>
      <c r="L40" s="958"/>
      <c r="M40" s="956"/>
      <c r="N40" s="957"/>
      <c r="O40" s="957"/>
      <c r="P40" s="957"/>
      <c r="Q40" s="957"/>
      <c r="R40" s="958"/>
    </row>
    <row r="41" spans="1:18" ht="15.75" customHeight="1">
      <c r="A41" s="948" t="s">
        <v>39</v>
      </c>
      <c r="B41" s="95" t="s">
        <v>40</v>
      </c>
      <c r="C41" s="99">
        <v>4613304</v>
      </c>
      <c r="D41" s="99">
        <f>C41</f>
        <v>4613304</v>
      </c>
      <c r="E41" s="97">
        <v>89117</v>
      </c>
      <c r="F41" s="98">
        <f t="shared" ref="F41:F43" si="66">E41/C41</f>
        <v>1.9317391613472686E-2</v>
      </c>
      <c r="G41" s="948" t="s">
        <v>39</v>
      </c>
      <c r="H41" s="95" t="s">
        <v>40</v>
      </c>
      <c r="I41" s="99">
        <v>1281400</v>
      </c>
      <c r="J41" s="99">
        <f>I41</f>
        <v>1281400</v>
      </c>
      <c r="K41" s="97">
        <v>88532</v>
      </c>
      <c r="L41" s="98">
        <f t="shared" ref="L41:L43" si="67">K41/I41</f>
        <v>6.9090057749336659E-2</v>
      </c>
      <c r="M41" s="948" t="s">
        <v>39</v>
      </c>
      <c r="N41" s="95" t="s">
        <v>40</v>
      </c>
      <c r="O41" s="102">
        <f t="shared" ref="O41:Q41" si="68">C41-I41</f>
        <v>3331904</v>
      </c>
      <c r="P41" s="102">
        <f t="shared" si="68"/>
        <v>3331904</v>
      </c>
      <c r="Q41" s="107">
        <f t="shared" si="68"/>
        <v>585</v>
      </c>
      <c r="R41" s="105">
        <f t="shared" ref="R41:R43" si="69">Q41/O41</f>
        <v>1.7557528668292965E-4</v>
      </c>
    </row>
    <row r="42" spans="1:18" ht="15.75" customHeight="1">
      <c r="A42" s="949"/>
      <c r="B42" s="122" t="s">
        <v>32</v>
      </c>
      <c r="C42" s="123">
        <v>636735</v>
      </c>
      <c r="D42" s="106">
        <f>SUM(ROUND(C42*75%,0))</f>
        <v>477551</v>
      </c>
      <c r="E42" s="104">
        <v>252768</v>
      </c>
      <c r="F42" s="105">
        <f t="shared" si="66"/>
        <v>0.39697519376192608</v>
      </c>
      <c r="G42" s="949"/>
      <c r="H42" s="122" t="s">
        <v>32</v>
      </c>
      <c r="I42" s="123">
        <v>153861</v>
      </c>
      <c r="J42" s="106">
        <f>SUM(ROUND(I42*75%,0))</f>
        <v>115396</v>
      </c>
      <c r="K42" s="104">
        <v>21239</v>
      </c>
      <c r="L42" s="105">
        <f t="shared" si="67"/>
        <v>0.13804017912271466</v>
      </c>
      <c r="M42" s="949"/>
      <c r="N42" s="122" t="s">
        <v>32</v>
      </c>
      <c r="O42" s="102">
        <f t="shared" ref="O42:Q42" si="70">C42-I42</f>
        <v>482874</v>
      </c>
      <c r="P42" s="102">
        <f t="shared" si="70"/>
        <v>362155</v>
      </c>
      <c r="Q42" s="107">
        <f t="shared" si="70"/>
        <v>231529</v>
      </c>
      <c r="R42" s="105">
        <f t="shared" si="69"/>
        <v>0.47948118970994502</v>
      </c>
    </row>
    <row r="43" spans="1:18" ht="15.75" customHeight="1">
      <c r="A43" s="950"/>
      <c r="B43" s="118" t="s">
        <v>25</v>
      </c>
      <c r="C43" s="115">
        <f t="shared" ref="C43:E43" si="71">SUM(C41:C42)</f>
        <v>5250039</v>
      </c>
      <c r="D43" s="115">
        <f t="shared" si="71"/>
        <v>5090855</v>
      </c>
      <c r="E43" s="115">
        <f t="shared" si="71"/>
        <v>341885</v>
      </c>
      <c r="F43" s="116">
        <f t="shared" si="66"/>
        <v>6.5120468628899711E-2</v>
      </c>
      <c r="G43" s="950"/>
      <c r="H43" s="118" t="s">
        <v>25</v>
      </c>
      <c r="I43" s="115">
        <f t="shared" ref="I43:K43" si="72">SUM(I41:I42)</f>
        <v>1435261</v>
      </c>
      <c r="J43" s="115">
        <f t="shared" si="72"/>
        <v>1396796</v>
      </c>
      <c r="K43" s="115">
        <f t="shared" si="72"/>
        <v>109771</v>
      </c>
      <c r="L43" s="116">
        <f t="shared" si="67"/>
        <v>7.6481559799924895E-2</v>
      </c>
      <c r="M43" s="950"/>
      <c r="N43" s="118" t="s">
        <v>25</v>
      </c>
      <c r="O43" s="115">
        <f t="shared" ref="O43:Q43" si="73">SUM(O41:O42)</f>
        <v>3814778</v>
      </c>
      <c r="P43" s="115">
        <f t="shared" si="73"/>
        <v>3694059</v>
      </c>
      <c r="Q43" s="115">
        <f t="shared" si="73"/>
        <v>232114</v>
      </c>
      <c r="R43" s="105">
        <f t="shared" si="69"/>
        <v>6.0846004669210106E-2</v>
      </c>
    </row>
    <row r="44" spans="1:18" ht="15.75" customHeight="1">
      <c r="A44" s="954"/>
      <c r="B44" s="928"/>
      <c r="C44" s="928"/>
      <c r="D44" s="928"/>
      <c r="E44" s="928"/>
      <c r="F44" s="955"/>
      <c r="G44" s="954"/>
      <c r="H44" s="928"/>
      <c r="I44" s="928"/>
      <c r="J44" s="928"/>
      <c r="K44" s="928"/>
      <c r="L44" s="955"/>
      <c r="M44" s="954"/>
      <c r="N44" s="928"/>
      <c r="O44" s="928"/>
      <c r="P44" s="928"/>
      <c r="Q44" s="928"/>
      <c r="R44" s="955"/>
    </row>
    <row r="45" spans="1:18" ht="15.75" customHeight="1">
      <c r="A45" s="948" t="s">
        <v>41</v>
      </c>
      <c r="B45" s="124" t="s">
        <v>32</v>
      </c>
      <c r="C45" s="125">
        <v>6000000</v>
      </c>
      <c r="D45" s="106">
        <f>SUM(ROUND(C45*75%,0))</f>
        <v>4500000</v>
      </c>
      <c r="E45" s="97">
        <v>1664945</v>
      </c>
      <c r="F45" s="98">
        <f t="shared" ref="F45:F46" si="74">E45/C45</f>
        <v>0.27749083333333335</v>
      </c>
      <c r="G45" s="948" t="s">
        <v>41</v>
      </c>
      <c r="H45" s="124" t="s">
        <v>32</v>
      </c>
      <c r="I45" s="125">
        <v>0</v>
      </c>
      <c r="J45" s="106">
        <f>SUM(ROUND(I45*75%,0))</f>
        <v>0</v>
      </c>
      <c r="K45" s="97">
        <v>0</v>
      </c>
      <c r="L45" s="98">
        <v>0</v>
      </c>
      <c r="M45" s="948" t="s">
        <v>41</v>
      </c>
      <c r="N45" s="124" t="s">
        <v>32</v>
      </c>
      <c r="O45" s="102">
        <f t="shared" ref="O45:Q45" si="75">C45-I45</f>
        <v>6000000</v>
      </c>
      <c r="P45" s="102">
        <f t="shared" si="75"/>
        <v>4500000</v>
      </c>
      <c r="Q45" s="107">
        <f t="shared" si="75"/>
        <v>1664945</v>
      </c>
      <c r="R45" s="105">
        <f t="shared" ref="R45:R46" si="76">Q45/O45</f>
        <v>0.27749083333333335</v>
      </c>
    </row>
    <row r="46" spans="1:18" ht="15.75" customHeight="1">
      <c r="A46" s="950"/>
      <c r="B46" s="118" t="s">
        <v>25</v>
      </c>
      <c r="C46" s="115">
        <f t="shared" ref="C46:E46" si="77">SUM(C45)</f>
        <v>6000000</v>
      </c>
      <c r="D46" s="115">
        <f t="shared" si="77"/>
        <v>4500000</v>
      </c>
      <c r="E46" s="121">
        <f t="shared" si="77"/>
        <v>1664945</v>
      </c>
      <c r="F46" s="116">
        <f t="shared" si="74"/>
        <v>0.27749083333333335</v>
      </c>
      <c r="G46" s="950"/>
      <c r="H46" s="118" t="s">
        <v>25</v>
      </c>
      <c r="I46" s="115">
        <f t="shared" ref="I46:K46" si="78">SUM(I45)</f>
        <v>0</v>
      </c>
      <c r="J46" s="115">
        <f t="shared" si="78"/>
        <v>0</v>
      </c>
      <c r="K46" s="121">
        <f t="shared" si="78"/>
        <v>0</v>
      </c>
      <c r="L46" s="116">
        <v>0</v>
      </c>
      <c r="M46" s="950"/>
      <c r="N46" s="118" t="s">
        <v>25</v>
      </c>
      <c r="O46" s="115">
        <f t="shared" ref="O46:Q46" si="79">SUM(O45)</f>
        <v>6000000</v>
      </c>
      <c r="P46" s="115">
        <f t="shared" si="79"/>
        <v>4500000</v>
      </c>
      <c r="Q46" s="115">
        <f t="shared" si="79"/>
        <v>1664945</v>
      </c>
      <c r="R46" s="105">
        <f t="shared" si="76"/>
        <v>0.27749083333333335</v>
      </c>
    </row>
    <row r="47" spans="1:18" ht="15.75" customHeight="1">
      <c r="A47" s="954"/>
      <c r="B47" s="928"/>
      <c r="C47" s="928"/>
      <c r="D47" s="928"/>
      <c r="E47" s="928"/>
      <c r="F47" s="955"/>
      <c r="G47" s="954"/>
      <c r="H47" s="928"/>
      <c r="I47" s="928"/>
      <c r="J47" s="928"/>
      <c r="K47" s="928"/>
      <c r="L47" s="955"/>
      <c r="M47" s="954"/>
      <c r="N47" s="928"/>
      <c r="O47" s="928"/>
      <c r="P47" s="928"/>
      <c r="Q47" s="928"/>
      <c r="R47" s="955"/>
    </row>
    <row r="48" spans="1:18" ht="15.75" customHeight="1">
      <c r="A48" s="948" t="s">
        <v>42</v>
      </c>
      <c r="B48" s="95" t="s">
        <v>21</v>
      </c>
      <c r="C48" s="99">
        <v>4500</v>
      </c>
      <c r="D48" s="99">
        <f>C48</f>
        <v>4500</v>
      </c>
      <c r="E48" s="97">
        <v>0</v>
      </c>
      <c r="F48" s="98">
        <f>E48/C48</f>
        <v>0</v>
      </c>
      <c r="G48" s="948" t="s">
        <v>42</v>
      </c>
      <c r="H48" s="95" t="s">
        <v>21</v>
      </c>
      <c r="I48" s="99">
        <v>0</v>
      </c>
      <c r="J48" s="99">
        <f>I48</f>
        <v>0</v>
      </c>
      <c r="K48" s="97">
        <v>0</v>
      </c>
      <c r="L48" s="98">
        <v>0</v>
      </c>
      <c r="M48" s="948" t="s">
        <v>42</v>
      </c>
      <c r="N48" s="95" t="s">
        <v>21</v>
      </c>
      <c r="O48" s="102">
        <f t="shared" ref="O48:Q48" si="80">C48-I48</f>
        <v>4500</v>
      </c>
      <c r="P48" s="102">
        <f t="shared" si="80"/>
        <v>4500</v>
      </c>
      <c r="Q48" s="107">
        <f t="shared" si="80"/>
        <v>0</v>
      </c>
      <c r="R48" s="105">
        <f>Q48/O48</f>
        <v>0</v>
      </c>
    </row>
    <row r="49" spans="1:18" ht="15.75" customHeight="1">
      <c r="A49" s="949"/>
      <c r="B49" s="102" t="s">
        <v>28</v>
      </c>
      <c r="C49" s="106">
        <v>0</v>
      </c>
      <c r="D49" s="106">
        <f>SUM(ROUND(C49*50%,0))</f>
        <v>0</v>
      </c>
      <c r="E49" s="104">
        <v>4868</v>
      </c>
      <c r="F49" s="105">
        <v>0</v>
      </c>
      <c r="G49" s="949"/>
      <c r="H49" s="102" t="s">
        <v>28</v>
      </c>
      <c r="I49" s="106">
        <v>0</v>
      </c>
      <c r="J49" s="106">
        <f>SUM(ROUND(I49*50%,0))</f>
        <v>0</v>
      </c>
      <c r="K49" s="104">
        <v>0</v>
      </c>
      <c r="L49" s="105">
        <v>0</v>
      </c>
      <c r="M49" s="949"/>
      <c r="N49" s="102" t="s">
        <v>28</v>
      </c>
      <c r="O49" s="102">
        <f t="shared" ref="O49:Q49" si="81">C49-I49</f>
        <v>0</v>
      </c>
      <c r="P49" s="102">
        <f t="shared" si="81"/>
        <v>0</v>
      </c>
      <c r="Q49" s="107">
        <f t="shared" si="81"/>
        <v>4868</v>
      </c>
      <c r="R49" s="105">
        <v>0</v>
      </c>
    </row>
    <row r="50" spans="1:18" ht="15.75" customHeight="1">
      <c r="A50" s="949"/>
      <c r="B50" s="122" t="s">
        <v>32</v>
      </c>
      <c r="C50" s="123">
        <v>145500</v>
      </c>
      <c r="D50" s="106">
        <f>SUM(ROUND(C50*75%,0))</f>
        <v>109125</v>
      </c>
      <c r="E50" s="104">
        <v>37090</v>
      </c>
      <c r="F50" s="105">
        <f t="shared" ref="F50:F51" si="82">E50/C50</f>
        <v>0.25491408934707904</v>
      </c>
      <c r="G50" s="949"/>
      <c r="H50" s="122" t="s">
        <v>32</v>
      </c>
      <c r="I50" s="123">
        <v>2</v>
      </c>
      <c r="J50" s="106">
        <f>SUM(ROUND(I50*75%,0))</f>
        <v>2</v>
      </c>
      <c r="K50" s="104">
        <v>0</v>
      </c>
      <c r="L50" s="105">
        <f t="shared" ref="L50:L51" si="83">K50/I50</f>
        <v>0</v>
      </c>
      <c r="M50" s="949"/>
      <c r="N50" s="122" t="s">
        <v>32</v>
      </c>
      <c r="O50" s="102">
        <f t="shared" ref="O50:Q50" si="84">C50-I50</f>
        <v>145498</v>
      </c>
      <c r="P50" s="102">
        <f t="shared" si="84"/>
        <v>109123</v>
      </c>
      <c r="Q50" s="107">
        <f t="shared" si="84"/>
        <v>37090</v>
      </c>
      <c r="R50" s="105">
        <f t="shared" ref="R50:R51" si="85">Q50/O50</f>
        <v>0.25491759336898101</v>
      </c>
    </row>
    <row r="51" spans="1:18" ht="15.75" customHeight="1">
      <c r="A51" s="950"/>
      <c r="B51" s="118" t="s">
        <v>25</v>
      </c>
      <c r="C51" s="115">
        <f t="shared" ref="C51:E51" si="86">SUM(C48:C50)</f>
        <v>150000</v>
      </c>
      <c r="D51" s="115">
        <f t="shared" si="86"/>
        <v>113625</v>
      </c>
      <c r="E51" s="121">
        <f t="shared" si="86"/>
        <v>41958</v>
      </c>
      <c r="F51" s="116">
        <f t="shared" si="82"/>
        <v>0.27972000000000002</v>
      </c>
      <c r="G51" s="950"/>
      <c r="H51" s="118" t="s">
        <v>25</v>
      </c>
      <c r="I51" s="115">
        <f t="shared" ref="I51:K51" si="87">SUM(I48:I50)</f>
        <v>2</v>
      </c>
      <c r="J51" s="115">
        <f t="shared" si="87"/>
        <v>2</v>
      </c>
      <c r="K51" s="121">
        <f t="shared" si="87"/>
        <v>0</v>
      </c>
      <c r="L51" s="116">
        <f t="shared" si="83"/>
        <v>0</v>
      </c>
      <c r="M51" s="950"/>
      <c r="N51" s="118" t="s">
        <v>25</v>
      </c>
      <c r="O51" s="115">
        <f t="shared" ref="O51:Q51" si="88">SUM(O48:O50)</f>
        <v>149998</v>
      </c>
      <c r="P51" s="115">
        <f t="shared" si="88"/>
        <v>113623</v>
      </c>
      <c r="Q51" s="115">
        <f t="shared" si="88"/>
        <v>41958</v>
      </c>
      <c r="R51" s="105">
        <f t="shared" si="85"/>
        <v>0.27972372964972864</v>
      </c>
    </row>
    <row r="52" spans="1:18" ht="15.75" customHeight="1">
      <c r="A52" s="954"/>
      <c r="B52" s="928"/>
      <c r="C52" s="928"/>
      <c r="D52" s="928"/>
      <c r="E52" s="928"/>
      <c r="F52" s="955"/>
      <c r="G52" s="954"/>
      <c r="H52" s="928"/>
      <c r="I52" s="928"/>
      <c r="J52" s="928"/>
      <c r="K52" s="928"/>
      <c r="L52" s="955"/>
      <c r="M52" s="954"/>
      <c r="N52" s="928"/>
      <c r="O52" s="928"/>
      <c r="P52" s="928"/>
      <c r="Q52" s="928"/>
      <c r="R52" s="955"/>
    </row>
    <row r="53" spans="1:18" ht="15.75" customHeight="1">
      <c r="A53" s="948" t="s">
        <v>43</v>
      </c>
      <c r="B53" s="95" t="s">
        <v>21</v>
      </c>
      <c r="C53" s="99">
        <v>519984</v>
      </c>
      <c r="D53" s="99">
        <f>C53</f>
        <v>519984</v>
      </c>
      <c r="E53" s="97">
        <v>9884</v>
      </c>
      <c r="F53" s="98">
        <f t="shared" ref="F53:F55" si="89">E53/C53</f>
        <v>1.9008277177759315E-2</v>
      </c>
      <c r="G53" s="948" t="s">
        <v>43</v>
      </c>
      <c r="H53" s="95" t="s">
        <v>21</v>
      </c>
      <c r="I53" s="99">
        <v>330003</v>
      </c>
      <c r="J53" s="99">
        <f>I53</f>
        <v>330003</v>
      </c>
      <c r="K53" s="97">
        <v>2740</v>
      </c>
      <c r="L53" s="98">
        <v>0</v>
      </c>
      <c r="M53" s="948" t="s">
        <v>43</v>
      </c>
      <c r="N53" s="95" t="s">
        <v>21</v>
      </c>
      <c r="O53" s="102">
        <f t="shared" ref="O53:Q53" si="90">C53-I53</f>
        <v>189981</v>
      </c>
      <c r="P53" s="102">
        <f t="shared" si="90"/>
        <v>189981</v>
      </c>
      <c r="Q53" s="107">
        <f t="shared" si="90"/>
        <v>7144</v>
      </c>
      <c r="R53" s="105">
        <f t="shared" ref="R53:R55" si="91">Q53/O53</f>
        <v>3.7603760376037604E-2</v>
      </c>
    </row>
    <row r="54" spans="1:18" ht="15.75" customHeight="1">
      <c r="A54" s="949"/>
      <c r="B54" s="122" t="s">
        <v>32</v>
      </c>
      <c r="C54" s="123">
        <v>2533439</v>
      </c>
      <c r="D54" s="106">
        <f>SUM(ROUND(C54*75%,0))</f>
        <v>1900079</v>
      </c>
      <c r="E54" s="104">
        <v>546423</v>
      </c>
      <c r="F54" s="105">
        <f t="shared" si="89"/>
        <v>0.21568429316829812</v>
      </c>
      <c r="G54" s="949"/>
      <c r="H54" s="122" t="s">
        <v>32</v>
      </c>
      <c r="I54" s="123">
        <f>1004+1070009</f>
        <v>1071013</v>
      </c>
      <c r="J54" s="106">
        <f>SUM(ROUND(I54*75%,0))</f>
        <v>803260</v>
      </c>
      <c r="K54" s="104">
        <f>13860+275046</f>
        <v>288906</v>
      </c>
      <c r="L54" s="105">
        <f t="shared" ref="L54:L55" si="92">K54/I54</f>
        <v>0.26975022712142616</v>
      </c>
      <c r="M54" s="949"/>
      <c r="N54" s="122" t="s">
        <v>32</v>
      </c>
      <c r="O54" s="102">
        <f t="shared" ref="O54:Q54" si="93">C54-I54</f>
        <v>1462426</v>
      </c>
      <c r="P54" s="102">
        <f t="shared" si="93"/>
        <v>1096819</v>
      </c>
      <c r="Q54" s="107">
        <f t="shared" si="93"/>
        <v>257517</v>
      </c>
      <c r="R54" s="105">
        <f t="shared" si="91"/>
        <v>0.1760889097978291</v>
      </c>
    </row>
    <row r="55" spans="1:18" ht="15.75" customHeight="1">
      <c r="A55" s="950"/>
      <c r="B55" s="118" t="s">
        <v>25</v>
      </c>
      <c r="C55" s="115">
        <f t="shared" ref="C55:E55" si="94">SUM(C53:C54)</f>
        <v>3053423</v>
      </c>
      <c r="D55" s="115">
        <f t="shared" si="94"/>
        <v>2420063</v>
      </c>
      <c r="E55" s="115">
        <f t="shared" si="94"/>
        <v>556307</v>
      </c>
      <c r="F55" s="116">
        <f t="shared" si="89"/>
        <v>0.18219126534384525</v>
      </c>
      <c r="G55" s="950"/>
      <c r="H55" s="118" t="s">
        <v>25</v>
      </c>
      <c r="I55" s="115">
        <f t="shared" ref="I55:K55" si="95">SUM(I53:I54)</f>
        <v>1401016</v>
      </c>
      <c r="J55" s="115">
        <f t="shared" si="95"/>
        <v>1133263</v>
      </c>
      <c r="K55" s="115">
        <f t="shared" si="95"/>
        <v>291646</v>
      </c>
      <c r="L55" s="116">
        <f t="shared" si="92"/>
        <v>0.20816750129905726</v>
      </c>
      <c r="M55" s="950"/>
      <c r="N55" s="118" t="s">
        <v>25</v>
      </c>
      <c r="O55" s="115">
        <f t="shared" ref="O55:Q55" si="96">SUM(O53:O54)</f>
        <v>1652407</v>
      </c>
      <c r="P55" s="115">
        <f t="shared" si="96"/>
        <v>1286800</v>
      </c>
      <c r="Q55" s="115">
        <f t="shared" si="96"/>
        <v>264661</v>
      </c>
      <c r="R55" s="105">
        <f t="shared" si="91"/>
        <v>0.16016695644596035</v>
      </c>
    </row>
    <row r="56" spans="1:18" ht="15.75" customHeight="1">
      <c r="A56" s="954"/>
      <c r="B56" s="928"/>
      <c r="C56" s="928"/>
      <c r="D56" s="928"/>
      <c r="E56" s="928"/>
      <c r="F56" s="955"/>
      <c r="G56" s="954"/>
      <c r="H56" s="928"/>
      <c r="I56" s="928"/>
      <c r="J56" s="928"/>
      <c r="K56" s="928"/>
      <c r="L56" s="955"/>
      <c r="M56" s="954"/>
      <c r="N56" s="928"/>
      <c r="O56" s="928"/>
      <c r="P56" s="928"/>
      <c r="Q56" s="928"/>
      <c r="R56" s="955"/>
    </row>
    <row r="57" spans="1:18" ht="15.75" customHeight="1">
      <c r="A57" s="948" t="s">
        <v>44</v>
      </c>
      <c r="B57" s="95" t="s">
        <v>21</v>
      </c>
      <c r="C57" s="99">
        <v>368321</v>
      </c>
      <c r="D57" s="99">
        <f>C57</f>
        <v>368321</v>
      </c>
      <c r="E57" s="97">
        <v>16230</v>
      </c>
      <c r="F57" s="98">
        <f t="shared" ref="F57:F61" si="97">E57/C57</f>
        <v>4.4064823890030705E-2</v>
      </c>
      <c r="G57" s="948" t="s">
        <v>44</v>
      </c>
      <c r="H57" s="95" t="s">
        <v>21</v>
      </c>
      <c r="I57" s="99">
        <v>350210</v>
      </c>
      <c r="J57" s="99">
        <f>I57</f>
        <v>350210</v>
      </c>
      <c r="K57" s="97">
        <v>15414</v>
      </c>
      <c r="L57" s="98">
        <f>K57/I57</f>
        <v>4.4013591844893063E-2</v>
      </c>
      <c r="M57" s="948" t="s">
        <v>44</v>
      </c>
      <c r="N57" s="95" t="s">
        <v>21</v>
      </c>
      <c r="O57" s="102">
        <f t="shared" ref="O57:Q57" si="98">C57-I57</f>
        <v>18111</v>
      </c>
      <c r="P57" s="102">
        <f t="shared" si="98"/>
        <v>18111</v>
      </c>
      <c r="Q57" s="107">
        <f t="shared" si="98"/>
        <v>816</v>
      </c>
      <c r="R57" s="105">
        <f t="shared" ref="R57:R61" si="99">Q57/O57</f>
        <v>4.5055491137982441E-2</v>
      </c>
    </row>
    <row r="58" spans="1:18" ht="15.75" customHeight="1">
      <c r="A58" s="949"/>
      <c r="B58" s="102" t="s">
        <v>28</v>
      </c>
      <c r="C58" s="106">
        <v>33979</v>
      </c>
      <c r="D58" s="106">
        <f t="shared" ref="D58:D59" si="100">SUM(ROUND(C58*50%,0))</f>
        <v>16990</v>
      </c>
      <c r="E58" s="104">
        <v>0</v>
      </c>
      <c r="F58" s="105">
        <f t="shared" si="97"/>
        <v>0</v>
      </c>
      <c r="G58" s="949"/>
      <c r="H58" s="102" t="s">
        <v>28</v>
      </c>
      <c r="I58" s="106">
        <v>0</v>
      </c>
      <c r="J58" s="106">
        <f t="shared" ref="J58:J59" si="101">SUM(ROUND(I58*50%,0))</f>
        <v>0</v>
      </c>
      <c r="K58" s="104">
        <v>0</v>
      </c>
      <c r="L58" s="105">
        <v>0</v>
      </c>
      <c r="M58" s="949"/>
      <c r="N58" s="102" t="s">
        <v>28</v>
      </c>
      <c r="O58" s="102">
        <f t="shared" ref="O58:Q58" si="102">C58-I58</f>
        <v>33979</v>
      </c>
      <c r="P58" s="102">
        <f t="shared" si="102"/>
        <v>16990</v>
      </c>
      <c r="Q58" s="107">
        <f t="shared" si="102"/>
        <v>0</v>
      </c>
      <c r="R58" s="105">
        <f t="shared" si="99"/>
        <v>0</v>
      </c>
    </row>
    <row r="59" spans="1:18" ht="15.75" customHeight="1">
      <c r="A59" s="949"/>
      <c r="B59" s="102" t="s">
        <v>31</v>
      </c>
      <c r="C59" s="106">
        <v>104631</v>
      </c>
      <c r="D59" s="106">
        <f t="shared" si="100"/>
        <v>52316</v>
      </c>
      <c r="E59" s="104">
        <v>74432</v>
      </c>
      <c r="F59" s="105">
        <f t="shared" si="97"/>
        <v>0.71137616958645145</v>
      </c>
      <c r="G59" s="949"/>
      <c r="H59" s="102" t="s">
        <v>31</v>
      </c>
      <c r="I59" s="106">
        <v>84000</v>
      </c>
      <c r="J59" s="106">
        <f t="shared" si="101"/>
        <v>42000</v>
      </c>
      <c r="K59" s="104">
        <v>72911</v>
      </c>
      <c r="L59" s="105">
        <f t="shared" ref="L59:L61" si="103">K59/I59</f>
        <v>0.86798809523809528</v>
      </c>
      <c r="M59" s="949"/>
      <c r="N59" s="102" t="s">
        <v>31</v>
      </c>
      <c r="O59" s="102">
        <f t="shared" ref="O59:Q59" si="104">C59-I59</f>
        <v>20631</v>
      </c>
      <c r="P59" s="102">
        <f t="shared" si="104"/>
        <v>10316</v>
      </c>
      <c r="Q59" s="107">
        <f t="shared" si="104"/>
        <v>1521</v>
      </c>
      <c r="R59" s="105">
        <f t="shared" si="99"/>
        <v>7.3724007561436669E-2</v>
      </c>
    </row>
    <row r="60" spans="1:18" ht="15.75" customHeight="1">
      <c r="A60" s="949"/>
      <c r="B60" s="122" t="s">
        <v>32</v>
      </c>
      <c r="C60" s="123">
        <v>495422</v>
      </c>
      <c r="D60" s="106">
        <f>SUM(ROUND(C60*75%,0))</f>
        <v>371567</v>
      </c>
      <c r="E60" s="104">
        <v>39090</v>
      </c>
      <c r="F60" s="105">
        <f t="shared" si="97"/>
        <v>7.890243065507789E-2</v>
      </c>
      <c r="G60" s="949"/>
      <c r="H60" s="122" t="s">
        <v>32</v>
      </c>
      <c r="I60" s="123">
        <v>76700</v>
      </c>
      <c r="J60" s="106">
        <f>SUM(ROUND(I60*75%,0))</f>
        <v>57525</v>
      </c>
      <c r="K60" s="104">
        <v>4912</v>
      </c>
      <c r="L60" s="105">
        <f t="shared" si="103"/>
        <v>6.4041720990873532E-2</v>
      </c>
      <c r="M60" s="949"/>
      <c r="N60" s="122" t="s">
        <v>32</v>
      </c>
      <c r="O60" s="102">
        <f t="shared" ref="O60:Q60" si="105">C60-I60</f>
        <v>418722</v>
      </c>
      <c r="P60" s="102">
        <f t="shared" si="105"/>
        <v>314042</v>
      </c>
      <c r="Q60" s="107">
        <f t="shared" si="105"/>
        <v>34178</v>
      </c>
      <c r="R60" s="105">
        <f t="shared" si="99"/>
        <v>8.1624562358796532E-2</v>
      </c>
    </row>
    <row r="61" spans="1:18" ht="15.75" customHeight="1">
      <c r="A61" s="950"/>
      <c r="B61" s="118" t="s">
        <v>25</v>
      </c>
      <c r="C61" s="115">
        <f t="shared" ref="C61:E61" si="106">SUM(C57:C60)</f>
        <v>1002353</v>
      </c>
      <c r="D61" s="115">
        <f t="shared" si="106"/>
        <v>809194</v>
      </c>
      <c r="E61" s="115">
        <f t="shared" si="106"/>
        <v>129752</v>
      </c>
      <c r="F61" s="116">
        <f t="shared" si="97"/>
        <v>0.12944741024369658</v>
      </c>
      <c r="G61" s="950"/>
      <c r="H61" s="118" t="s">
        <v>25</v>
      </c>
      <c r="I61" s="115">
        <f t="shared" ref="I61:K61" si="107">SUM(I57:I60)</f>
        <v>510910</v>
      </c>
      <c r="J61" s="115">
        <f t="shared" si="107"/>
        <v>449735</v>
      </c>
      <c r="K61" s="115">
        <f t="shared" si="107"/>
        <v>93237</v>
      </c>
      <c r="L61" s="116">
        <f t="shared" si="103"/>
        <v>0.18249202403554443</v>
      </c>
      <c r="M61" s="950"/>
      <c r="N61" s="118" t="s">
        <v>25</v>
      </c>
      <c r="O61" s="115">
        <f t="shared" ref="O61:Q61" si="108">SUM(O57:O60)</f>
        <v>491443</v>
      </c>
      <c r="P61" s="115">
        <f t="shared" si="108"/>
        <v>359459</v>
      </c>
      <c r="Q61" s="115">
        <f t="shared" si="108"/>
        <v>36515</v>
      </c>
      <c r="R61" s="105">
        <f t="shared" si="99"/>
        <v>7.430159754030477E-2</v>
      </c>
    </row>
    <row r="62" spans="1:18" ht="15.75" customHeight="1">
      <c r="A62" s="954"/>
      <c r="B62" s="928"/>
      <c r="C62" s="928"/>
      <c r="D62" s="928"/>
      <c r="E62" s="928"/>
      <c r="F62" s="955"/>
      <c r="G62" s="954"/>
      <c r="H62" s="928"/>
      <c r="I62" s="928"/>
      <c r="J62" s="928"/>
      <c r="K62" s="928"/>
      <c r="L62" s="955"/>
      <c r="M62" s="954"/>
      <c r="N62" s="928"/>
      <c r="O62" s="928"/>
      <c r="P62" s="928"/>
      <c r="Q62" s="928"/>
      <c r="R62" s="955"/>
    </row>
    <row r="63" spans="1:18" ht="15.75" customHeight="1">
      <c r="A63" s="948" t="s">
        <v>45</v>
      </c>
      <c r="B63" s="95" t="s">
        <v>21</v>
      </c>
      <c r="C63" s="99">
        <v>83415</v>
      </c>
      <c r="D63" s="99">
        <f>C63</f>
        <v>83415</v>
      </c>
      <c r="E63" s="97">
        <v>53196</v>
      </c>
      <c r="F63" s="98">
        <f t="shared" ref="F63:F67" si="109">E63/C63</f>
        <v>0.63772702751303723</v>
      </c>
      <c r="G63" s="948" t="s">
        <v>45</v>
      </c>
      <c r="H63" s="95" t="s">
        <v>21</v>
      </c>
      <c r="I63" s="99">
        <v>0</v>
      </c>
      <c r="J63" s="99">
        <f>I63</f>
        <v>0</v>
      </c>
      <c r="K63" s="97">
        <v>0</v>
      </c>
      <c r="L63" s="98">
        <v>0</v>
      </c>
      <c r="M63" s="948" t="s">
        <v>45</v>
      </c>
      <c r="N63" s="95" t="s">
        <v>21</v>
      </c>
      <c r="O63" s="102">
        <f t="shared" ref="O63:Q63" si="110">C63-I63</f>
        <v>83415</v>
      </c>
      <c r="P63" s="102">
        <f t="shared" si="110"/>
        <v>83415</v>
      </c>
      <c r="Q63" s="107">
        <f t="shared" si="110"/>
        <v>53196</v>
      </c>
      <c r="R63" s="105">
        <f t="shared" ref="R63:R67" si="111">Q63/O63</f>
        <v>0.63772702751303723</v>
      </c>
    </row>
    <row r="64" spans="1:18" ht="15.75" customHeight="1">
      <c r="A64" s="949"/>
      <c r="B64" s="102" t="s">
        <v>28</v>
      </c>
      <c r="C64" s="106">
        <v>19235</v>
      </c>
      <c r="D64" s="106">
        <f t="shared" ref="D64:D65" si="112">SUM(ROUND(C64*50%,0))</f>
        <v>9618</v>
      </c>
      <c r="E64" s="104">
        <v>81327</v>
      </c>
      <c r="F64" s="105">
        <f t="shared" si="109"/>
        <v>4.2280738237587734</v>
      </c>
      <c r="G64" s="949"/>
      <c r="H64" s="102" t="s">
        <v>28</v>
      </c>
      <c r="I64" s="106">
        <v>0</v>
      </c>
      <c r="J64" s="106">
        <f t="shared" ref="J64:J65" si="113">SUM(ROUND(I64*50%,0))</f>
        <v>0</v>
      </c>
      <c r="K64" s="104">
        <v>0</v>
      </c>
      <c r="L64" s="98">
        <v>0</v>
      </c>
      <c r="M64" s="949"/>
      <c r="N64" s="102" t="s">
        <v>28</v>
      </c>
      <c r="O64" s="102">
        <f t="shared" ref="O64:Q64" si="114">C64-I64</f>
        <v>19235</v>
      </c>
      <c r="P64" s="102">
        <f t="shared" si="114"/>
        <v>9618</v>
      </c>
      <c r="Q64" s="107">
        <f t="shared" si="114"/>
        <v>81327</v>
      </c>
      <c r="R64" s="105">
        <f t="shared" si="111"/>
        <v>4.2280738237587734</v>
      </c>
    </row>
    <row r="65" spans="1:18" ht="15.75" customHeight="1">
      <c r="A65" s="949"/>
      <c r="B65" s="102" t="s">
        <v>31</v>
      </c>
      <c r="C65" s="106">
        <v>40499</v>
      </c>
      <c r="D65" s="106">
        <f t="shared" si="112"/>
        <v>20250</v>
      </c>
      <c r="E65" s="104">
        <v>16394</v>
      </c>
      <c r="F65" s="105">
        <f t="shared" si="109"/>
        <v>0.40480011852144498</v>
      </c>
      <c r="G65" s="949"/>
      <c r="H65" s="102" t="s">
        <v>31</v>
      </c>
      <c r="I65" s="106">
        <v>0</v>
      </c>
      <c r="J65" s="106">
        <f t="shared" si="113"/>
        <v>0</v>
      </c>
      <c r="K65" s="104">
        <v>0</v>
      </c>
      <c r="L65" s="98">
        <v>0</v>
      </c>
      <c r="M65" s="949"/>
      <c r="N65" s="102" t="s">
        <v>31</v>
      </c>
      <c r="O65" s="102">
        <f t="shared" ref="O65:Q65" si="115">C65-I65</f>
        <v>40499</v>
      </c>
      <c r="P65" s="102">
        <f t="shared" si="115"/>
        <v>20250</v>
      </c>
      <c r="Q65" s="107">
        <f t="shared" si="115"/>
        <v>16394</v>
      </c>
      <c r="R65" s="105">
        <f t="shared" si="111"/>
        <v>0.40480011852144498</v>
      </c>
    </row>
    <row r="66" spans="1:18" ht="15.75" customHeight="1">
      <c r="A66" s="949"/>
      <c r="B66" s="122" t="s">
        <v>32</v>
      </c>
      <c r="C66" s="123">
        <v>184800</v>
      </c>
      <c r="D66" s="106">
        <f>SUM(ROUND(C66*75%,0))</f>
        <v>138600</v>
      </c>
      <c r="E66" s="104">
        <v>710</v>
      </c>
      <c r="F66" s="105">
        <f t="shared" si="109"/>
        <v>3.8419913419913418E-3</v>
      </c>
      <c r="G66" s="949"/>
      <c r="H66" s="122" t="s">
        <v>32</v>
      </c>
      <c r="I66" s="123">
        <v>0</v>
      </c>
      <c r="J66" s="106">
        <f>SUM(ROUND(I66*75%,0))</f>
        <v>0</v>
      </c>
      <c r="K66" s="104">
        <v>0</v>
      </c>
      <c r="L66" s="98">
        <v>0</v>
      </c>
      <c r="M66" s="949"/>
      <c r="N66" s="122" t="s">
        <v>32</v>
      </c>
      <c r="O66" s="102">
        <f t="shared" ref="O66:Q66" si="116">C66-I66</f>
        <v>184800</v>
      </c>
      <c r="P66" s="102">
        <f t="shared" si="116"/>
        <v>138600</v>
      </c>
      <c r="Q66" s="107">
        <f t="shared" si="116"/>
        <v>710</v>
      </c>
      <c r="R66" s="105">
        <f t="shared" si="111"/>
        <v>3.8419913419913418E-3</v>
      </c>
    </row>
    <row r="67" spans="1:18" ht="15.75" customHeight="1">
      <c r="A67" s="950"/>
      <c r="B67" s="118" t="s">
        <v>25</v>
      </c>
      <c r="C67" s="115">
        <f t="shared" ref="C67:E67" si="117">SUM(C63:C66)</f>
        <v>327949</v>
      </c>
      <c r="D67" s="115">
        <f t="shared" si="117"/>
        <v>251883</v>
      </c>
      <c r="E67" s="121">
        <f t="shared" si="117"/>
        <v>151627</v>
      </c>
      <c r="F67" s="116">
        <f t="shared" si="109"/>
        <v>0.46234932870659767</v>
      </c>
      <c r="G67" s="950"/>
      <c r="H67" s="118" t="s">
        <v>25</v>
      </c>
      <c r="I67" s="115">
        <f t="shared" ref="I67:K67" si="118">SUM(I63:I66)</f>
        <v>0</v>
      </c>
      <c r="J67" s="115">
        <f t="shared" si="118"/>
        <v>0</v>
      </c>
      <c r="K67" s="121">
        <f t="shared" si="118"/>
        <v>0</v>
      </c>
      <c r="L67" s="116">
        <v>0</v>
      </c>
      <c r="M67" s="950"/>
      <c r="N67" s="118" t="s">
        <v>25</v>
      </c>
      <c r="O67" s="115">
        <f t="shared" ref="O67:Q67" si="119">SUM(O63:O66)</f>
        <v>327949</v>
      </c>
      <c r="P67" s="115">
        <f t="shared" si="119"/>
        <v>251883</v>
      </c>
      <c r="Q67" s="115">
        <f t="shared" si="119"/>
        <v>151627</v>
      </c>
      <c r="R67" s="105">
        <f t="shared" si="111"/>
        <v>0.46234932870659767</v>
      </c>
    </row>
    <row r="68" spans="1:18" ht="15.75" customHeight="1">
      <c r="A68" s="954"/>
      <c r="B68" s="928"/>
      <c r="C68" s="928"/>
      <c r="D68" s="928"/>
      <c r="E68" s="928"/>
      <c r="F68" s="955"/>
      <c r="G68" s="954"/>
      <c r="H68" s="928"/>
      <c r="I68" s="928"/>
      <c r="J68" s="928"/>
      <c r="K68" s="928"/>
      <c r="L68" s="955"/>
      <c r="M68" s="954"/>
      <c r="N68" s="928"/>
      <c r="O68" s="928"/>
      <c r="P68" s="928"/>
      <c r="Q68" s="928"/>
      <c r="R68" s="955"/>
    </row>
    <row r="69" spans="1:18" ht="15.75" customHeight="1">
      <c r="A69" s="948" t="s">
        <v>47</v>
      </c>
      <c r="B69" s="95" t="s">
        <v>21</v>
      </c>
      <c r="C69" s="99">
        <f>286580+490000</f>
        <v>776580</v>
      </c>
      <c r="D69" s="99">
        <f>C69</f>
        <v>776580</v>
      </c>
      <c r="E69" s="97">
        <v>160326</v>
      </c>
      <c r="F69" s="98">
        <f t="shared" ref="F69:F73" si="120">E69/C69</f>
        <v>0.20645136367148265</v>
      </c>
      <c r="G69" s="948" t="s">
        <v>47</v>
      </c>
      <c r="H69" s="95" t="s">
        <v>21</v>
      </c>
      <c r="I69" s="99">
        <v>100000</v>
      </c>
      <c r="J69" s="99">
        <f>I69</f>
        <v>100000</v>
      </c>
      <c r="K69" s="97">
        <v>100000</v>
      </c>
      <c r="L69" s="98">
        <f t="shared" ref="L69:L71" si="121">K69/I69</f>
        <v>1</v>
      </c>
      <c r="M69" s="948" t="s">
        <v>47</v>
      </c>
      <c r="N69" s="95" t="s">
        <v>21</v>
      </c>
      <c r="O69" s="95">
        <f t="shared" ref="O69:Q69" si="122">C69-I69</f>
        <v>676580</v>
      </c>
      <c r="P69" s="106">
        <f t="shared" si="122"/>
        <v>676580</v>
      </c>
      <c r="Q69" s="95">
        <f t="shared" si="122"/>
        <v>60326</v>
      </c>
      <c r="R69" s="105">
        <f t="shared" ref="R69:R73" si="123">Q69/O69</f>
        <v>8.9163144048006154E-2</v>
      </c>
    </row>
    <row r="70" spans="1:18" ht="15.75" customHeight="1">
      <c r="A70" s="949"/>
      <c r="B70" s="102" t="s">
        <v>28</v>
      </c>
      <c r="C70" s="106">
        <v>91000</v>
      </c>
      <c r="D70" s="106">
        <f t="shared" ref="D70:D71" si="124">SUM(ROUND(C70*50%,0))</f>
        <v>45500</v>
      </c>
      <c r="E70" s="104">
        <v>3311</v>
      </c>
      <c r="F70" s="105">
        <f t="shared" si="120"/>
        <v>3.6384615384615383E-2</v>
      </c>
      <c r="G70" s="949"/>
      <c r="H70" s="102" t="s">
        <v>28</v>
      </c>
      <c r="I70" s="106">
        <v>57500</v>
      </c>
      <c r="J70" s="106">
        <f t="shared" ref="J70:J71" si="125">SUM(ROUND(I70*50%,0))</f>
        <v>28750</v>
      </c>
      <c r="K70" s="104">
        <v>2641</v>
      </c>
      <c r="L70" s="105">
        <f t="shared" si="121"/>
        <v>4.5930434782608692E-2</v>
      </c>
      <c r="M70" s="949"/>
      <c r="N70" s="102" t="s">
        <v>28</v>
      </c>
      <c r="O70" s="102">
        <f t="shared" ref="O70:Q70" si="126">C70-I70</f>
        <v>33500</v>
      </c>
      <c r="P70" s="106">
        <f t="shared" si="126"/>
        <v>16750</v>
      </c>
      <c r="Q70" s="102">
        <f t="shared" si="126"/>
        <v>670</v>
      </c>
      <c r="R70" s="105">
        <f t="shared" si="123"/>
        <v>0.02</v>
      </c>
    </row>
    <row r="71" spans="1:18" ht="15.75" customHeight="1">
      <c r="A71" s="949"/>
      <c r="B71" s="102" t="s">
        <v>31</v>
      </c>
      <c r="C71" s="106">
        <v>81006</v>
      </c>
      <c r="D71" s="106">
        <f t="shared" si="124"/>
        <v>40503</v>
      </c>
      <c r="E71" s="104">
        <v>55275</v>
      </c>
      <c r="F71" s="105">
        <f t="shared" si="120"/>
        <v>0.68235686245463301</v>
      </c>
      <c r="G71" s="949"/>
      <c r="H71" s="102" t="s">
        <v>31</v>
      </c>
      <c r="I71" s="106">
        <v>34006</v>
      </c>
      <c r="J71" s="106">
        <f t="shared" si="125"/>
        <v>17003</v>
      </c>
      <c r="K71" s="104">
        <v>41102</v>
      </c>
      <c r="L71" s="105">
        <f t="shared" si="121"/>
        <v>1.2086690584014586</v>
      </c>
      <c r="M71" s="949"/>
      <c r="N71" s="102" t="s">
        <v>31</v>
      </c>
      <c r="O71" s="102">
        <f t="shared" ref="O71:Q71" si="127">C71-I71</f>
        <v>47000</v>
      </c>
      <c r="P71" s="106">
        <f t="shared" si="127"/>
        <v>23500</v>
      </c>
      <c r="Q71" s="102">
        <f t="shared" si="127"/>
        <v>14173</v>
      </c>
      <c r="R71" s="105">
        <f t="shared" si="123"/>
        <v>0.30155319148936172</v>
      </c>
    </row>
    <row r="72" spans="1:18" ht="15.75" customHeight="1">
      <c r="A72" s="949"/>
      <c r="B72" s="122" t="s">
        <v>32</v>
      </c>
      <c r="C72" s="123">
        <v>125000</v>
      </c>
      <c r="D72" s="106">
        <f>SUM(ROUND(C72*75%,0))</f>
        <v>93750</v>
      </c>
      <c r="E72" s="104">
        <v>7860</v>
      </c>
      <c r="F72" s="105">
        <f t="shared" si="120"/>
        <v>6.2880000000000005E-2</v>
      </c>
      <c r="G72" s="949"/>
      <c r="H72" s="122" t="s">
        <v>32</v>
      </c>
      <c r="I72" s="123">
        <v>0</v>
      </c>
      <c r="J72" s="106">
        <f>SUM(ROUND(I72*75%,0))</f>
        <v>0</v>
      </c>
      <c r="K72" s="104">
        <v>0</v>
      </c>
      <c r="L72" s="105">
        <v>0</v>
      </c>
      <c r="M72" s="949"/>
      <c r="N72" s="122" t="s">
        <v>32</v>
      </c>
      <c r="O72" s="102">
        <f t="shared" ref="O72:Q72" si="128">C72-I72</f>
        <v>125000</v>
      </c>
      <c r="P72" s="106">
        <f t="shared" si="128"/>
        <v>93750</v>
      </c>
      <c r="Q72" s="102">
        <f t="shared" si="128"/>
        <v>7860</v>
      </c>
      <c r="R72" s="105">
        <f t="shared" si="123"/>
        <v>6.2880000000000005E-2</v>
      </c>
    </row>
    <row r="73" spans="1:18" ht="15.75" customHeight="1">
      <c r="A73" s="950"/>
      <c r="B73" s="118" t="s">
        <v>25</v>
      </c>
      <c r="C73" s="115">
        <f t="shared" ref="C73:E73" si="129">SUM(C69:C72)</f>
        <v>1073586</v>
      </c>
      <c r="D73" s="115">
        <f t="shared" si="129"/>
        <v>956333</v>
      </c>
      <c r="E73" s="121">
        <f t="shared" si="129"/>
        <v>226772</v>
      </c>
      <c r="F73" s="116">
        <f t="shared" si="120"/>
        <v>0.21122853688479545</v>
      </c>
      <c r="G73" s="950"/>
      <c r="H73" s="118" t="s">
        <v>25</v>
      </c>
      <c r="I73" s="115">
        <f t="shared" ref="I73:K73" si="130">SUM(I69:I72)</f>
        <v>191506</v>
      </c>
      <c r="J73" s="115">
        <f t="shared" si="130"/>
        <v>145753</v>
      </c>
      <c r="K73" s="121">
        <f t="shared" si="130"/>
        <v>143743</v>
      </c>
      <c r="L73" s="116">
        <f>K73/I73</f>
        <v>0.75059267072572133</v>
      </c>
      <c r="M73" s="950"/>
      <c r="N73" s="118" t="s">
        <v>25</v>
      </c>
      <c r="O73" s="118">
        <f t="shared" ref="O73:Q73" si="131">SUM(O69:O72)</f>
        <v>882080</v>
      </c>
      <c r="P73" s="115">
        <f t="shared" si="131"/>
        <v>810580</v>
      </c>
      <c r="Q73" s="118">
        <f t="shared" si="131"/>
        <v>83029</v>
      </c>
      <c r="R73" s="105">
        <f t="shared" si="123"/>
        <v>9.4128650462543081E-2</v>
      </c>
    </row>
    <row r="74" spans="1:18" ht="15.75" customHeight="1">
      <c r="A74" s="954"/>
      <c r="B74" s="928"/>
      <c r="C74" s="928"/>
      <c r="D74" s="928"/>
      <c r="E74" s="928"/>
      <c r="F74" s="955"/>
      <c r="G74" s="954"/>
      <c r="H74" s="928"/>
      <c r="I74" s="928"/>
      <c r="J74" s="928"/>
      <c r="K74" s="928"/>
      <c r="L74" s="955"/>
      <c r="M74" s="954"/>
      <c r="N74" s="928"/>
      <c r="O74" s="928"/>
      <c r="P74" s="928"/>
      <c r="Q74" s="928"/>
      <c r="R74" s="955"/>
    </row>
    <row r="75" spans="1:18" ht="15.75" customHeight="1">
      <c r="A75" s="948" t="s">
        <v>52</v>
      </c>
      <c r="B75" s="95" t="s">
        <v>21</v>
      </c>
      <c r="C75" s="99">
        <v>71102</v>
      </c>
      <c r="D75" s="99">
        <f>C75</f>
        <v>71102</v>
      </c>
      <c r="E75" s="97">
        <v>7676</v>
      </c>
      <c r="F75" s="98">
        <f t="shared" ref="F75:F78" si="132">E75/C75</f>
        <v>0.1079575820652021</v>
      </c>
      <c r="G75" s="948" t="s">
        <v>52</v>
      </c>
      <c r="H75" s="95" t="s">
        <v>21</v>
      </c>
      <c r="I75" s="99">
        <v>102</v>
      </c>
      <c r="J75" s="99">
        <f>I75</f>
        <v>102</v>
      </c>
      <c r="K75" s="97">
        <v>6594</v>
      </c>
      <c r="L75" s="98">
        <f t="shared" ref="L75:L78" si="133">K75/I75</f>
        <v>64.647058823529406</v>
      </c>
      <c r="M75" s="948" t="s">
        <v>52</v>
      </c>
      <c r="N75" s="95" t="s">
        <v>21</v>
      </c>
      <c r="O75" s="102">
        <f t="shared" ref="O75:Q75" si="134">C75-I75</f>
        <v>71000</v>
      </c>
      <c r="P75" s="102">
        <f t="shared" si="134"/>
        <v>71000</v>
      </c>
      <c r="Q75" s="107">
        <f t="shared" si="134"/>
        <v>1082</v>
      </c>
      <c r="R75" s="105">
        <f t="shared" ref="R75:R78" si="135">Q75/O75</f>
        <v>1.523943661971831E-2</v>
      </c>
    </row>
    <row r="76" spans="1:18" ht="15.75" customHeight="1">
      <c r="A76" s="949"/>
      <c r="B76" s="102" t="s">
        <v>102</v>
      </c>
      <c r="C76" s="106">
        <v>196016</v>
      </c>
      <c r="D76" s="106">
        <f t="shared" ref="D76:D77" si="136">SUM(ROUND(C76*50%,0))</f>
        <v>98008</v>
      </c>
      <c r="E76" s="104">
        <v>41724</v>
      </c>
      <c r="F76" s="105">
        <f t="shared" si="132"/>
        <v>0.21286017467961799</v>
      </c>
      <c r="G76" s="949"/>
      <c r="H76" s="102" t="s">
        <v>102</v>
      </c>
      <c r="I76" s="106">
        <v>87509</v>
      </c>
      <c r="J76" s="106">
        <f t="shared" ref="J76:J77" si="137">SUM(ROUND(I76*50%,0))</f>
        <v>43755</v>
      </c>
      <c r="K76" s="104">
        <v>25625</v>
      </c>
      <c r="L76" s="105">
        <f t="shared" si="133"/>
        <v>0.29282702350615364</v>
      </c>
      <c r="M76" s="949"/>
      <c r="N76" s="102" t="s">
        <v>102</v>
      </c>
      <c r="O76" s="102">
        <f t="shared" ref="O76:Q76" si="138">C76-I76</f>
        <v>108507</v>
      </c>
      <c r="P76" s="102">
        <f t="shared" si="138"/>
        <v>54253</v>
      </c>
      <c r="Q76" s="107">
        <f t="shared" si="138"/>
        <v>16099</v>
      </c>
      <c r="R76" s="105">
        <f t="shared" si="135"/>
        <v>0.14836830803542628</v>
      </c>
    </row>
    <row r="77" spans="1:18" ht="15.75" customHeight="1">
      <c r="A77" s="949"/>
      <c r="B77" s="102" t="s">
        <v>31</v>
      </c>
      <c r="C77" s="106">
        <v>43025</v>
      </c>
      <c r="D77" s="106">
        <f t="shared" si="136"/>
        <v>21513</v>
      </c>
      <c r="E77" s="104">
        <v>0</v>
      </c>
      <c r="F77" s="105">
        <f t="shared" si="132"/>
        <v>0</v>
      </c>
      <c r="G77" s="949"/>
      <c r="H77" s="102" t="s">
        <v>31</v>
      </c>
      <c r="I77" s="106">
        <v>203</v>
      </c>
      <c r="J77" s="106">
        <f t="shared" si="137"/>
        <v>102</v>
      </c>
      <c r="K77" s="104">
        <v>0</v>
      </c>
      <c r="L77" s="105">
        <f t="shared" si="133"/>
        <v>0</v>
      </c>
      <c r="M77" s="949"/>
      <c r="N77" s="102" t="s">
        <v>31</v>
      </c>
      <c r="O77" s="102">
        <f t="shared" ref="O77:Q77" si="139">C77-I77</f>
        <v>42822</v>
      </c>
      <c r="P77" s="102">
        <f t="shared" si="139"/>
        <v>21411</v>
      </c>
      <c r="Q77" s="107">
        <f t="shared" si="139"/>
        <v>0</v>
      </c>
      <c r="R77" s="105">
        <f t="shared" si="135"/>
        <v>0</v>
      </c>
    </row>
    <row r="78" spans="1:18" ht="15.75" customHeight="1">
      <c r="A78" s="950"/>
      <c r="B78" s="118" t="s">
        <v>25</v>
      </c>
      <c r="C78" s="115">
        <f t="shared" ref="C78:E78" si="140">SUM(C75:C77)</f>
        <v>310143</v>
      </c>
      <c r="D78" s="115">
        <f t="shared" si="140"/>
        <v>190623</v>
      </c>
      <c r="E78" s="121">
        <f t="shared" si="140"/>
        <v>49400</v>
      </c>
      <c r="F78" s="116">
        <f t="shared" si="132"/>
        <v>0.15928136375800842</v>
      </c>
      <c r="G78" s="950"/>
      <c r="H78" s="118" t="s">
        <v>25</v>
      </c>
      <c r="I78" s="115">
        <f t="shared" ref="I78:K78" si="141">SUM(I75:I77)</f>
        <v>87814</v>
      </c>
      <c r="J78" s="115">
        <f t="shared" si="141"/>
        <v>43959</v>
      </c>
      <c r="K78" s="121">
        <f t="shared" si="141"/>
        <v>32219</v>
      </c>
      <c r="L78" s="116">
        <f t="shared" si="133"/>
        <v>0.36690049422643312</v>
      </c>
      <c r="M78" s="950"/>
      <c r="N78" s="118" t="s">
        <v>25</v>
      </c>
      <c r="O78" s="115">
        <f t="shared" ref="O78:Q78" si="142">SUM(O75:O77)</f>
        <v>222329</v>
      </c>
      <c r="P78" s="115">
        <f t="shared" si="142"/>
        <v>146664</v>
      </c>
      <c r="Q78" s="115">
        <f t="shared" si="142"/>
        <v>17181</v>
      </c>
      <c r="R78" s="105">
        <f t="shared" si="135"/>
        <v>7.7277368224568099E-2</v>
      </c>
    </row>
    <row r="79" spans="1:18" ht="15.75" customHeight="1">
      <c r="A79" s="954"/>
      <c r="B79" s="928"/>
      <c r="C79" s="928"/>
      <c r="D79" s="928"/>
      <c r="E79" s="928"/>
      <c r="F79" s="955"/>
      <c r="G79" s="954"/>
      <c r="H79" s="928"/>
      <c r="I79" s="928"/>
      <c r="J79" s="928"/>
      <c r="K79" s="928"/>
      <c r="L79" s="955"/>
      <c r="M79" s="954"/>
      <c r="N79" s="928"/>
      <c r="O79" s="928"/>
      <c r="P79" s="928"/>
      <c r="Q79" s="928"/>
      <c r="R79" s="955"/>
    </row>
    <row r="80" spans="1:18" ht="15.75" customHeight="1">
      <c r="A80" s="948" t="s">
        <v>54</v>
      </c>
      <c r="B80" s="95" t="s">
        <v>21</v>
      </c>
      <c r="C80" s="99">
        <v>482000</v>
      </c>
      <c r="D80" s="99">
        <f>C80</f>
        <v>482000</v>
      </c>
      <c r="E80" s="97">
        <v>31077</v>
      </c>
      <c r="F80" s="98">
        <f t="shared" ref="F80:F84" si="143">E80/C80</f>
        <v>6.4475103734439834E-2</v>
      </c>
      <c r="G80" s="948" t="s">
        <v>54</v>
      </c>
      <c r="H80" s="95" t="s">
        <v>21</v>
      </c>
      <c r="I80" s="99">
        <v>0</v>
      </c>
      <c r="J80" s="99">
        <f>I80</f>
        <v>0</v>
      </c>
      <c r="K80" s="97">
        <v>0</v>
      </c>
      <c r="L80" s="98">
        <v>0</v>
      </c>
      <c r="M80" s="948" t="s">
        <v>54</v>
      </c>
      <c r="N80" s="95" t="s">
        <v>21</v>
      </c>
      <c r="O80" s="102">
        <f t="shared" ref="O80:Q80" si="144">C80-I80</f>
        <v>482000</v>
      </c>
      <c r="P80" s="102">
        <f t="shared" si="144"/>
        <v>482000</v>
      </c>
      <c r="Q80" s="107">
        <f t="shared" si="144"/>
        <v>31077</v>
      </c>
      <c r="R80" s="105">
        <f t="shared" ref="R80:R84" si="145">Q80/O80</f>
        <v>6.4475103734439834E-2</v>
      </c>
    </row>
    <row r="81" spans="1:18" ht="15.75" customHeight="1">
      <c r="A81" s="949"/>
      <c r="B81" s="102" t="s">
        <v>28</v>
      </c>
      <c r="C81" s="106">
        <v>141003</v>
      </c>
      <c r="D81" s="106">
        <f t="shared" ref="D81:D82" si="146">SUM(ROUND(C81*50%,0))</f>
        <v>70502</v>
      </c>
      <c r="E81" s="104">
        <v>1984</v>
      </c>
      <c r="F81" s="105">
        <f t="shared" si="143"/>
        <v>1.4070622610866435E-2</v>
      </c>
      <c r="G81" s="949"/>
      <c r="H81" s="102" t="s">
        <v>28</v>
      </c>
      <c r="I81" s="106">
        <v>0</v>
      </c>
      <c r="J81" s="106">
        <f t="shared" ref="J81:J82" si="147">SUM(ROUND(I81*50%,0))</f>
        <v>0</v>
      </c>
      <c r="K81" s="104">
        <v>0</v>
      </c>
      <c r="L81" s="105">
        <v>0</v>
      </c>
      <c r="M81" s="949"/>
      <c r="N81" s="102" t="s">
        <v>28</v>
      </c>
      <c r="O81" s="102">
        <f t="shared" ref="O81:Q81" si="148">C81-I81</f>
        <v>141003</v>
      </c>
      <c r="P81" s="102">
        <f t="shared" si="148"/>
        <v>70502</v>
      </c>
      <c r="Q81" s="107">
        <f t="shared" si="148"/>
        <v>1984</v>
      </c>
      <c r="R81" s="105">
        <f t="shared" si="145"/>
        <v>1.4070622610866435E-2</v>
      </c>
    </row>
    <row r="82" spans="1:18" ht="15.75" customHeight="1">
      <c r="A82" s="949"/>
      <c r="B82" s="102" t="s">
        <v>31</v>
      </c>
      <c r="C82" s="106">
        <v>435516</v>
      </c>
      <c r="D82" s="106">
        <f t="shared" si="146"/>
        <v>217758</v>
      </c>
      <c r="E82" s="104">
        <v>40386</v>
      </c>
      <c r="F82" s="105">
        <f t="shared" si="143"/>
        <v>9.2731380707023386E-2</v>
      </c>
      <c r="G82" s="949"/>
      <c r="H82" s="102" t="s">
        <v>31</v>
      </c>
      <c r="I82" s="106">
        <v>163102</v>
      </c>
      <c r="J82" s="106">
        <f t="shared" si="147"/>
        <v>81551</v>
      </c>
      <c r="K82" s="104">
        <v>12724</v>
      </c>
      <c r="L82" s="105">
        <f t="shared" ref="L82:L84" si="149">K82/I82</f>
        <v>7.8012532035168183E-2</v>
      </c>
      <c r="M82" s="949"/>
      <c r="N82" s="102" t="s">
        <v>31</v>
      </c>
      <c r="O82" s="102">
        <f t="shared" ref="O82:Q82" si="150">C82-I82</f>
        <v>272414</v>
      </c>
      <c r="P82" s="102">
        <f t="shared" si="150"/>
        <v>136207</v>
      </c>
      <c r="Q82" s="107">
        <f t="shared" si="150"/>
        <v>27662</v>
      </c>
      <c r="R82" s="105">
        <f t="shared" si="145"/>
        <v>0.10154397351090619</v>
      </c>
    </row>
    <row r="83" spans="1:18" ht="15.75" customHeight="1">
      <c r="A83" s="949"/>
      <c r="B83" s="122" t="s">
        <v>32</v>
      </c>
      <c r="C83" s="123">
        <v>707811</v>
      </c>
      <c r="D83" s="106">
        <f>SUM(ROUND(C83*75%,0))</f>
        <v>530858</v>
      </c>
      <c r="E83" s="104">
        <v>116114</v>
      </c>
      <c r="F83" s="105">
        <f t="shared" si="143"/>
        <v>0.16404661696413309</v>
      </c>
      <c r="G83" s="949"/>
      <c r="H83" s="122" t="s">
        <v>32</v>
      </c>
      <c r="I83" s="123">
        <v>1</v>
      </c>
      <c r="J83" s="106">
        <f>SUM(ROUND(I83*75%,0))</f>
        <v>1</v>
      </c>
      <c r="K83" s="104">
        <v>0</v>
      </c>
      <c r="L83" s="105">
        <f t="shared" si="149"/>
        <v>0</v>
      </c>
      <c r="M83" s="949"/>
      <c r="N83" s="122" t="s">
        <v>32</v>
      </c>
      <c r="O83" s="102">
        <f t="shared" ref="O83:Q83" si="151">C83-I83</f>
        <v>707810</v>
      </c>
      <c r="P83" s="102">
        <f t="shared" si="151"/>
        <v>530857</v>
      </c>
      <c r="Q83" s="107">
        <f t="shared" si="151"/>
        <v>116114</v>
      </c>
      <c r="R83" s="105">
        <f t="shared" si="145"/>
        <v>0.16404684873059155</v>
      </c>
    </row>
    <row r="84" spans="1:18" ht="15.75" customHeight="1">
      <c r="A84" s="950"/>
      <c r="B84" s="118" t="s">
        <v>25</v>
      </c>
      <c r="C84" s="115">
        <f t="shared" ref="C84:E84" si="152">SUM(C80:C83)</f>
        <v>1766330</v>
      </c>
      <c r="D84" s="115">
        <f t="shared" si="152"/>
        <v>1301118</v>
      </c>
      <c r="E84" s="121">
        <f t="shared" si="152"/>
        <v>189561</v>
      </c>
      <c r="F84" s="116">
        <f t="shared" si="143"/>
        <v>0.10731913062677982</v>
      </c>
      <c r="G84" s="950"/>
      <c r="H84" s="118" t="s">
        <v>25</v>
      </c>
      <c r="I84" s="115">
        <f t="shared" ref="I84:K84" si="153">SUM(I80:I83)</f>
        <v>163103</v>
      </c>
      <c r="J84" s="115">
        <f t="shared" si="153"/>
        <v>81552</v>
      </c>
      <c r="K84" s="121">
        <f t="shared" si="153"/>
        <v>12724</v>
      </c>
      <c r="L84" s="116">
        <f t="shared" si="149"/>
        <v>7.8012053732917239E-2</v>
      </c>
      <c r="M84" s="950"/>
      <c r="N84" s="118" t="s">
        <v>25</v>
      </c>
      <c r="O84" s="115">
        <f t="shared" ref="O84:Q84" si="154">SUM(O80:O83)</f>
        <v>1603227</v>
      </c>
      <c r="P84" s="115">
        <f t="shared" si="154"/>
        <v>1219566</v>
      </c>
      <c r="Q84" s="130">
        <f t="shared" si="154"/>
        <v>176837</v>
      </c>
      <c r="R84" s="105">
        <f t="shared" si="145"/>
        <v>0.11030066235161957</v>
      </c>
    </row>
    <row r="85" spans="1:18" ht="15.75" customHeight="1">
      <c r="A85" s="954"/>
      <c r="B85" s="928"/>
      <c r="C85" s="928"/>
      <c r="D85" s="928"/>
      <c r="E85" s="928"/>
      <c r="F85" s="955"/>
      <c r="G85" s="954"/>
      <c r="H85" s="928"/>
      <c r="I85" s="928"/>
      <c r="J85" s="928"/>
      <c r="K85" s="928"/>
      <c r="L85" s="955"/>
      <c r="M85" s="954"/>
      <c r="N85" s="928"/>
      <c r="O85" s="928"/>
      <c r="P85" s="928"/>
      <c r="Q85" s="928"/>
      <c r="R85" s="955"/>
    </row>
    <row r="86" spans="1:18" ht="15.75" customHeight="1">
      <c r="A86" s="948" t="s">
        <v>56</v>
      </c>
      <c r="B86" s="95" t="s">
        <v>21</v>
      </c>
      <c r="C86" s="99">
        <v>31541</v>
      </c>
      <c r="D86" s="99">
        <f>C86</f>
        <v>31541</v>
      </c>
      <c r="E86" s="97">
        <v>445</v>
      </c>
      <c r="F86" s="98">
        <f t="shared" ref="F86:F90" si="155">E86/C86</f>
        <v>1.4108620525665007E-2</v>
      </c>
      <c r="G86" s="948" t="s">
        <v>56</v>
      </c>
      <c r="H86" s="95" t="s">
        <v>21</v>
      </c>
      <c r="I86" s="99">
        <v>441</v>
      </c>
      <c r="J86" s="99">
        <f>I86</f>
        <v>441</v>
      </c>
      <c r="K86" s="97">
        <v>0</v>
      </c>
      <c r="L86" s="98">
        <f t="shared" ref="L86:L88" si="156">K86/I86</f>
        <v>0</v>
      </c>
      <c r="M86" s="948" t="s">
        <v>56</v>
      </c>
      <c r="N86" s="95" t="s">
        <v>21</v>
      </c>
      <c r="O86" s="102">
        <f t="shared" ref="O86:Q86" si="157">C86-I86</f>
        <v>31100</v>
      </c>
      <c r="P86" s="102">
        <f t="shared" si="157"/>
        <v>31100</v>
      </c>
      <c r="Q86" s="107">
        <f t="shared" si="157"/>
        <v>445</v>
      </c>
      <c r="R86" s="105">
        <f t="shared" ref="R86:R90" si="158">Q86/O86</f>
        <v>1.4308681672025723E-2</v>
      </c>
    </row>
    <row r="87" spans="1:18" ht="15.75" customHeight="1">
      <c r="A87" s="949"/>
      <c r="B87" s="102" t="s">
        <v>28</v>
      </c>
      <c r="C87" s="106">
        <v>9731</v>
      </c>
      <c r="D87" s="106">
        <f t="shared" ref="D87:D88" si="159">SUM(ROUND(C87*50%,0))</f>
        <v>4866</v>
      </c>
      <c r="E87" s="104">
        <v>3012</v>
      </c>
      <c r="F87" s="105">
        <f t="shared" si="155"/>
        <v>0.30952625629431713</v>
      </c>
      <c r="G87" s="949"/>
      <c r="H87" s="102" t="s">
        <v>28</v>
      </c>
      <c r="I87" s="106">
        <v>1</v>
      </c>
      <c r="J87" s="106">
        <f t="shared" ref="J87:J88" si="160">SUM(ROUND(I87*50%,0))</f>
        <v>1</v>
      </c>
      <c r="K87" s="104">
        <v>0</v>
      </c>
      <c r="L87" s="105">
        <f t="shared" si="156"/>
        <v>0</v>
      </c>
      <c r="M87" s="949"/>
      <c r="N87" s="102" t="s">
        <v>28</v>
      </c>
      <c r="O87" s="102">
        <f t="shared" ref="O87:Q87" si="161">C87-I87</f>
        <v>9730</v>
      </c>
      <c r="P87" s="102">
        <f t="shared" si="161"/>
        <v>4865</v>
      </c>
      <c r="Q87" s="107">
        <f t="shared" si="161"/>
        <v>3012</v>
      </c>
      <c r="R87" s="105">
        <f t="shared" si="158"/>
        <v>0.30955806783144912</v>
      </c>
    </row>
    <row r="88" spans="1:18" ht="15.75" customHeight="1">
      <c r="A88" s="949"/>
      <c r="B88" s="102" t="s">
        <v>103</v>
      </c>
      <c r="C88" s="106">
        <v>24603</v>
      </c>
      <c r="D88" s="106">
        <f t="shared" si="159"/>
        <v>12302</v>
      </c>
      <c r="E88" s="104">
        <v>57184</v>
      </c>
      <c r="F88" s="105">
        <f t="shared" si="155"/>
        <v>2.3242693980408893</v>
      </c>
      <c r="G88" s="949"/>
      <c r="H88" s="102" t="s">
        <v>103</v>
      </c>
      <c r="I88" s="106">
        <v>1519</v>
      </c>
      <c r="J88" s="106">
        <f t="shared" si="160"/>
        <v>760</v>
      </c>
      <c r="K88" s="104">
        <v>0</v>
      </c>
      <c r="L88" s="105">
        <f t="shared" si="156"/>
        <v>0</v>
      </c>
      <c r="M88" s="949"/>
      <c r="N88" s="102" t="s">
        <v>103</v>
      </c>
      <c r="O88" s="102">
        <f t="shared" ref="O88:Q88" si="162">C88-I88</f>
        <v>23084</v>
      </c>
      <c r="P88" s="102">
        <f t="shared" si="162"/>
        <v>11542</v>
      </c>
      <c r="Q88" s="107">
        <f t="shared" si="162"/>
        <v>57184</v>
      </c>
      <c r="R88" s="105">
        <f t="shared" si="158"/>
        <v>2.4772136544792929</v>
      </c>
    </row>
    <row r="89" spans="1:18" ht="15.75" customHeight="1">
      <c r="A89" s="949"/>
      <c r="B89" s="122" t="s">
        <v>32</v>
      </c>
      <c r="C89" s="123">
        <v>334764</v>
      </c>
      <c r="D89" s="106">
        <f>SUM(ROUND(C89*75%,0))</f>
        <v>251073</v>
      </c>
      <c r="E89" s="104">
        <v>48249</v>
      </c>
      <c r="F89" s="105">
        <f t="shared" si="155"/>
        <v>0.14412840090332293</v>
      </c>
      <c r="G89" s="949"/>
      <c r="H89" s="122" t="s">
        <v>32</v>
      </c>
      <c r="I89" s="123">
        <v>0</v>
      </c>
      <c r="J89" s="106">
        <f>SUM(ROUND(I89*75%,0))</f>
        <v>0</v>
      </c>
      <c r="K89" s="104">
        <v>0</v>
      </c>
      <c r="L89" s="105">
        <v>0</v>
      </c>
      <c r="M89" s="949"/>
      <c r="N89" s="122" t="s">
        <v>32</v>
      </c>
      <c r="O89" s="102">
        <f t="shared" ref="O89:Q89" si="163">C89-I89</f>
        <v>334764</v>
      </c>
      <c r="P89" s="102">
        <f t="shared" si="163"/>
        <v>251073</v>
      </c>
      <c r="Q89" s="107">
        <f t="shared" si="163"/>
        <v>48249</v>
      </c>
      <c r="R89" s="105">
        <f t="shared" si="158"/>
        <v>0.14412840090332293</v>
      </c>
    </row>
    <row r="90" spans="1:18" ht="15.75" customHeight="1">
      <c r="A90" s="950"/>
      <c r="B90" s="118" t="s">
        <v>25</v>
      </c>
      <c r="C90" s="115">
        <f t="shared" ref="C90:E90" si="164">SUM(C86:C89)</f>
        <v>400639</v>
      </c>
      <c r="D90" s="115">
        <f t="shared" si="164"/>
        <v>299782</v>
      </c>
      <c r="E90" s="121">
        <f t="shared" si="164"/>
        <v>108890</v>
      </c>
      <c r="F90" s="116">
        <f t="shared" si="155"/>
        <v>0.27179081417435647</v>
      </c>
      <c r="G90" s="950"/>
      <c r="H90" s="118" t="s">
        <v>25</v>
      </c>
      <c r="I90" s="115">
        <f t="shared" ref="I90:K90" si="165">SUM(I86:I89)</f>
        <v>1961</v>
      </c>
      <c r="J90" s="115">
        <f t="shared" si="165"/>
        <v>1202</v>
      </c>
      <c r="K90" s="121">
        <f t="shared" si="165"/>
        <v>0</v>
      </c>
      <c r="L90" s="116">
        <f>K90/I90</f>
        <v>0</v>
      </c>
      <c r="M90" s="950"/>
      <c r="N90" s="118" t="s">
        <v>25</v>
      </c>
      <c r="O90" s="115">
        <f t="shared" ref="O90:Q90" si="166">SUM(O86:O89)</f>
        <v>398678</v>
      </c>
      <c r="P90" s="115">
        <f t="shared" si="166"/>
        <v>298580</v>
      </c>
      <c r="Q90" s="130">
        <f t="shared" si="166"/>
        <v>108890</v>
      </c>
      <c r="R90" s="105">
        <f t="shared" si="158"/>
        <v>0.27312768700555334</v>
      </c>
    </row>
    <row r="91" spans="1:18" ht="15.75" customHeight="1">
      <c r="A91" s="954"/>
      <c r="B91" s="928"/>
      <c r="C91" s="928"/>
      <c r="D91" s="928"/>
      <c r="E91" s="928"/>
      <c r="F91" s="955"/>
      <c r="G91" s="954"/>
      <c r="H91" s="928"/>
      <c r="I91" s="928"/>
      <c r="J91" s="928"/>
      <c r="K91" s="928"/>
      <c r="L91" s="955"/>
      <c r="M91" s="954"/>
      <c r="N91" s="928"/>
      <c r="O91" s="928"/>
      <c r="P91" s="928"/>
      <c r="Q91" s="928"/>
      <c r="R91" s="955"/>
    </row>
    <row r="92" spans="1:18" ht="15.75" customHeight="1">
      <c r="A92" s="948" t="s">
        <v>59</v>
      </c>
      <c r="B92" s="95" t="s">
        <v>21</v>
      </c>
      <c r="C92" s="99">
        <v>5000</v>
      </c>
      <c r="D92" s="106">
        <f>SUM(ROUND(C92*50%,0))</f>
        <v>2500</v>
      </c>
      <c r="E92" s="97">
        <v>0</v>
      </c>
      <c r="F92" s="98">
        <f t="shared" ref="F92:F95" si="167">E92/C92</f>
        <v>0</v>
      </c>
      <c r="G92" s="948" t="s">
        <v>59</v>
      </c>
      <c r="H92" s="95" t="s">
        <v>21</v>
      </c>
      <c r="I92" s="99">
        <v>0</v>
      </c>
      <c r="J92" s="106">
        <f>SUM(ROUND(I92*50%,0))</f>
        <v>0</v>
      </c>
      <c r="K92" s="97">
        <v>0</v>
      </c>
      <c r="L92" s="98">
        <v>0</v>
      </c>
      <c r="M92" s="951" t="s">
        <v>59</v>
      </c>
      <c r="N92" s="95" t="s">
        <v>21</v>
      </c>
      <c r="O92" s="107">
        <f t="shared" ref="O92:Q92" si="168">C92-I92</f>
        <v>5000</v>
      </c>
      <c r="P92" s="102">
        <f t="shared" si="168"/>
        <v>2500</v>
      </c>
      <c r="Q92" s="107">
        <f t="shared" si="168"/>
        <v>0</v>
      </c>
      <c r="R92" s="105">
        <f t="shared" ref="R92:R95" si="169">Q92/O92</f>
        <v>0</v>
      </c>
    </row>
    <row r="93" spans="1:18" ht="15.75" customHeight="1">
      <c r="A93" s="949"/>
      <c r="B93" s="131" t="s">
        <v>31</v>
      </c>
      <c r="C93" s="132">
        <v>7002</v>
      </c>
      <c r="D93" s="106"/>
      <c r="E93" s="133">
        <v>0</v>
      </c>
      <c r="F93" s="105">
        <f t="shared" si="167"/>
        <v>0</v>
      </c>
      <c r="G93" s="949"/>
      <c r="H93" s="131" t="s">
        <v>31</v>
      </c>
      <c r="I93" s="132">
        <v>1</v>
      </c>
      <c r="J93" s="106"/>
      <c r="K93" s="133">
        <v>0</v>
      </c>
      <c r="L93" s="105">
        <f>K93/I93</f>
        <v>0</v>
      </c>
      <c r="M93" s="952"/>
      <c r="N93" s="131" t="s">
        <v>31</v>
      </c>
      <c r="O93" s="107">
        <f t="shared" ref="O93:O94" si="170">C93-I93</f>
        <v>7001</v>
      </c>
      <c r="P93" s="102"/>
      <c r="Q93" s="107">
        <f>E93-K93</f>
        <v>0</v>
      </c>
      <c r="R93" s="105">
        <f t="shared" si="169"/>
        <v>0</v>
      </c>
    </row>
    <row r="94" spans="1:18" ht="15.75" customHeight="1">
      <c r="A94" s="949"/>
      <c r="B94" s="102" t="s">
        <v>32</v>
      </c>
      <c r="C94" s="106">
        <v>19000</v>
      </c>
      <c r="D94" s="106">
        <f>SUM(ROUND(C94*75%,0))</f>
        <v>14250</v>
      </c>
      <c r="E94" s="104">
        <v>15</v>
      </c>
      <c r="F94" s="105">
        <f t="shared" si="167"/>
        <v>7.894736842105263E-4</v>
      </c>
      <c r="G94" s="949"/>
      <c r="H94" s="102" t="s">
        <v>32</v>
      </c>
      <c r="I94" s="106">
        <v>0</v>
      </c>
      <c r="J94" s="106">
        <f>SUM(ROUND(I94*75%,0))</f>
        <v>0</v>
      </c>
      <c r="K94" s="104">
        <v>0</v>
      </c>
      <c r="L94" s="105">
        <v>0</v>
      </c>
      <c r="M94" s="952"/>
      <c r="N94" s="102" t="s">
        <v>32</v>
      </c>
      <c r="O94" s="107">
        <f t="shared" si="170"/>
        <v>19000</v>
      </c>
      <c r="P94" s="102">
        <f t="shared" ref="P94:Q94" si="171">D94-J94</f>
        <v>14250</v>
      </c>
      <c r="Q94" s="107">
        <f t="shared" si="171"/>
        <v>15</v>
      </c>
      <c r="R94" s="105">
        <f t="shared" si="169"/>
        <v>7.894736842105263E-4</v>
      </c>
    </row>
    <row r="95" spans="1:18" ht="15.75" customHeight="1">
      <c r="A95" s="950"/>
      <c r="B95" s="118" t="s">
        <v>25</v>
      </c>
      <c r="C95" s="115">
        <f t="shared" ref="C95:E95" si="172">SUM(C92:C94)</f>
        <v>31002</v>
      </c>
      <c r="D95" s="115">
        <f t="shared" si="172"/>
        <v>16750</v>
      </c>
      <c r="E95" s="115">
        <f t="shared" si="172"/>
        <v>15</v>
      </c>
      <c r="F95" s="116">
        <f t="shared" si="167"/>
        <v>4.8383975227404683E-4</v>
      </c>
      <c r="G95" s="950"/>
      <c r="H95" s="118" t="s">
        <v>25</v>
      </c>
      <c r="I95" s="115">
        <f t="shared" ref="I95:K95" si="173">SUM(I92:I94)</f>
        <v>1</v>
      </c>
      <c r="J95" s="115">
        <f t="shared" si="173"/>
        <v>0</v>
      </c>
      <c r="K95" s="115">
        <f t="shared" si="173"/>
        <v>0</v>
      </c>
      <c r="L95" s="116">
        <f>K95/I95</f>
        <v>0</v>
      </c>
      <c r="M95" s="953"/>
      <c r="N95" s="118" t="s">
        <v>25</v>
      </c>
      <c r="O95" s="114">
        <f t="shared" ref="O95:Q95" si="174">SUM(O92:O94)</f>
        <v>31001</v>
      </c>
      <c r="P95" s="115">
        <f t="shared" si="174"/>
        <v>16750</v>
      </c>
      <c r="Q95" s="130">
        <f t="shared" si="174"/>
        <v>15</v>
      </c>
      <c r="R95" s="105">
        <f t="shared" si="169"/>
        <v>4.838553595045321E-4</v>
      </c>
    </row>
    <row r="96" spans="1:18" ht="15.75" customHeight="1">
      <c r="A96" s="954"/>
      <c r="B96" s="928"/>
      <c r="C96" s="928"/>
      <c r="D96" s="928"/>
      <c r="E96" s="928"/>
      <c r="F96" s="955"/>
      <c r="G96" s="954"/>
      <c r="H96" s="928"/>
      <c r="I96" s="928"/>
      <c r="J96" s="928"/>
      <c r="K96" s="928"/>
      <c r="L96" s="955"/>
      <c r="M96" s="954"/>
      <c r="N96" s="928"/>
      <c r="O96" s="928"/>
      <c r="P96" s="928"/>
      <c r="Q96" s="928"/>
      <c r="R96" s="955"/>
    </row>
    <row r="97" spans="1:26" ht="15.75" customHeight="1">
      <c r="A97" s="968" t="s">
        <v>60</v>
      </c>
      <c r="B97" s="134" t="s">
        <v>21</v>
      </c>
      <c r="C97" s="135">
        <f t="shared" ref="C97:E97" si="175">C6+C11+C14+C17+C23+C28+C34+C48+C53+C57+C63+C69+C75+C80+C86+C92</f>
        <v>15731953</v>
      </c>
      <c r="D97" s="135">
        <f t="shared" si="175"/>
        <v>15729453</v>
      </c>
      <c r="E97" s="136">
        <f t="shared" si="175"/>
        <v>3496718</v>
      </c>
      <c r="F97" s="137">
        <f>E97/C97</f>
        <v>0.22226852571959757</v>
      </c>
      <c r="G97" s="968" t="s">
        <v>60</v>
      </c>
      <c r="H97" s="134" t="s">
        <v>21</v>
      </c>
      <c r="I97" s="135">
        <f t="shared" ref="I97:K97" si="176">I6+I11+I14+I17+I23+I28+I34+I48+I53+I57+I63+I69+I75+I80+I86+I92</f>
        <v>7901165</v>
      </c>
      <c r="J97" s="135">
        <f t="shared" si="176"/>
        <v>7901165</v>
      </c>
      <c r="K97" s="136">
        <f t="shared" si="176"/>
        <v>214271</v>
      </c>
      <c r="L97" s="137">
        <f>K97/I97</f>
        <v>2.7118912211047359E-2</v>
      </c>
      <c r="M97" s="968" t="s">
        <v>60</v>
      </c>
      <c r="N97" s="134" t="s">
        <v>21</v>
      </c>
      <c r="O97" s="135">
        <f>O6+O11+O14+O17+O23+O28+O34+O48+O53+O57+O63+O69+O75+O80+O86+O92</f>
        <v>7830788</v>
      </c>
      <c r="P97" s="135">
        <f t="shared" ref="P97:Q97" si="177">P6+P11+P14+P17+P23+P28+P34+P48+P53+P57+P63+P69+P75+P80+P86</f>
        <v>7825788</v>
      </c>
      <c r="Q97" s="135">
        <f t="shared" si="177"/>
        <v>3282447</v>
      </c>
      <c r="R97" s="137">
        <f>Q97/O97</f>
        <v>0.41917199137558059</v>
      </c>
    </row>
    <row r="98" spans="1:26" ht="15.75" customHeight="1">
      <c r="A98" s="949"/>
      <c r="B98" s="138" t="s">
        <v>22</v>
      </c>
      <c r="C98" s="139">
        <f t="shared" ref="C98:E98" si="178">C7</f>
        <v>0</v>
      </c>
      <c r="D98" s="139">
        <f t="shared" si="178"/>
        <v>0</v>
      </c>
      <c r="E98" s="140">
        <f t="shared" si="178"/>
        <v>0</v>
      </c>
      <c r="F98" s="141">
        <v>0</v>
      </c>
      <c r="G98" s="949"/>
      <c r="H98" s="138" t="s">
        <v>22</v>
      </c>
      <c r="I98" s="139">
        <f t="shared" ref="I98:K98" si="179">I7</f>
        <v>0</v>
      </c>
      <c r="J98" s="139">
        <f t="shared" si="179"/>
        <v>0</v>
      </c>
      <c r="K98" s="140">
        <f t="shared" si="179"/>
        <v>0</v>
      </c>
      <c r="L98" s="141">
        <v>0</v>
      </c>
      <c r="M98" s="949"/>
      <c r="N98" s="138" t="s">
        <v>22</v>
      </c>
      <c r="O98" s="139">
        <f t="shared" ref="O98:Q98" si="180">O7</f>
        <v>0</v>
      </c>
      <c r="P98" s="139">
        <f t="shared" si="180"/>
        <v>0</v>
      </c>
      <c r="Q98" s="139">
        <f t="shared" si="180"/>
        <v>0</v>
      </c>
      <c r="R98" s="141">
        <v>0</v>
      </c>
    </row>
    <row r="99" spans="1:26" ht="15.75" customHeight="1">
      <c r="A99" s="949"/>
      <c r="B99" s="138" t="s">
        <v>28</v>
      </c>
      <c r="C99" s="139">
        <f t="shared" ref="C99:E99" si="181">C18+C24+C29+C49+C58+C64+C70+C76+C81+C87</f>
        <v>520964</v>
      </c>
      <c r="D99" s="139">
        <f t="shared" si="181"/>
        <v>260484</v>
      </c>
      <c r="E99" s="140">
        <f t="shared" si="181"/>
        <v>136482</v>
      </c>
      <c r="F99" s="141">
        <f t="shared" ref="F99:F103" si="182">E99/C99</f>
        <v>0.26197971452921892</v>
      </c>
      <c r="G99" s="949"/>
      <c r="H99" s="138" t="s">
        <v>28</v>
      </c>
      <c r="I99" s="139">
        <f t="shared" ref="I99:K99" si="183">I18+I24+I29+I49+I58+I64+I70+I76+I81+I87</f>
        <v>145010</v>
      </c>
      <c r="J99" s="139">
        <f t="shared" si="183"/>
        <v>72506</v>
      </c>
      <c r="K99" s="140">
        <f t="shared" si="183"/>
        <v>28266</v>
      </c>
      <c r="L99" s="141">
        <f t="shared" ref="L99:L103" si="184">K99/I99</f>
        <v>0.19492448796634715</v>
      </c>
      <c r="M99" s="949"/>
      <c r="N99" s="138" t="s">
        <v>28</v>
      </c>
      <c r="O99" s="139">
        <f t="shared" ref="O99:Q99" si="185">O18+O24+O29+O49+O58+O64+O70+O76+O81+O87</f>
        <v>375954</v>
      </c>
      <c r="P99" s="139">
        <f t="shared" si="185"/>
        <v>187978</v>
      </c>
      <c r="Q99" s="139">
        <f t="shared" si="185"/>
        <v>108216</v>
      </c>
      <c r="R99" s="141">
        <f t="shared" ref="R99:R103" si="186">Q99/O99</f>
        <v>0.28784372556216986</v>
      </c>
    </row>
    <row r="100" spans="1:26" ht="15.75" customHeight="1">
      <c r="A100" s="949"/>
      <c r="B100" s="138" t="s">
        <v>31</v>
      </c>
      <c r="C100" s="139">
        <f t="shared" ref="C100:E100" si="187">C19+C25+C30+C59+C65+C71+C77+C82+C88+C93</f>
        <v>912071</v>
      </c>
      <c r="D100" s="139">
        <f t="shared" si="187"/>
        <v>452537</v>
      </c>
      <c r="E100" s="140">
        <f t="shared" si="187"/>
        <v>264930</v>
      </c>
      <c r="F100" s="141">
        <f t="shared" si="182"/>
        <v>0.29047080764545741</v>
      </c>
      <c r="G100" s="949"/>
      <c r="H100" s="138" t="s">
        <v>31</v>
      </c>
      <c r="I100" s="139">
        <f t="shared" ref="I100:K100" si="188">I19+I25+I30+I59+I65+I71+I77+I82+I88+I93</f>
        <v>332857</v>
      </c>
      <c r="J100" s="139">
        <f t="shared" si="188"/>
        <v>166429</v>
      </c>
      <c r="K100" s="140">
        <f t="shared" si="188"/>
        <v>139561</v>
      </c>
      <c r="L100" s="141">
        <f t="shared" si="184"/>
        <v>0.41928215419834947</v>
      </c>
      <c r="M100" s="949"/>
      <c r="N100" s="138" t="s">
        <v>31</v>
      </c>
      <c r="O100" s="139">
        <f t="shared" ref="O100:Q100" si="189">O19+O25+O30+O59+O65+O71+O77+O82+O88+O93</f>
        <v>579214</v>
      </c>
      <c r="P100" s="139">
        <f t="shared" si="189"/>
        <v>286108</v>
      </c>
      <c r="Q100" s="139">
        <f t="shared" si="189"/>
        <v>125369</v>
      </c>
      <c r="R100" s="141">
        <f t="shared" si="186"/>
        <v>0.21644677096893375</v>
      </c>
    </row>
    <row r="101" spans="1:26" ht="15.75" customHeight="1">
      <c r="A101" s="949"/>
      <c r="B101" s="138" t="s">
        <v>40</v>
      </c>
      <c r="C101" s="139">
        <f t="shared" ref="C101:E101" si="190">C37+C41+C8</f>
        <v>4857411</v>
      </c>
      <c r="D101" s="139">
        <f t="shared" si="190"/>
        <v>4857409</v>
      </c>
      <c r="E101" s="140">
        <f t="shared" si="190"/>
        <v>89541</v>
      </c>
      <c r="F101" s="141">
        <f t="shared" si="182"/>
        <v>1.8433894105316598E-2</v>
      </c>
      <c r="G101" s="949"/>
      <c r="H101" s="138" t="s">
        <v>40</v>
      </c>
      <c r="I101" s="139">
        <f t="shared" ref="I101:K101" si="191">I37+I41+I8</f>
        <v>1291402</v>
      </c>
      <c r="J101" s="139">
        <f t="shared" si="191"/>
        <v>1291400</v>
      </c>
      <c r="K101" s="140">
        <f t="shared" si="191"/>
        <v>88956</v>
      </c>
      <c r="L101" s="141">
        <f t="shared" si="184"/>
        <v>6.8883275695716742E-2</v>
      </c>
      <c r="M101" s="949"/>
      <c r="N101" s="138" t="s">
        <v>40</v>
      </c>
      <c r="O101" s="139">
        <f t="shared" ref="O101:Q101" si="192">O37+O41</f>
        <v>3566009</v>
      </c>
      <c r="P101" s="139">
        <f t="shared" si="192"/>
        <v>3566009</v>
      </c>
      <c r="Q101" s="139">
        <f t="shared" si="192"/>
        <v>585</v>
      </c>
      <c r="R101" s="141">
        <f t="shared" si="186"/>
        <v>1.640489409869689E-4</v>
      </c>
    </row>
    <row r="102" spans="1:26" ht="15.75" customHeight="1">
      <c r="A102" s="949"/>
      <c r="B102" s="249" t="s">
        <v>32</v>
      </c>
      <c r="C102" s="209">
        <f t="shared" ref="C102:E102" si="193">C20+C31++C38+C42+C45+C50+C54+C60+C66+C72+C83+C89+C94</f>
        <v>11269846</v>
      </c>
      <c r="D102" s="209">
        <f t="shared" si="193"/>
        <v>8452385</v>
      </c>
      <c r="E102" s="250">
        <f t="shared" si="193"/>
        <v>2753705</v>
      </c>
      <c r="F102" s="207">
        <f t="shared" si="182"/>
        <v>0.24434273547304905</v>
      </c>
      <c r="G102" s="949"/>
      <c r="H102" s="142" t="s">
        <v>32</v>
      </c>
      <c r="I102" s="139">
        <f t="shared" ref="I102:K102" si="194">I20+I31++I38+I42+I45+I50+I54+I60+I66+I72+I83+I89+I94</f>
        <v>1301579</v>
      </c>
      <c r="J102" s="139">
        <f t="shared" si="194"/>
        <v>976186</v>
      </c>
      <c r="K102" s="140">
        <f t="shared" si="194"/>
        <v>332208</v>
      </c>
      <c r="L102" s="141">
        <f t="shared" si="184"/>
        <v>0.25523460350850774</v>
      </c>
      <c r="M102" s="949"/>
      <c r="N102" s="142" t="s">
        <v>32</v>
      </c>
      <c r="O102" s="139">
        <f t="shared" ref="O102:Q102" si="195">O20+O31++O38+O42+O45+O50+O54+O60+O66+O72+O83+O89+O94</f>
        <v>9968267</v>
      </c>
      <c r="P102" s="139">
        <f t="shared" si="195"/>
        <v>7476199</v>
      </c>
      <c r="Q102" s="139">
        <f t="shared" si="195"/>
        <v>2421497</v>
      </c>
      <c r="R102" s="141">
        <f t="shared" si="186"/>
        <v>0.24292055981245286</v>
      </c>
    </row>
    <row r="103" spans="1:26" ht="15.75" customHeight="1">
      <c r="A103" s="950"/>
      <c r="B103" s="251" t="s">
        <v>25</v>
      </c>
      <c r="C103" s="252">
        <f t="shared" ref="C103:E103" si="196">C97+C98+C99+C100+C101+C102</f>
        <v>33292245</v>
      </c>
      <c r="D103" s="252">
        <f t="shared" si="196"/>
        <v>29752268</v>
      </c>
      <c r="E103" s="252">
        <f t="shared" si="196"/>
        <v>6741376</v>
      </c>
      <c r="F103" s="253">
        <f t="shared" si="182"/>
        <v>0.20249088038370497</v>
      </c>
      <c r="G103" s="949"/>
      <c r="H103" s="208" t="s">
        <v>25</v>
      </c>
      <c r="I103" s="209">
        <f t="shared" ref="I103:K103" si="197">I97+I98+I99+I100+I101+I102</f>
        <v>10972013</v>
      </c>
      <c r="J103" s="209">
        <f t="shared" si="197"/>
        <v>10407686</v>
      </c>
      <c r="K103" s="209">
        <f t="shared" si="197"/>
        <v>803262</v>
      </c>
      <c r="L103" s="207">
        <f t="shared" si="184"/>
        <v>7.3210084603436032E-2</v>
      </c>
      <c r="M103" s="949"/>
      <c r="N103" s="208" t="s">
        <v>25</v>
      </c>
      <c r="O103" s="209">
        <f t="shared" ref="O103:Q103" si="198">SUM(O97:O102)</f>
        <v>22320232</v>
      </c>
      <c r="P103" s="209">
        <f t="shared" si="198"/>
        <v>19342082</v>
      </c>
      <c r="Q103" s="209">
        <f t="shared" si="198"/>
        <v>5938114</v>
      </c>
      <c r="R103" s="207">
        <f t="shared" si="186"/>
        <v>0.26604176874147184</v>
      </c>
    </row>
    <row r="104" spans="1:26" ht="17.25" customHeight="1">
      <c r="A104" s="88" t="s">
        <v>29</v>
      </c>
      <c r="B104" s="210"/>
      <c r="C104" s="254"/>
      <c r="D104" s="254"/>
      <c r="E104" s="254"/>
      <c r="F104" s="212"/>
      <c r="G104" s="88"/>
      <c r="H104" s="210"/>
      <c r="I104" s="254"/>
      <c r="J104" s="254"/>
      <c r="K104" s="254"/>
      <c r="L104" s="212"/>
      <c r="M104" s="88"/>
      <c r="N104" s="210"/>
      <c r="O104" s="254">
        <f t="shared" ref="O104:Q104" si="199">O9+O12+O15+O21+O26+O32+O35+O39+O43+O46+O51+O55+O61+O67+O73+O78+O84+O90+O95</f>
        <v>22320232</v>
      </c>
      <c r="P104" s="254">
        <f t="shared" si="199"/>
        <v>19110477</v>
      </c>
      <c r="Q104" s="254">
        <f t="shared" si="199"/>
        <v>5938114</v>
      </c>
      <c r="R104" s="212"/>
    </row>
    <row r="105" spans="1:26" ht="15.75" customHeight="1">
      <c r="A105" s="973">
        <v>1500</v>
      </c>
      <c r="B105" s="149" t="s">
        <v>29</v>
      </c>
      <c r="C105" s="149">
        <f>12020015-1800000</f>
        <v>10220015</v>
      </c>
      <c r="D105" s="149">
        <f>C105</f>
        <v>10220015</v>
      </c>
      <c r="E105" s="150">
        <v>2886902</v>
      </c>
      <c r="F105" s="214">
        <f t="shared" ref="F105:F113" si="200">E105/C105</f>
        <v>0.28247531926323005</v>
      </c>
      <c r="G105" s="973">
        <v>1500</v>
      </c>
      <c r="H105" s="149" t="s">
        <v>29</v>
      </c>
      <c r="I105" s="149">
        <f>6920014+5000001-1800000</f>
        <v>10120015</v>
      </c>
      <c r="J105" s="149">
        <f>I105</f>
        <v>10120015</v>
      </c>
      <c r="K105" s="150">
        <f>1014750+1871700</f>
        <v>2886450</v>
      </c>
      <c r="L105" s="214">
        <f t="shared" ref="L105:L108" si="201">K105/I105</f>
        <v>0.28522190925606333</v>
      </c>
      <c r="M105" s="973">
        <v>1500</v>
      </c>
      <c r="N105" s="149" t="s">
        <v>29</v>
      </c>
      <c r="O105" s="149">
        <f t="shared" ref="O105:Q105" si="202">C105-I105</f>
        <v>100000</v>
      </c>
      <c r="P105" s="149">
        <f t="shared" si="202"/>
        <v>100000</v>
      </c>
      <c r="Q105" s="149">
        <f t="shared" si="202"/>
        <v>452</v>
      </c>
      <c r="R105" s="215">
        <f>Q105/O105</f>
        <v>4.5199999999999997E-3</v>
      </c>
      <c r="S105" s="147"/>
      <c r="T105" s="147"/>
      <c r="U105" s="147"/>
      <c r="V105" s="147"/>
      <c r="W105" s="147"/>
      <c r="X105" s="147"/>
      <c r="Y105" s="147"/>
      <c r="Z105" s="147"/>
    </row>
    <row r="106" spans="1:26" ht="15.75" customHeight="1">
      <c r="A106" s="918"/>
      <c r="B106" s="155" t="s">
        <v>25</v>
      </c>
      <c r="C106" s="155">
        <f t="shared" ref="C106:E106" si="203">SUM(C105)</f>
        <v>10220015</v>
      </c>
      <c r="D106" s="155">
        <f t="shared" si="203"/>
        <v>10220015</v>
      </c>
      <c r="E106" s="216">
        <f t="shared" si="203"/>
        <v>2886902</v>
      </c>
      <c r="F106" s="217">
        <f t="shared" si="200"/>
        <v>0.28247531926323005</v>
      </c>
      <c r="G106" s="918"/>
      <c r="H106" s="155" t="s">
        <v>25</v>
      </c>
      <c r="I106" s="155">
        <f t="shared" ref="I106:K106" si="204">SUM(I105)</f>
        <v>10120015</v>
      </c>
      <c r="J106" s="155">
        <f t="shared" si="204"/>
        <v>10120015</v>
      </c>
      <c r="K106" s="216">
        <f t="shared" si="204"/>
        <v>2886450</v>
      </c>
      <c r="L106" s="217">
        <f t="shared" si="201"/>
        <v>0.28522190925606333</v>
      </c>
      <c r="M106" s="918"/>
      <c r="N106" s="155" t="s">
        <v>25</v>
      </c>
      <c r="O106" s="155">
        <f t="shared" ref="O106:Q106" si="205">SUM(O105)</f>
        <v>100000</v>
      </c>
      <c r="P106" s="155">
        <f t="shared" si="205"/>
        <v>100000</v>
      </c>
      <c r="Q106" s="155">
        <f t="shared" si="205"/>
        <v>452</v>
      </c>
      <c r="R106" s="129">
        <f>Q106/P106</f>
        <v>4.5199999999999997E-3</v>
      </c>
      <c r="S106" s="147"/>
      <c r="T106" s="147"/>
      <c r="U106" s="147"/>
      <c r="V106" s="147"/>
      <c r="W106" s="147"/>
      <c r="X106" s="147"/>
      <c r="Y106" s="147"/>
      <c r="Z106" s="147"/>
    </row>
    <row r="107" spans="1:26" ht="15.75" customHeight="1">
      <c r="A107" s="974">
        <v>1600</v>
      </c>
      <c r="B107" s="153" t="s">
        <v>29</v>
      </c>
      <c r="C107" s="218">
        <v>13416785</v>
      </c>
      <c r="D107" s="218">
        <f>C107</f>
        <v>13416785</v>
      </c>
      <c r="E107" s="154">
        <v>74309</v>
      </c>
      <c r="F107" s="219">
        <f t="shared" si="200"/>
        <v>5.5385101572396067E-3</v>
      </c>
      <c r="G107" s="974">
        <v>1600</v>
      </c>
      <c r="H107" s="153" t="s">
        <v>29</v>
      </c>
      <c r="I107" s="218">
        <v>1042</v>
      </c>
      <c r="J107" s="218">
        <f>I107</f>
        <v>1042</v>
      </c>
      <c r="K107" s="154">
        <v>0</v>
      </c>
      <c r="L107" s="219">
        <f t="shared" si="201"/>
        <v>0</v>
      </c>
      <c r="M107" s="974">
        <v>1600</v>
      </c>
      <c r="N107" s="153" t="s">
        <v>29</v>
      </c>
      <c r="O107" s="153">
        <f t="shared" ref="O107:Q107" si="206">C107-I107</f>
        <v>13415743</v>
      </c>
      <c r="P107" s="153">
        <f t="shared" si="206"/>
        <v>13415743</v>
      </c>
      <c r="Q107" s="153">
        <f t="shared" si="206"/>
        <v>74309</v>
      </c>
      <c r="R107" s="128">
        <f>Q107/O107</f>
        <v>5.5389403330102548E-3</v>
      </c>
      <c r="S107" s="147"/>
      <c r="T107" s="147"/>
      <c r="U107" s="147"/>
      <c r="V107" s="147"/>
      <c r="W107" s="147"/>
      <c r="X107" s="147"/>
      <c r="Y107" s="147"/>
      <c r="Z107" s="147"/>
    </row>
    <row r="108" spans="1:26" ht="15.75" customHeight="1">
      <c r="A108" s="918"/>
      <c r="B108" s="155" t="s">
        <v>25</v>
      </c>
      <c r="C108" s="155">
        <f t="shared" ref="C108:E108" si="207">SUM(C107)</f>
        <v>13416785</v>
      </c>
      <c r="D108" s="155">
        <f t="shared" si="207"/>
        <v>13416785</v>
      </c>
      <c r="E108" s="216">
        <f t="shared" si="207"/>
        <v>74309</v>
      </c>
      <c r="F108" s="217">
        <f t="shared" si="200"/>
        <v>5.5385101572396067E-3</v>
      </c>
      <c r="G108" s="918"/>
      <c r="H108" s="155" t="s">
        <v>25</v>
      </c>
      <c r="I108" s="155">
        <f t="shared" ref="I108:K108" si="208">SUM(I107)</f>
        <v>1042</v>
      </c>
      <c r="J108" s="155">
        <f t="shared" si="208"/>
        <v>1042</v>
      </c>
      <c r="K108" s="216">
        <f t="shared" si="208"/>
        <v>0</v>
      </c>
      <c r="L108" s="217">
        <f t="shared" si="201"/>
        <v>0</v>
      </c>
      <c r="M108" s="918"/>
      <c r="N108" s="155" t="s">
        <v>25</v>
      </c>
      <c r="O108" s="155">
        <f t="shared" ref="O108:Q108" si="209">SUM(O107)</f>
        <v>13415743</v>
      </c>
      <c r="P108" s="155">
        <f t="shared" si="209"/>
        <v>13415743</v>
      </c>
      <c r="Q108" s="155">
        <f t="shared" si="209"/>
        <v>74309</v>
      </c>
      <c r="R108" s="129">
        <f>Q108/P108</f>
        <v>5.5389403330102548E-3</v>
      </c>
      <c r="S108" s="147"/>
      <c r="T108" s="147"/>
      <c r="U108" s="147"/>
      <c r="V108" s="147"/>
      <c r="W108" s="147"/>
      <c r="X108" s="147"/>
      <c r="Y108" s="147"/>
      <c r="Z108" s="147"/>
    </row>
    <row r="109" spans="1:26" ht="15.75" customHeight="1">
      <c r="A109" s="975">
        <v>3300</v>
      </c>
      <c r="B109" s="153" t="s">
        <v>29</v>
      </c>
      <c r="C109" s="218">
        <v>1</v>
      </c>
      <c r="D109" s="153"/>
      <c r="E109" s="154">
        <v>0</v>
      </c>
      <c r="F109" s="219">
        <f t="shared" si="200"/>
        <v>0</v>
      </c>
      <c r="G109" s="975">
        <v>3300</v>
      </c>
      <c r="H109" s="153" t="s">
        <v>29</v>
      </c>
      <c r="I109" s="218">
        <v>0</v>
      </c>
      <c r="J109" s="153"/>
      <c r="K109" s="154">
        <v>0</v>
      </c>
      <c r="L109" s="219">
        <v>0</v>
      </c>
      <c r="M109" s="975">
        <v>3300</v>
      </c>
      <c r="N109" s="153" t="s">
        <v>29</v>
      </c>
      <c r="O109" s="153">
        <f>C109-I109</f>
        <v>1</v>
      </c>
      <c r="P109" s="153"/>
      <c r="Q109" s="153">
        <f>E109-K109</f>
        <v>0</v>
      </c>
      <c r="R109" s="128">
        <f>Q109/O109</f>
        <v>0</v>
      </c>
      <c r="S109" s="147"/>
      <c r="T109" s="147"/>
      <c r="U109" s="147"/>
      <c r="V109" s="147"/>
      <c r="W109" s="147"/>
      <c r="X109" s="147"/>
      <c r="Y109" s="147"/>
      <c r="Z109" s="147"/>
    </row>
    <row r="110" spans="1:26" ht="15.75" customHeight="1">
      <c r="A110" s="918"/>
      <c r="B110" s="155" t="s">
        <v>25</v>
      </c>
      <c r="C110" s="155">
        <f t="shared" ref="C110:E110" si="210">SUM(C109)</f>
        <v>1</v>
      </c>
      <c r="D110" s="155">
        <f t="shared" si="210"/>
        <v>0</v>
      </c>
      <c r="E110" s="216">
        <f t="shared" si="210"/>
        <v>0</v>
      </c>
      <c r="F110" s="217">
        <f t="shared" si="200"/>
        <v>0</v>
      </c>
      <c r="G110" s="918"/>
      <c r="H110" s="155" t="s">
        <v>25</v>
      </c>
      <c r="I110" s="155">
        <f t="shared" ref="I110:K110" si="211">SUM(I109)</f>
        <v>0</v>
      </c>
      <c r="J110" s="155">
        <f t="shared" si="211"/>
        <v>0</v>
      </c>
      <c r="K110" s="216">
        <f t="shared" si="211"/>
        <v>0</v>
      </c>
      <c r="L110" s="217">
        <v>0</v>
      </c>
      <c r="M110" s="918"/>
      <c r="N110" s="155" t="s">
        <v>25</v>
      </c>
      <c r="O110" s="155">
        <f t="shared" ref="O110:Q110" si="212">SUM(O109)</f>
        <v>1</v>
      </c>
      <c r="P110" s="155">
        <f t="shared" si="212"/>
        <v>0</v>
      </c>
      <c r="Q110" s="155">
        <f t="shared" si="212"/>
        <v>0</v>
      </c>
      <c r="R110" s="129" t="e">
        <f>Q110/P110</f>
        <v>#DIV/0!</v>
      </c>
      <c r="S110" s="147"/>
      <c r="T110" s="147"/>
      <c r="U110" s="147"/>
      <c r="V110" s="147"/>
      <c r="W110" s="147"/>
      <c r="X110" s="147"/>
      <c r="Y110" s="147"/>
      <c r="Z110" s="147"/>
    </row>
    <row r="111" spans="1:26" ht="15.75" customHeight="1">
      <c r="A111" s="975">
        <v>4200</v>
      </c>
      <c r="B111" s="153" t="s">
        <v>29</v>
      </c>
      <c r="C111" s="218">
        <v>10000</v>
      </c>
      <c r="D111" s="153"/>
      <c r="E111" s="154">
        <v>0</v>
      </c>
      <c r="F111" s="219">
        <f t="shared" si="200"/>
        <v>0</v>
      </c>
      <c r="G111" s="975">
        <v>4200</v>
      </c>
      <c r="H111" s="153" t="s">
        <v>29</v>
      </c>
      <c r="I111" s="218">
        <v>0</v>
      </c>
      <c r="J111" s="153"/>
      <c r="K111" s="154">
        <v>0</v>
      </c>
      <c r="L111" s="219">
        <v>0</v>
      </c>
      <c r="M111" s="975">
        <v>4200</v>
      </c>
      <c r="N111" s="153" t="s">
        <v>29</v>
      </c>
      <c r="O111" s="153">
        <f>C111-I111</f>
        <v>10000</v>
      </c>
      <c r="P111" s="153"/>
      <c r="Q111" s="153">
        <f>E111-K111</f>
        <v>0</v>
      </c>
      <c r="R111" s="128">
        <f>Q111/O111</f>
        <v>0</v>
      </c>
    </row>
    <row r="112" spans="1:26" ht="15.75" customHeight="1">
      <c r="A112" s="918"/>
      <c r="B112" s="155" t="s">
        <v>25</v>
      </c>
      <c r="C112" s="155">
        <f t="shared" ref="C112:E112" si="213">SUM(C111)</f>
        <v>10000</v>
      </c>
      <c r="D112" s="155">
        <f t="shared" si="213"/>
        <v>0</v>
      </c>
      <c r="E112" s="216">
        <f t="shared" si="213"/>
        <v>0</v>
      </c>
      <c r="F112" s="217">
        <f t="shared" si="200"/>
        <v>0</v>
      </c>
      <c r="G112" s="918"/>
      <c r="H112" s="155" t="s">
        <v>25</v>
      </c>
      <c r="I112" s="155">
        <f t="shared" ref="I112:K112" si="214">SUM(I111)</f>
        <v>0</v>
      </c>
      <c r="J112" s="155">
        <f t="shared" si="214"/>
        <v>0</v>
      </c>
      <c r="K112" s="216">
        <f t="shared" si="214"/>
        <v>0</v>
      </c>
      <c r="L112" s="217">
        <v>0</v>
      </c>
      <c r="M112" s="918"/>
      <c r="N112" s="155" t="s">
        <v>25</v>
      </c>
      <c r="O112" s="155">
        <f t="shared" ref="O112:Q112" si="215">SUM(O111)</f>
        <v>10000</v>
      </c>
      <c r="P112" s="155">
        <f t="shared" si="215"/>
        <v>0</v>
      </c>
      <c r="Q112" s="155">
        <f t="shared" si="215"/>
        <v>0</v>
      </c>
      <c r="R112" s="129" t="e">
        <f>Q112/P112</f>
        <v>#DIV/0!</v>
      </c>
    </row>
    <row r="113" spans="1:26" ht="15.75" customHeight="1">
      <c r="A113" s="220"/>
      <c r="B113" s="221" t="s">
        <v>120</v>
      </c>
      <c r="C113" s="222">
        <f t="shared" ref="C113:E113" si="216">C106+C108+C110+C112</f>
        <v>23646801</v>
      </c>
      <c r="D113" s="222">
        <f t="shared" si="216"/>
        <v>23636800</v>
      </c>
      <c r="E113" s="222">
        <f t="shared" si="216"/>
        <v>2961211</v>
      </c>
      <c r="F113" s="223">
        <f t="shared" si="200"/>
        <v>0.1252267061409279</v>
      </c>
      <c r="G113" s="220"/>
      <c r="H113" s="221" t="s">
        <v>120</v>
      </c>
      <c r="I113" s="222">
        <f t="shared" ref="I113:K113" si="217">I106+I108+I110+I112</f>
        <v>10121057</v>
      </c>
      <c r="J113" s="222">
        <f t="shared" si="217"/>
        <v>10121057</v>
      </c>
      <c r="K113" s="222">
        <f t="shared" si="217"/>
        <v>2886450</v>
      </c>
      <c r="L113" s="223">
        <f>K113/I113</f>
        <v>0.28519254461268223</v>
      </c>
      <c r="M113" s="220"/>
      <c r="N113" s="221" t="s">
        <v>120</v>
      </c>
      <c r="O113" s="222">
        <f t="shared" ref="O113:Q113" si="218">O106+O108+O110+O112</f>
        <v>13525744</v>
      </c>
      <c r="P113" s="222">
        <f t="shared" si="218"/>
        <v>13515743</v>
      </c>
      <c r="Q113" s="222">
        <f t="shared" si="218"/>
        <v>74761</v>
      </c>
      <c r="R113" s="223">
        <f>Q113/O113</f>
        <v>5.5273114735869613E-3</v>
      </c>
    </row>
    <row r="114" spans="1:26" ht="17.25" customHeight="1">
      <c r="A114" s="88" t="s">
        <v>23</v>
      </c>
      <c r="B114" s="195"/>
      <c r="C114" s="195"/>
      <c r="D114" s="224"/>
      <c r="E114" s="195"/>
      <c r="F114" s="225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5"/>
      <c r="S114" s="147"/>
      <c r="T114" s="147"/>
      <c r="U114" s="147"/>
      <c r="V114" s="147"/>
      <c r="W114" s="147"/>
      <c r="X114" s="147"/>
      <c r="Y114" s="147"/>
      <c r="Z114" s="147"/>
    </row>
    <row r="115" spans="1:26" ht="16.5" customHeight="1">
      <c r="A115" s="968">
        <v>3000</v>
      </c>
      <c r="B115" s="226" t="s">
        <v>23</v>
      </c>
      <c r="C115" s="227">
        <v>1093000</v>
      </c>
      <c r="D115" s="227">
        <v>1250000</v>
      </c>
      <c r="E115" s="228">
        <v>0</v>
      </c>
      <c r="F115" s="229">
        <f t="shared" ref="F115:F120" si="219">E115/C115</f>
        <v>0</v>
      </c>
      <c r="G115" s="151"/>
      <c r="H115" s="147"/>
      <c r="I115" s="147"/>
      <c r="J115" s="147"/>
      <c r="K115" s="147"/>
      <c r="L115" s="147"/>
    </row>
    <row r="116" spans="1:26" ht="15" customHeight="1">
      <c r="A116" s="950"/>
      <c r="B116" s="230" t="s">
        <v>25</v>
      </c>
      <c r="C116" s="155">
        <f t="shared" ref="C116:E116" si="220">SUM(C115)</f>
        <v>1093000</v>
      </c>
      <c r="D116" s="155">
        <f t="shared" si="220"/>
        <v>1250000</v>
      </c>
      <c r="E116" s="216">
        <f t="shared" si="220"/>
        <v>0</v>
      </c>
      <c r="F116" s="129">
        <f t="shared" si="219"/>
        <v>0</v>
      </c>
      <c r="G116" s="151"/>
      <c r="H116" s="147"/>
      <c r="I116" s="147"/>
      <c r="J116" s="147"/>
      <c r="K116" s="147"/>
      <c r="L116" s="147"/>
    </row>
    <row r="117" spans="1:26" ht="15" customHeight="1">
      <c r="A117" s="978">
        <v>5300</v>
      </c>
      <c r="B117" s="153" t="s">
        <v>23</v>
      </c>
      <c r="C117" s="153">
        <v>3160000</v>
      </c>
      <c r="D117" s="153">
        <v>7500000</v>
      </c>
      <c r="E117" s="154">
        <v>0</v>
      </c>
      <c r="F117" s="128">
        <f t="shared" si="219"/>
        <v>0</v>
      </c>
      <c r="G117" s="151"/>
      <c r="H117" s="147" t="s">
        <v>133</v>
      </c>
      <c r="I117" s="147">
        <v>5779.94</v>
      </c>
      <c r="J117" s="147"/>
      <c r="K117" s="147" t="s">
        <v>134</v>
      </c>
      <c r="L117" s="147"/>
    </row>
    <row r="118" spans="1:26" ht="16.5" customHeight="1">
      <c r="A118" s="918"/>
      <c r="B118" s="155" t="s">
        <v>25</v>
      </c>
      <c r="C118" s="155">
        <f t="shared" ref="C118:E118" si="221">SUM(C117)</f>
        <v>3160000</v>
      </c>
      <c r="D118" s="155">
        <f t="shared" si="221"/>
        <v>7500000</v>
      </c>
      <c r="E118" s="216">
        <f t="shared" si="221"/>
        <v>0</v>
      </c>
      <c r="F118" s="129">
        <f t="shared" si="219"/>
        <v>0</v>
      </c>
      <c r="G118" s="151"/>
      <c r="H118" s="147"/>
      <c r="I118" s="147"/>
      <c r="J118" s="147"/>
      <c r="K118" s="147"/>
      <c r="P118" s="157">
        <f t="shared" ref="P118:Q118" si="222">F103-L103</f>
        <v>0.12928079578026894</v>
      </c>
      <c r="Q118" s="158">
        <f t="shared" si="222"/>
        <v>0</v>
      </c>
    </row>
    <row r="119" spans="1:26" ht="17.25" customHeight="1">
      <c r="A119" s="220"/>
      <c r="B119" s="221" t="s">
        <v>121</v>
      </c>
      <c r="C119" s="222">
        <f t="shared" ref="C119:E119" si="223">C115+C118</f>
        <v>4253000</v>
      </c>
      <c r="D119" s="222">
        <f t="shared" si="223"/>
        <v>8750000</v>
      </c>
      <c r="E119" s="222">
        <f t="shared" si="223"/>
        <v>0</v>
      </c>
      <c r="F119" s="231">
        <f t="shared" si="219"/>
        <v>0</v>
      </c>
      <c r="G119" s="151"/>
      <c r="H119" s="147" t="s">
        <v>135</v>
      </c>
      <c r="I119" s="147">
        <f>4951.28+2544.68-1716.02</f>
        <v>5779.9399999999987</v>
      </c>
      <c r="J119" s="147"/>
      <c r="K119" s="147" t="s">
        <v>136</v>
      </c>
    </row>
    <row r="120" spans="1:26" ht="18.75" customHeight="1">
      <c r="A120" s="232" t="s">
        <v>104</v>
      </c>
      <c r="B120" s="233"/>
      <c r="C120" s="233">
        <f t="shared" ref="C120:E120" si="224">C103+C113+C119</f>
        <v>61192046</v>
      </c>
      <c r="D120" s="233">
        <f t="shared" si="224"/>
        <v>62139068</v>
      </c>
      <c r="E120" s="233">
        <f t="shared" si="224"/>
        <v>9702587</v>
      </c>
      <c r="F120" s="234">
        <f t="shared" si="219"/>
        <v>0.15855961083569586</v>
      </c>
      <c r="G120" s="151"/>
      <c r="H120" s="147"/>
      <c r="I120" s="147"/>
      <c r="J120" s="147"/>
      <c r="K120" s="147" t="s">
        <v>137</v>
      </c>
    </row>
    <row r="121" spans="1:26" ht="15.75" customHeight="1">
      <c r="A121" s="235"/>
      <c r="B121" s="236"/>
      <c r="C121" s="236"/>
      <c r="D121" s="236"/>
      <c r="E121" s="236"/>
      <c r="F121" s="237"/>
      <c r="G121" s="151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</row>
    <row r="122" spans="1:26" ht="15.75" customHeight="1">
      <c r="A122" s="172"/>
      <c r="B122" s="238"/>
      <c r="C122" s="238"/>
      <c r="D122" s="238"/>
      <c r="E122" s="238"/>
      <c r="F122" s="239"/>
      <c r="G122" s="151"/>
      <c r="H122" s="147"/>
      <c r="I122" s="147"/>
      <c r="J122" s="147"/>
      <c r="K122" s="147"/>
    </row>
    <row r="123" spans="1:26" ht="15.75" customHeight="1">
      <c r="A123" s="968" t="s">
        <v>122</v>
      </c>
      <c r="B123" s="972" t="s">
        <v>7</v>
      </c>
      <c r="C123" s="90" t="s">
        <v>105</v>
      </c>
      <c r="D123" s="166" t="s">
        <v>106</v>
      </c>
      <c r="E123" s="90" t="s">
        <v>116</v>
      </c>
      <c r="F123" s="167" t="s">
        <v>108</v>
      </c>
    </row>
    <row r="124" spans="1:26" ht="15.75" customHeight="1">
      <c r="A124" s="950"/>
      <c r="B124" s="953"/>
      <c r="C124" s="168" t="s">
        <v>19</v>
      </c>
      <c r="D124" s="169" t="s">
        <v>19</v>
      </c>
      <c r="E124" s="168" t="s">
        <v>19</v>
      </c>
      <c r="F124" s="170"/>
      <c r="G124" s="147"/>
    </row>
    <row r="125" spans="1:26" ht="15.75" customHeight="1">
      <c r="A125" s="172" t="s">
        <v>109</v>
      </c>
      <c r="B125" s="173" t="s">
        <v>21</v>
      </c>
      <c r="C125" s="174">
        <v>9819593</v>
      </c>
      <c r="D125" s="175">
        <f>ROUND(C125*75%,0)</f>
        <v>7364695</v>
      </c>
      <c r="E125" s="174">
        <v>558108</v>
      </c>
      <c r="F125" s="98">
        <f t="shared" ref="F125:F128" si="225">E125/C125</f>
        <v>5.6836164187252972E-2</v>
      </c>
    </row>
    <row r="126" spans="1:26" ht="15.75" customHeight="1">
      <c r="A126" s="176" t="s">
        <v>110</v>
      </c>
      <c r="B126" s="177" t="s">
        <v>21</v>
      </c>
      <c r="C126" s="178">
        <v>6871037</v>
      </c>
      <c r="D126" s="179">
        <v>6830990</v>
      </c>
      <c r="E126" s="178">
        <v>1324471</v>
      </c>
      <c r="F126" s="98">
        <f t="shared" si="225"/>
        <v>0.19276144197739001</v>
      </c>
    </row>
    <row r="127" spans="1:26" ht="15.75" customHeight="1">
      <c r="A127" s="181" t="s">
        <v>111</v>
      </c>
      <c r="B127" s="182" t="s">
        <v>21</v>
      </c>
      <c r="C127" s="183">
        <v>20000</v>
      </c>
      <c r="D127" s="184">
        <v>20000</v>
      </c>
      <c r="E127" s="183">
        <v>9508</v>
      </c>
      <c r="F127" s="98">
        <f t="shared" si="225"/>
        <v>0.47539999999999999</v>
      </c>
      <c r="L127" s="240"/>
      <c r="M127" s="147"/>
      <c r="N127" s="147"/>
      <c r="O127" s="147"/>
    </row>
    <row r="128" spans="1:26" ht="15.75" customHeight="1">
      <c r="A128" s="185"/>
      <c r="B128" s="186" t="s">
        <v>25</v>
      </c>
      <c r="C128" s="187">
        <f t="shared" ref="C128:E128" si="226">SUM(C125:C127)</f>
        <v>16710630</v>
      </c>
      <c r="D128" s="188">
        <f t="shared" si="226"/>
        <v>14215685</v>
      </c>
      <c r="E128" s="187">
        <f t="shared" si="226"/>
        <v>1892087</v>
      </c>
      <c r="F128" s="98">
        <f t="shared" si="225"/>
        <v>0.11322655100376228</v>
      </c>
      <c r="L128" s="240"/>
      <c r="M128" s="147"/>
      <c r="N128" s="147"/>
      <c r="O128" s="147"/>
    </row>
    <row r="129" spans="1:15" ht="15.75" customHeight="1">
      <c r="A129" s="189" t="s">
        <v>79</v>
      </c>
      <c r="B129" s="147"/>
      <c r="C129" s="147"/>
      <c r="D129" s="147"/>
      <c r="E129" s="147"/>
      <c r="F129" s="98"/>
      <c r="L129" s="240"/>
      <c r="M129" s="147"/>
      <c r="N129" s="147"/>
      <c r="O129" s="147"/>
    </row>
    <row r="130" spans="1:15" ht="15.75" customHeight="1">
      <c r="A130" s="190" t="s">
        <v>109</v>
      </c>
      <c r="B130" s="173" t="s">
        <v>21</v>
      </c>
      <c r="C130" s="174">
        <v>9905586</v>
      </c>
      <c r="D130" s="174">
        <f>ROUND(C130*75%,0)</f>
        <v>7429190</v>
      </c>
      <c r="E130" s="174">
        <v>791724</v>
      </c>
      <c r="F130" s="98">
        <f t="shared" ref="F130:F134" si="227">E130/C130</f>
        <v>7.992702299490409E-2</v>
      </c>
      <c r="L130" s="240"/>
      <c r="M130" s="147"/>
      <c r="N130" s="147"/>
      <c r="O130" s="147"/>
    </row>
    <row r="131" spans="1:15" ht="15.75" customHeight="1">
      <c r="A131" s="176" t="s">
        <v>110</v>
      </c>
      <c r="B131" s="177" t="s">
        <v>21</v>
      </c>
      <c r="C131" s="178">
        <v>6941037</v>
      </c>
      <c r="D131" s="178">
        <v>6800513</v>
      </c>
      <c r="E131" s="178">
        <v>1134260</v>
      </c>
      <c r="F131" s="98">
        <f t="shared" si="227"/>
        <v>0.1634136224889739</v>
      </c>
      <c r="L131" s="240"/>
      <c r="M131" s="147"/>
      <c r="N131" s="147"/>
      <c r="O131" s="147"/>
    </row>
    <row r="132" spans="1:15" ht="15.75" customHeight="1">
      <c r="A132" s="181" t="s">
        <v>111</v>
      </c>
      <c r="B132" s="182" t="s">
        <v>21</v>
      </c>
      <c r="C132" s="183">
        <v>20000</v>
      </c>
      <c r="D132" s="183">
        <v>20000</v>
      </c>
      <c r="E132" s="183">
        <v>0</v>
      </c>
      <c r="F132" s="98">
        <f t="shared" si="227"/>
        <v>0</v>
      </c>
      <c r="L132" s="241"/>
      <c r="M132" s="147"/>
      <c r="N132" s="147"/>
      <c r="O132" s="147"/>
    </row>
    <row r="133" spans="1:15" ht="15.75" customHeight="1">
      <c r="A133" s="185"/>
      <c r="B133" s="191" t="s">
        <v>25</v>
      </c>
      <c r="C133" s="192">
        <f t="shared" ref="C133:E133" si="228">SUM(C130:C132)</f>
        <v>16866623</v>
      </c>
      <c r="D133" s="192">
        <f t="shared" si="228"/>
        <v>14249703</v>
      </c>
      <c r="E133" s="192">
        <f t="shared" si="228"/>
        <v>1925984</v>
      </c>
      <c r="F133" s="98">
        <f t="shared" si="227"/>
        <v>0.11418907033138762</v>
      </c>
      <c r="L133" s="241"/>
      <c r="M133" s="147"/>
      <c r="N133" s="147"/>
      <c r="O133" s="147"/>
    </row>
    <row r="134" spans="1:15" ht="15.75" customHeight="1">
      <c r="A134" s="193"/>
      <c r="B134" s="194" t="s">
        <v>83</v>
      </c>
      <c r="C134" s="195">
        <f t="shared" ref="C134:E134" si="229">C128-C133</f>
        <v>-155993</v>
      </c>
      <c r="D134" s="195">
        <f t="shared" si="229"/>
        <v>-34018</v>
      </c>
      <c r="E134" s="195">
        <f t="shared" si="229"/>
        <v>-33897</v>
      </c>
      <c r="F134" s="98">
        <f t="shared" si="227"/>
        <v>0.21729821209926087</v>
      </c>
      <c r="L134" s="240"/>
      <c r="M134" s="199"/>
      <c r="N134" s="199"/>
      <c r="O134" s="147"/>
    </row>
    <row r="135" spans="1:15" ht="15.75" customHeight="1">
      <c r="A135" s="242"/>
      <c r="B135" s="243"/>
      <c r="C135" s="243"/>
      <c r="D135" s="243"/>
      <c r="E135" s="243"/>
      <c r="F135" s="244"/>
    </row>
    <row r="136" spans="1:15" ht="15.75" customHeight="1">
      <c r="A136" s="185" t="s">
        <v>118</v>
      </c>
      <c r="B136" s="197" t="s">
        <v>28</v>
      </c>
      <c r="C136" s="187">
        <v>0</v>
      </c>
      <c r="D136" s="198">
        <f t="shared" ref="D136:D137" si="230">ROUND(C136*75%,0)</f>
        <v>0</v>
      </c>
      <c r="E136" s="187">
        <v>27252</v>
      </c>
      <c r="F136" s="98" t="e">
        <f t="shared" ref="F136:F137" si="231">E136/C136</f>
        <v>#DIV/0!</v>
      </c>
    </row>
    <row r="137" spans="1:15" ht="15.75" customHeight="1">
      <c r="A137" s="185" t="s">
        <v>112</v>
      </c>
      <c r="B137" s="197" t="s">
        <v>32</v>
      </c>
      <c r="C137" s="187">
        <v>293605</v>
      </c>
      <c r="D137" s="198">
        <f t="shared" si="230"/>
        <v>220204</v>
      </c>
      <c r="E137" s="187">
        <f>178331+4500</f>
        <v>182831</v>
      </c>
      <c r="F137" s="163">
        <f t="shared" si="231"/>
        <v>0.6227107848980773</v>
      </c>
    </row>
    <row r="138" spans="1:15" ht="15.75" customHeight="1">
      <c r="A138" s="245"/>
      <c r="B138" s="199"/>
      <c r="C138" s="199"/>
      <c r="D138" s="246"/>
      <c r="E138" s="199"/>
      <c r="F138" s="247"/>
    </row>
    <row r="139" spans="1:15" ht="15.75" customHeight="1">
      <c r="A139" s="976"/>
      <c r="B139" s="977"/>
      <c r="C139" s="199"/>
      <c r="D139" s="199"/>
      <c r="E139" s="199"/>
      <c r="F139" s="247"/>
    </row>
    <row r="140" spans="1:15" ht="15.75" customHeight="1">
      <c r="A140" s="976"/>
      <c r="B140" s="977"/>
      <c r="C140" s="199"/>
      <c r="D140" s="199"/>
      <c r="E140" s="199"/>
      <c r="F140" s="247"/>
    </row>
    <row r="141" spans="1:15" ht="15.75" customHeight="1">
      <c r="A141" s="248"/>
      <c r="B141" s="248"/>
      <c r="C141" s="199"/>
      <c r="D141" s="199"/>
      <c r="E141" s="199"/>
      <c r="F141" s="247"/>
    </row>
    <row r="142" spans="1:15" ht="15.75" customHeight="1"/>
    <row r="143" spans="1:15" ht="15.75" customHeight="1"/>
    <row r="144" spans="1:1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3">
    <mergeCell ref="G111:G112"/>
    <mergeCell ref="G69:G73"/>
    <mergeCell ref="G75:G78"/>
    <mergeCell ref="G80:G84"/>
    <mergeCell ref="G86:G90"/>
    <mergeCell ref="G92:G95"/>
    <mergeCell ref="G97:G103"/>
    <mergeCell ref="G105:G106"/>
    <mergeCell ref="G48:G51"/>
    <mergeCell ref="G53:G55"/>
    <mergeCell ref="G57:G61"/>
    <mergeCell ref="G63:G67"/>
    <mergeCell ref="G96:L96"/>
    <mergeCell ref="A85:F85"/>
    <mergeCell ref="A91:F91"/>
    <mergeCell ref="A96:F96"/>
    <mergeCell ref="G107:G108"/>
    <mergeCell ref="G109:G110"/>
    <mergeCell ref="G28:G32"/>
    <mergeCell ref="G34:G35"/>
    <mergeCell ref="A28:A32"/>
    <mergeCell ref="A33:F33"/>
    <mergeCell ref="A34:A35"/>
    <mergeCell ref="A36:F36"/>
    <mergeCell ref="A37:A39"/>
    <mergeCell ref="A40:F40"/>
    <mergeCell ref="A44:F44"/>
    <mergeCell ref="G37:G39"/>
    <mergeCell ref="G41:G43"/>
    <mergeCell ref="A48:A51"/>
    <mergeCell ref="A53:A55"/>
    <mergeCell ref="A57:A61"/>
    <mergeCell ref="A63:A67"/>
    <mergeCell ref="A69:A73"/>
    <mergeCell ref="A47:F47"/>
    <mergeCell ref="A52:F52"/>
    <mergeCell ref="A56:F56"/>
    <mergeCell ref="A140:B140"/>
    <mergeCell ref="A75:A78"/>
    <mergeCell ref="A80:A84"/>
    <mergeCell ref="A86:A90"/>
    <mergeCell ref="A92:A95"/>
    <mergeCell ref="A97:A103"/>
    <mergeCell ref="A105:A106"/>
    <mergeCell ref="A107:A108"/>
    <mergeCell ref="A6:A9"/>
    <mergeCell ref="A10:F10"/>
    <mergeCell ref="A11:A12"/>
    <mergeCell ref="A13:F13"/>
    <mergeCell ref="A14:A15"/>
    <mergeCell ref="A16:F16"/>
    <mergeCell ref="A22:F22"/>
    <mergeCell ref="A74:F74"/>
    <mergeCell ref="A79:F79"/>
    <mergeCell ref="A109:A110"/>
    <mergeCell ref="A111:A112"/>
    <mergeCell ref="A115:A116"/>
    <mergeCell ref="A117:A118"/>
    <mergeCell ref="A123:A124"/>
    <mergeCell ref="B123:B124"/>
    <mergeCell ref="A139:B139"/>
    <mergeCell ref="A62:F62"/>
    <mergeCell ref="A68:F68"/>
    <mergeCell ref="G33:L33"/>
    <mergeCell ref="G36:L36"/>
    <mergeCell ref="G40:L40"/>
    <mergeCell ref="G44:L44"/>
    <mergeCell ref="M44:R44"/>
    <mergeCell ref="G47:L47"/>
    <mergeCell ref="M47:R47"/>
    <mergeCell ref="A41:A43"/>
    <mergeCell ref="A45:A46"/>
    <mergeCell ref="G45:G46"/>
    <mergeCell ref="M41:M43"/>
    <mergeCell ref="M45:M46"/>
    <mergeCell ref="M48:M51"/>
    <mergeCell ref="M10:R10"/>
    <mergeCell ref="M11:M12"/>
    <mergeCell ref="M13:R13"/>
    <mergeCell ref="M14:M15"/>
    <mergeCell ref="M16:R16"/>
    <mergeCell ref="A17:A21"/>
    <mergeCell ref="A23:A26"/>
    <mergeCell ref="A27:F27"/>
    <mergeCell ref="G10:L10"/>
    <mergeCell ref="G13:L13"/>
    <mergeCell ref="G16:L16"/>
    <mergeCell ref="G22:L22"/>
    <mergeCell ref="G23:G26"/>
    <mergeCell ref="M23:M26"/>
    <mergeCell ref="G27:L27"/>
    <mergeCell ref="G11:G12"/>
    <mergeCell ref="G14:G15"/>
    <mergeCell ref="G17:G21"/>
    <mergeCell ref="M17:M21"/>
    <mergeCell ref="M22:R22"/>
    <mergeCell ref="M27:R27"/>
    <mergeCell ref="G91:L91"/>
    <mergeCell ref="M91:R91"/>
    <mergeCell ref="M53:M55"/>
    <mergeCell ref="M57:M61"/>
    <mergeCell ref="G3:L3"/>
    <mergeCell ref="M3:R3"/>
    <mergeCell ref="A1:F1"/>
    <mergeCell ref="G1:L1"/>
    <mergeCell ref="M1:R1"/>
    <mergeCell ref="A2:F2"/>
    <mergeCell ref="G2:L2"/>
    <mergeCell ref="M2:R2"/>
    <mergeCell ref="A3:F3"/>
    <mergeCell ref="A4:A5"/>
    <mergeCell ref="B4:B5"/>
    <mergeCell ref="F4:F5"/>
    <mergeCell ref="H4:H5"/>
    <mergeCell ref="L4:L5"/>
    <mergeCell ref="M4:M5"/>
    <mergeCell ref="M6:M9"/>
    <mergeCell ref="N4:N5"/>
    <mergeCell ref="R4:R5"/>
    <mergeCell ref="G4:G5"/>
    <mergeCell ref="G6:G9"/>
    <mergeCell ref="G68:L68"/>
    <mergeCell ref="G74:L74"/>
    <mergeCell ref="M74:R74"/>
    <mergeCell ref="G79:L79"/>
    <mergeCell ref="M79:R79"/>
    <mergeCell ref="G85:L85"/>
    <mergeCell ref="M85:R85"/>
    <mergeCell ref="G52:L52"/>
    <mergeCell ref="M52:R52"/>
    <mergeCell ref="G56:L56"/>
    <mergeCell ref="M56:R56"/>
    <mergeCell ref="G62:L62"/>
    <mergeCell ref="M62:R62"/>
    <mergeCell ref="M68:R68"/>
    <mergeCell ref="M111:M112"/>
    <mergeCell ref="M63:M67"/>
    <mergeCell ref="M69:M73"/>
    <mergeCell ref="M75:M78"/>
    <mergeCell ref="M80:M84"/>
    <mergeCell ref="M86:M90"/>
    <mergeCell ref="M92:M95"/>
    <mergeCell ref="M97:M103"/>
    <mergeCell ref="M96:R96"/>
    <mergeCell ref="M28:M32"/>
    <mergeCell ref="M33:R33"/>
    <mergeCell ref="M34:M35"/>
    <mergeCell ref="M36:R36"/>
    <mergeCell ref="M37:M39"/>
    <mergeCell ref="M40:R40"/>
    <mergeCell ref="M105:M106"/>
    <mergeCell ref="M107:M108"/>
    <mergeCell ref="M109:M110"/>
  </mergeCells>
  <pageMargins left="0.99" right="0.7" top="0.42" bottom="0.37" header="0" footer="0"/>
  <pageSetup orientation="portrait"/>
  <rowBreaks count="4" manualBreakCount="4">
    <brk id="84" man="1"/>
    <brk id="120" man="1"/>
    <brk id="121" man="1"/>
    <brk id="43" man="1"/>
  </rowBreaks>
  <colBreaks count="2" manualBreakCount="2">
    <brk id="6" man="1"/>
    <brk id="12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Z1000"/>
  <sheetViews>
    <sheetView workbookViewId="0">
      <selection sqref="A1:F1"/>
    </sheetView>
  </sheetViews>
  <sheetFormatPr defaultColWidth="12.625" defaultRowHeight="15" customHeight="1"/>
  <cols>
    <col min="1" max="1" width="22.625" customWidth="1"/>
    <col min="2" max="2" width="17.25" customWidth="1"/>
    <col min="3" max="3" width="15.625" customWidth="1"/>
    <col min="4" max="4" width="1.75" hidden="1" customWidth="1"/>
    <col min="5" max="5" width="16.75" customWidth="1"/>
    <col min="6" max="6" width="14.625" customWidth="1"/>
    <col min="7" max="7" width="23.125" customWidth="1"/>
    <col min="8" max="8" width="17" customWidth="1"/>
    <col min="9" max="9" width="15.625" customWidth="1"/>
    <col min="10" max="10" width="13.375" hidden="1" customWidth="1"/>
    <col min="11" max="11" width="18.5" customWidth="1"/>
    <col min="12" max="12" width="17" customWidth="1"/>
    <col min="13" max="13" width="25.125" customWidth="1"/>
    <col min="14" max="14" width="15.5" customWidth="1"/>
    <col min="15" max="15" width="16.625" customWidth="1"/>
    <col min="16" max="16" width="0.25" hidden="1" customWidth="1"/>
    <col min="17" max="17" width="18.375" customWidth="1"/>
    <col min="18" max="18" width="14.625" customWidth="1"/>
    <col min="19" max="26" width="7.875" customWidth="1"/>
  </cols>
  <sheetData>
    <row r="1" spans="1:18" ht="21" customHeight="1">
      <c r="A1" s="979" t="s">
        <v>88</v>
      </c>
      <c r="B1" s="977"/>
      <c r="C1" s="977"/>
      <c r="D1" s="977"/>
      <c r="E1" s="977"/>
      <c r="F1" s="977"/>
      <c r="G1" s="979" t="str">
        <f>A1</f>
        <v xml:space="preserve">Capex review on OBG 2021-22 </v>
      </c>
      <c r="H1" s="977"/>
      <c r="I1" s="977"/>
      <c r="J1" s="977"/>
      <c r="K1" s="977"/>
      <c r="L1" s="977"/>
      <c r="M1" s="980" t="str">
        <f>G1</f>
        <v xml:space="preserve">Capex review on OBG 2021-22 </v>
      </c>
      <c r="N1" s="977"/>
      <c r="O1" s="977"/>
      <c r="P1" s="977"/>
      <c r="Q1" s="977"/>
      <c r="R1" s="977"/>
    </row>
    <row r="2" spans="1:18" ht="16.5" customHeight="1">
      <c r="A2" s="981" t="s">
        <v>138</v>
      </c>
      <c r="B2" s="928"/>
      <c r="C2" s="928"/>
      <c r="D2" s="928"/>
      <c r="E2" s="928"/>
      <c r="F2" s="955"/>
      <c r="G2" s="981" t="s">
        <v>139</v>
      </c>
      <c r="H2" s="928"/>
      <c r="I2" s="928"/>
      <c r="J2" s="928"/>
      <c r="K2" s="928"/>
      <c r="L2" s="955"/>
      <c r="M2" s="981" t="s">
        <v>140</v>
      </c>
      <c r="N2" s="928"/>
      <c r="O2" s="928"/>
      <c r="P2" s="928"/>
      <c r="Q2" s="928"/>
      <c r="R2" s="955"/>
    </row>
    <row r="3" spans="1:18" ht="48" customHeight="1">
      <c r="A3" s="968" t="s">
        <v>126</v>
      </c>
      <c r="B3" s="968" t="s">
        <v>7</v>
      </c>
      <c r="C3" s="89" t="s">
        <v>92</v>
      </c>
      <c r="D3" s="89" t="s">
        <v>93</v>
      </c>
      <c r="E3" s="90" t="s">
        <v>141</v>
      </c>
      <c r="F3" s="969" t="s">
        <v>128</v>
      </c>
      <c r="G3" s="968" t="s">
        <v>129</v>
      </c>
      <c r="H3" s="968" t="s">
        <v>7</v>
      </c>
      <c r="I3" s="89" t="str">
        <f t="shared" ref="I3:K3" si="0">C3</f>
        <v xml:space="preserve">OBG 2021-22 </v>
      </c>
      <c r="J3" s="89" t="str">
        <f t="shared" si="0"/>
        <v>Spending Limit 2021-22 ( S L)</v>
      </c>
      <c r="K3" s="91" t="str">
        <f t="shared" si="0"/>
        <v>Actual Exp. up to Aug-2021</v>
      </c>
      <c r="L3" s="969" t="s">
        <v>128</v>
      </c>
      <c r="M3" s="968" t="s">
        <v>130</v>
      </c>
      <c r="N3" s="968" t="s">
        <v>7</v>
      </c>
      <c r="O3" s="89" t="str">
        <f t="shared" ref="O3:Q3" si="1">C3</f>
        <v xml:space="preserve">OBG 2021-22 </v>
      </c>
      <c r="P3" s="89" t="str">
        <f t="shared" si="1"/>
        <v>Spending Limit 2021-22 ( S L)</v>
      </c>
      <c r="Q3" s="91" t="str">
        <f t="shared" si="1"/>
        <v>Actual Exp. up to Aug-2021</v>
      </c>
      <c r="R3" s="969" t="s">
        <v>128</v>
      </c>
    </row>
    <row r="4" spans="1:18" ht="16.5" customHeight="1">
      <c r="A4" s="949"/>
      <c r="B4" s="949"/>
      <c r="C4" s="92" t="s">
        <v>19</v>
      </c>
      <c r="D4" s="92" t="s">
        <v>19</v>
      </c>
      <c r="E4" s="93" t="s">
        <v>19</v>
      </c>
      <c r="F4" s="934"/>
      <c r="G4" s="949"/>
      <c r="H4" s="949"/>
      <c r="I4" s="94" t="s">
        <v>19</v>
      </c>
      <c r="J4" s="92" t="s">
        <v>19</v>
      </c>
      <c r="K4" s="93" t="s">
        <v>19</v>
      </c>
      <c r="L4" s="958"/>
      <c r="M4" s="949"/>
      <c r="N4" s="949"/>
      <c r="O4" s="92" t="s">
        <v>19</v>
      </c>
      <c r="P4" s="92" t="s">
        <v>19</v>
      </c>
      <c r="Q4" s="93" t="s">
        <v>19</v>
      </c>
      <c r="R4" s="958"/>
    </row>
    <row r="5" spans="1:18" ht="15.75" customHeight="1">
      <c r="A5" s="951" t="s">
        <v>97</v>
      </c>
      <c r="B5" s="95" t="s">
        <v>21</v>
      </c>
      <c r="C5" s="96">
        <v>10001</v>
      </c>
      <c r="D5" s="95">
        <f t="shared" ref="D5:D6" si="2">C5</f>
        <v>10001</v>
      </c>
      <c r="E5" s="97">
        <v>860</v>
      </c>
      <c r="F5" s="98">
        <f>E5/C5</f>
        <v>8.5991400859914011E-2</v>
      </c>
      <c r="G5" s="951" t="s">
        <v>97</v>
      </c>
      <c r="H5" s="95" t="s">
        <v>21</v>
      </c>
      <c r="I5" s="96">
        <v>10001</v>
      </c>
      <c r="J5" s="95">
        <f t="shared" ref="J5:J6" si="3">I5</f>
        <v>10001</v>
      </c>
      <c r="K5" s="97">
        <v>860</v>
      </c>
      <c r="L5" s="98">
        <f>K5/I5</f>
        <v>8.5991400859914011E-2</v>
      </c>
      <c r="M5" s="951" t="s">
        <v>97</v>
      </c>
      <c r="N5" s="99" t="s">
        <v>21</v>
      </c>
      <c r="O5" s="95">
        <f t="shared" ref="O5:Q5" si="4">C5-I5</f>
        <v>0</v>
      </c>
      <c r="P5" s="95">
        <f t="shared" si="4"/>
        <v>0</v>
      </c>
      <c r="Q5" s="100">
        <f t="shared" si="4"/>
        <v>0</v>
      </c>
      <c r="R5" s="101"/>
    </row>
    <row r="6" spans="1:18">
      <c r="A6" s="952"/>
      <c r="B6" s="102" t="s">
        <v>22</v>
      </c>
      <c r="C6" s="103">
        <v>0</v>
      </c>
      <c r="D6" s="102">
        <f t="shared" si="2"/>
        <v>0</v>
      </c>
      <c r="E6" s="104">
        <v>0</v>
      </c>
      <c r="F6" s="105">
        <v>0</v>
      </c>
      <c r="G6" s="952"/>
      <c r="H6" s="102" t="s">
        <v>22</v>
      </c>
      <c r="I6" s="103">
        <v>0</v>
      </c>
      <c r="J6" s="102">
        <f t="shared" si="3"/>
        <v>0</v>
      </c>
      <c r="K6" s="104">
        <v>0</v>
      </c>
      <c r="L6" s="105">
        <v>0</v>
      </c>
      <c r="M6" s="952"/>
      <c r="N6" s="106" t="s">
        <v>22</v>
      </c>
      <c r="O6" s="102">
        <f t="shared" ref="O6:Q6" si="5">C6-I6</f>
        <v>0</v>
      </c>
      <c r="P6" s="102">
        <f t="shared" si="5"/>
        <v>0</v>
      </c>
      <c r="Q6" s="107">
        <f t="shared" si="5"/>
        <v>0</v>
      </c>
      <c r="R6" s="101"/>
    </row>
    <row r="7" spans="1:18">
      <c r="A7" s="952"/>
      <c r="B7" s="102" t="s">
        <v>40</v>
      </c>
      <c r="C7" s="108">
        <v>2</v>
      </c>
      <c r="D7" s="109"/>
      <c r="E7" s="110">
        <v>469</v>
      </c>
      <c r="F7" s="105">
        <f t="shared" ref="F7:F8" si="6">E7/C7</f>
        <v>234.5</v>
      </c>
      <c r="G7" s="952"/>
      <c r="H7" s="102" t="s">
        <v>40</v>
      </c>
      <c r="I7" s="108">
        <v>2</v>
      </c>
      <c r="J7" s="109"/>
      <c r="K7" s="110">
        <v>469</v>
      </c>
      <c r="L7" s="105">
        <f t="shared" ref="L7:L8" si="7">K7/I7</f>
        <v>234.5</v>
      </c>
      <c r="M7" s="952"/>
      <c r="N7" s="102" t="s">
        <v>40</v>
      </c>
      <c r="O7" s="102">
        <f t="shared" ref="O7:Q7" si="8">C7-I7</f>
        <v>0</v>
      </c>
      <c r="P7" s="102">
        <f t="shared" si="8"/>
        <v>0</v>
      </c>
      <c r="Q7" s="107">
        <f t="shared" si="8"/>
        <v>0</v>
      </c>
      <c r="R7" s="101"/>
    </row>
    <row r="8" spans="1:18" ht="15.75">
      <c r="A8" s="953"/>
      <c r="B8" s="113" t="s">
        <v>25</v>
      </c>
      <c r="C8" s="114">
        <f t="shared" ref="C8:E8" si="9">SUM(C5:C7)</f>
        <v>10003</v>
      </c>
      <c r="D8" s="115">
        <f t="shared" si="9"/>
        <v>10001</v>
      </c>
      <c r="E8" s="115">
        <f t="shared" si="9"/>
        <v>1329</v>
      </c>
      <c r="F8" s="116">
        <f t="shared" si="6"/>
        <v>0.13286014195741278</v>
      </c>
      <c r="G8" s="953"/>
      <c r="H8" s="113" t="s">
        <v>25</v>
      </c>
      <c r="I8" s="114">
        <f t="shared" ref="I8:K8" si="10">SUM(I5:I7)</f>
        <v>10003</v>
      </c>
      <c r="J8" s="115">
        <f t="shared" si="10"/>
        <v>10001</v>
      </c>
      <c r="K8" s="115">
        <f t="shared" si="10"/>
        <v>1329</v>
      </c>
      <c r="L8" s="116">
        <f t="shared" si="7"/>
        <v>0.13286014195741278</v>
      </c>
      <c r="M8" s="953"/>
      <c r="N8" s="117" t="s">
        <v>25</v>
      </c>
      <c r="O8" s="118">
        <f t="shared" ref="O8:Q8" si="11">SUM(O5:O6)</f>
        <v>0</v>
      </c>
      <c r="P8" s="118">
        <f t="shared" si="11"/>
        <v>0</v>
      </c>
      <c r="Q8" s="118">
        <f t="shared" si="11"/>
        <v>0</v>
      </c>
      <c r="R8" s="101"/>
    </row>
    <row r="9" spans="1:18" ht="15.75">
      <c r="A9" s="954"/>
      <c r="B9" s="928"/>
      <c r="C9" s="928"/>
      <c r="D9" s="928"/>
      <c r="E9" s="928"/>
      <c r="F9" s="955"/>
      <c r="G9" s="954"/>
      <c r="H9" s="928"/>
      <c r="I9" s="928"/>
      <c r="J9" s="928"/>
      <c r="K9" s="928"/>
      <c r="L9" s="955"/>
      <c r="M9" s="954"/>
      <c r="N9" s="928"/>
      <c r="O9" s="928"/>
      <c r="P9" s="928"/>
      <c r="Q9" s="928"/>
      <c r="R9" s="955"/>
    </row>
    <row r="10" spans="1:18" ht="15.75" customHeight="1">
      <c r="A10" s="951" t="s">
        <v>26</v>
      </c>
      <c r="B10" s="119" t="s">
        <v>21</v>
      </c>
      <c r="C10" s="119">
        <f>260001+1550000</f>
        <v>1810001</v>
      </c>
      <c r="D10" s="119">
        <f>C10</f>
        <v>1810001</v>
      </c>
      <c r="E10" s="120">
        <v>423706</v>
      </c>
      <c r="F10" s="98">
        <f t="shared" ref="F10:F11" si="12">E10/C10</f>
        <v>0.23409158337481581</v>
      </c>
      <c r="G10" s="951" t="s">
        <v>26</v>
      </c>
      <c r="H10" s="119" t="s">
        <v>21</v>
      </c>
      <c r="I10" s="119">
        <v>1810001</v>
      </c>
      <c r="J10" s="119">
        <f>I10</f>
        <v>1810001</v>
      </c>
      <c r="K10" s="120">
        <v>423706</v>
      </c>
      <c r="L10" s="98">
        <f t="shared" ref="L10:L11" si="13">K10/I10</f>
        <v>0.23409158337481581</v>
      </c>
      <c r="M10" s="951" t="s">
        <v>26</v>
      </c>
      <c r="N10" s="119" t="s">
        <v>21</v>
      </c>
      <c r="O10" s="102">
        <f t="shared" ref="O10:Q10" si="14">C10-I10</f>
        <v>0</v>
      </c>
      <c r="P10" s="102">
        <f t="shared" si="14"/>
        <v>0</v>
      </c>
      <c r="Q10" s="107">
        <f t="shared" si="14"/>
        <v>0</v>
      </c>
      <c r="R10" s="105"/>
    </row>
    <row r="11" spans="1:18" ht="15.75">
      <c r="A11" s="953"/>
      <c r="B11" s="118" t="s">
        <v>25</v>
      </c>
      <c r="C11" s="118">
        <f t="shared" ref="C11:E11" si="15">SUM(C10)</f>
        <v>1810001</v>
      </c>
      <c r="D11" s="118">
        <f t="shared" si="15"/>
        <v>1810001</v>
      </c>
      <c r="E11" s="121">
        <f t="shared" si="15"/>
        <v>423706</v>
      </c>
      <c r="F11" s="116">
        <f t="shared" si="12"/>
        <v>0.23409158337481581</v>
      </c>
      <c r="G11" s="953"/>
      <c r="H11" s="118" t="s">
        <v>25</v>
      </c>
      <c r="I11" s="118">
        <f t="shared" ref="I11:K11" si="16">SUM(I10)</f>
        <v>1810001</v>
      </c>
      <c r="J11" s="118">
        <f t="shared" si="16"/>
        <v>1810001</v>
      </c>
      <c r="K11" s="121">
        <f t="shared" si="16"/>
        <v>423706</v>
      </c>
      <c r="L11" s="116">
        <f t="shared" si="13"/>
        <v>0.23409158337481581</v>
      </c>
      <c r="M11" s="953"/>
      <c r="N11" s="118" t="s">
        <v>25</v>
      </c>
      <c r="O11" s="118">
        <f t="shared" ref="O11:Q11" si="17">SUM(O10)</f>
        <v>0</v>
      </c>
      <c r="P11" s="118">
        <f t="shared" si="17"/>
        <v>0</v>
      </c>
      <c r="Q11" s="118">
        <f t="shared" si="17"/>
        <v>0</v>
      </c>
      <c r="R11" s="105"/>
    </row>
    <row r="12" spans="1:18" ht="15.75">
      <c r="A12" s="954"/>
      <c r="B12" s="928"/>
      <c r="C12" s="928"/>
      <c r="D12" s="928"/>
      <c r="E12" s="928"/>
      <c r="F12" s="955"/>
      <c r="G12" s="954"/>
      <c r="H12" s="928"/>
      <c r="I12" s="928"/>
      <c r="J12" s="928"/>
      <c r="K12" s="928"/>
      <c r="L12" s="955"/>
      <c r="M12" s="954"/>
      <c r="N12" s="928"/>
      <c r="O12" s="928"/>
      <c r="P12" s="928"/>
      <c r="Q12" s="928"/>
      <c r="R12" s="955"/>
    </row>
    <row r="13" spans="1:18">
      <c r="A13" s="948" t="s">
        <v>27</v>
      </c>
      <c r="B13" s="95" t="s">
        <v>21</v>
      </c>
      <c r="C13" s="99">
        <f>6780400+5379400</f>
        <v>12159800</v>
      </c>
      <c r="D13" s="99">
        <f>C13</f>
        <v>12159800</v>
      </c>
      <c r="E13" s="97">
        <v>1203008</v>
      </c>
      <c r="F13" s="98">
        <f t="shared" ref="F13:F14" si="18">E13/C13</f>
        <v>9.8933206138258858E-2</v>
      </c>
      <c r="G13" s="948" t="s">
        <v>27</v>
      </c>
      <c r="H13" s="95" t="s">
        <v>21</v>
      </c>
      <c r="I13" s="99">
        <f>5600400+6479400</f>
        <v>12079800</v>
      </c>
      <c r="J13" s="99">
        <f>I13</f>
        <v>12079800</v>
      </c>
      <c r="K13" s="97">
        <f>72408+1130600</f>
        <v>1203008</v>
      </c>
      <c r="L13" s="98">
        <f t="shared" ref="L13:L14" si="19">K13/I13</f>
        <v>9.9588403781519563E-2</v>
      </c>
      <c r="M13" s="948" t="s">
        <v>27</v>
      </c>
      <c r="N13" s="95" t="s">
        <v>21</v>
      </c>
      <c r="O13" s="102">
        <f t="shared" ref="O13:Q13" si="20">C13-I13</f>
        <v>80000</v>
      </c>
      <c r="P13" s="102">
        <f t="shared" si="20"/>
        <v>80000</v>
      </c>
      <c r="Q13" s="107">
        <f t="shared" si="20"/>
        <v>0</v>
      </c>
      <c r="R13" s="105">
        <f>Q13/O13</f>
        <v>0</v>
      </c>
    </row>
    <row r="14" spans="1:18" ht="15.75">
      <c r="A14" s="950"/>
      <c r="B14" s="118" t="s">
        <v>25</v>
      </c>
      <c r="C14" s="115">
        <f t="shared" ref="C14:E14" si="21">SUM(C13)</f>
        <v>12159800</v>
      </c>
      <c r="D14" s="115">
        <f t="shared" si="21"/>
        <v>12159800</v>
      </c>
      <c r="E14" s="121">
        <f t="shared" si="21"/>
        <v>1203008</v>
      </c>
      <c r="F14" s="116">
        <f t="shared" si="18"/>
        <v>9.8933206138258858E-2</v>
      </c>
      <c r="G14" s="950"/>
      <c r="H14" s="118" t="s">
        <v>25</v>
      </c>
      <c r="I14" s="115">
        <f t="shared" ref="I14:K14" si="22">SUM(I13)</f>
        <v>12079800</v>
      </c>
      <c r="J14" s="115">
        <f t="shared" si="22"/>
        <v>12079800</v>
      </c>
      <c r="K14" s="115">
        <f t="shared" si="22"/>
        <v>1203008</v>
      </c>
      <c r="L14" s="116">
        <f t="shared" si="19"/>
        <v>9.9588403781519563E-2</v>
      </c>
      <c r="M14" s="950"/>
      <c r="N14" s="118" t="s">
        <v>25</v>
      </c>
      <c r="O14" s="115">
        <f t="shared" ref="O14:Q14" si="23">SUM(O13)</f>
        <v>80000</v>
      </c>
      <c r="P14" s="115">
        <f t="shared" si="23"/>
        <v>80000</v>
      </c>
      <c r="Q14" s="115">
        <f t="shared" si="23"/>
        <v>0</v>
      </c>
      <c r="R14" s="105">
        <f>Q14/P14</f>
        <v>0</v>
      </c>
    </row>
    <row r="15" spans="1:18" ht="15.75">
      <c r="A15" s="954"/>
      <c r="B15" s="928"/>
      <c r="C15" s="928"/>
      <c r="D15" s="928"/>
      <c r="E15" s="928"/>
      <c r="F15" s="955"/>
      <c r="G15" s="954"/>
      <c r="H15" s="928"/>
      <c r="I15" s="928"/>
      <c r="J15" s="928"/>
      <c r="K15" s="928"/>
      <c r="L15" s="955"/>
      <c r="M15" s="954"/>
      <c r="N15" s="928"/>
      <c r="O15" s="928"/>
      <c r="P15" s="928"/>
      <c r="Q15" s="928"/>
      <c r="R15" s="955"/>
    </row>
    <row r="16" spans="1:18" ht="15.75" customHeight="1">
      <c r="A16" s="948" t="s">
        <v>30</v>
      </c>
      <c r="B16" s="95" t="s">
        <v>21</v>
      </c>
      <c r="C16" s="99">
        <f>150003+514200</f>
        <v>664203</v>
      </c>
      <c r="D16" s="99">
        <f>C16</f>
        <v>664203</v>
      </c>
      <c r="E16" s="97">
        <v>159592</v>
      </c>
      <c r="F16" s="98">
        <f>E16/C16</f>
        <v>0.24027593973529177</v>
      </c>
      <c r="G16" s="948" t="s">
        <v>30</v>
      </c>
      <c r="H16" s="95" t="s">
        <v>21</v>
      </c>
      <c r="I16" s="99">
        <v>443504</v>
      </c>
      <c r="J16" s="99">
        <f>I16</f>
        <v>443504</v>
      </c>
      <c r="K16" s="97">
        <v>90527</v>
      </c>
      <c r="L16" s="98">
        <f>K16/I16</f>
        <v>0.20411766297485479</v>
      </c>
      <c r="M16" s="948" t="s">
        <v>30</v>
      </c>
      <c r="N16" s="95" t="s">
        <v>21</v>
      </c>
      <c r="O16" s="102">
        <f t="shared" ref="O16:Q16" si="24">C16-I16</f>
        <v>220699</v>
      </c>
      <c r="P16" s="102">
        <f t="shared" si="24"/>
        <v>220699</v>
      </c>
      <c r="Q16" s="107">
        <f t="shared" si="24"/>
        <v>69065</v>
      </c>
      <c r="R16" s="105">
        <v>0</v>
      </c>
    </row>
    <row r="17" spans="1:18">
      <c r="A17" s="949"/>
      <c r="B17" s="102" t="s">
        <v>28</v>
      </c>
      <c r="C17" s="106">
        <v>0</v>
      </c>
      <c r="D17" s="106">
        <f t="shared" ref="D17:D18" si="25">SUM(ROUND(C17*50%,0))</f>
        <v>0</v>
      </c>
      <c r="E17" s="104">
        <v>256</v>
      </c>
      <c r="F17" s="105">
        <v>0</v>
      </c>
      <c r="G17" s="949"/>
      <c r="H17" s="102" t="s">
        <v>28</v>
      </c>
      <c r="I17" s="106">
        <v>0</v>
      </c>
      <c r="J17" s="106">
        <f t="shared" ref="J17:J18" si="26">SUM(ROUND(I17*50%,0))</f>
        <v>0</v>
      </c>
      <c r="K17" s="104">
        <v>0</v>
      </c>
      <c r="L17" s="105">
        <v>0</v>
      </c>
      <c r="M17" s="949"/>
      <c r="N17" s="102" t="s">
        <v>28</v>
      </c>
      <c r="O17" s="102">
        <f t="shared" ref="O17:Q17" si="27">C17-I17</f>
        <v>0</v>
      </c>
      <c r="P17" s="102">
        <f t="shared" si="27"/>
        <v>0</v>
      </c>
      <c r="Q17" s="107">
        <f t="shared" si="27"/>
        <v>256</v>
      </c>
      <c r="R17" s="105">
        <v>0</v>
      </c>
    </row>
    <row r="18" spans="1:18">
      <c r="A18" s="949"/>
      <c r="B18" s="102" t="s">
        <v>31</v>
      </c>
      <c r="C18" s="106">
        <v>100039</v>
      </c>
      <c r="D18" s="106">
        <f t="shared" si="25"/>
        <v>50020</v>
      </c>
      <c r="E18" s="104">
        <v>99100</v>
      </c>
      <c r="F18" s="105">
        <f t="shared" ref="F18:F20" si="28">E18/C18</f>
        <v>0.9906136606723378</v>
      </c>
      <c r="G18" s="949"/>
      <c r="H18" s="102" t="s">
        <v>31</v>
      </c>
      <c r="I18" s="106">
        <f>50026+50001</f>
        <v>100027</v>
      </c>
      <c r="J18" s="106">
        <f t="shared" si="26"/>
        <v>50014</v>
      </c>
      <c r="K18" s="104">
        <f>24248+53524</f>
        <v>77772</v>
      </c>
      <c r="L18" s="105">
        <f t="shared" ref="L18:L20" si="29">K18/I18</f>
        <v>0.7775100722804843</v>
      </c>
      <c r="M18" s="949"/>
      <c r="N18" s="102" t="s">
        <v>31</v>
      </c>
      <c r="O18" s="102">
        <f t="shared" ref="O18:Q18" si="30">C18-I18</f>
        <v>12</v>
      </c>
      <c r="P18" s="102">
        <f t="shared" si="30"/>
        <v>6</v>
      </c>
      <c r="Q18" s="107">
        <f t="shared" si="30"/>
        <v>21328</v>
      </c>
      <c r="R18" s="105">
        <f>Q18/O18</f>
        <v>1777.3333333333333</v>
      </c>
    </row>
    <row r="19" spans="1:18">
      <c r="A19" s="949"/>
      <c r="B19" s="122" t="s">
        <v>32</v>
      </c>
      <c r="C19" s="123">
        <v>2</v>
      </c>
      <c r="D19" s="106">
        <f>SUM(ROUND(C19*75%,0))</f>
        <v>2</v>
      </c>
      <c r="E19" s="104">
        <v>13261</v>
      </c>
      <c r="F19" s="105">
        <f t="shared" si="28"/>
        <v>6630.5</v>
      </c>
      <c r="G19" s="949"/>
      <c r="H19" s="122" t="s">
        <v>32</v>
      </c>
      <c r="I19" s="123">
        <f>2</f>
        <v>2</v>
      </c>
      <c r="J19" s="106">
        <f>SUM(ROUND(I19*75%,0))</f>
        <v>2</v>
      </c>
      <c r="K19" s="104">
        <v>0</v>
      </c>
      <c r="L19" s="105">
        <f t="shared" si="29"/>
        <v>0</v>
      </c>
      <c r="M19" s="949"/>
      <c r="N19" s="122" t="s">
        <v>32</v>
      </c>
      <c r="O19" s="102">
        <f t="shared" ref="O19:Q19" si="31">C19-I19</f>
        <v>0</v>
      </c>
      <c r="P19" s="102">
        <f t="shared" si="31"/>
        <v>0</v>
      </c>
      <c r="Q19" s="107">
        <f t="shared" si="31"/>
        <v>13261</v>
      </c>
      <c r="R19" s="105">
        <v>0</v>
      </c>
    </row>
    <row r="20" spans="1:18" ht="15.75">
      <c r="A20" s="950"/>
      <c r="B20" s="118" t="s">
        <v>25</v>
      </c>
      <c r="C20" s="115">
        <f t="shared" ref="C20:E20" si="32">SUM(C16:C19)</f>
        <v>764244</v>
      </c>
      <c r="D20" s="115">
        <f t="shared" si="32"/>
        <v>714225</v>
      </c>
      <c r="E20" s="121">
        <f t="shared" si="32"/>
        <v>272209</v>
      </c>
      <c r="F20" s="116">
        <f t="shared" si="28"/>
        <v>0.35618074855674364</v>
      </c>
      <c r="G20" s="950"/>
      <c r="H20" s="118" t="s">
        <v>25</v>
      </c>
      <c r="I20" s="115">
        <f t="shared" ref="I20:K20" si="33">SUM(I16:I19)</f>
        <v>543533</v>
      </c>
      <c r="J20" s="115">
        <f t="shared" si="33"/>
        <v>493520</v>
      </c>
      <c r="K20" s="121">
        <f t="shared" si="33"/>
        <v>168299</v>
      </c>
      <c r="L20" s="116">
        <f t="shared" si="29"/>
        <v>0.30963897316262307</v>
      </c>
      <c r="M20" s="950"/>
      <c r="N20" s="118" t="s">
        <v>25</v>
      </c>
      <c r="O20" s="115">
        <f t="shared" ref="O20:Q20" si="34">SUM(O16:O19)</f>
        <v>220711</v>
      </c>
      <c r="P20" s="115">
        <f t="shared" si="34"/>
        <v>220705</v>
      </c>
      <c r="Q20" s="115">
        <f t="shared" si="34"/>
        <v>103910</v>
      </c>
      <c r="R20" s="105">
        <f>Q20/O20</f>
        <v>0.47079665263625281</v>
      </c>
    </row>
    <row r="21" spans="1:18" ht="15.75" customHeight="1">
      <c r="A21" s="954"/>
      <c r="B21" s="928"/>
      <c r="C21" s="928"/>
      <c r="D21" s="928"/>
      <c r="E21" s="928"/>
      <c r="F21" s="955"/>
      <c r="G21" s="954"/>
      <c r="H21" s="928"/>
      <c r="I21" s="928"/>
      <c r="J21" s="928"/>
      <c r="K21" s="928"/>
      <c r="L21" s="955"/>
      <c r="M21" s="954"/>
      <c r="N21" s="928"/>
      <c r="O21" s="928"/>
      <c r="P21" s="928"/>
      <c r="Q21" s="928"/>
      <c r="R21" s="955"/>
    </row>
    <row r="22" spans="1:18" ht="15.75" customHeight="1">
      <c r="A22" s="948" t="s">
        <v>34</v>
      </c>
      <c r="B22" s="95" t="s">
        <v>21</v>
      </c>
      <c r="C22" s="99">
        <v>5000</v>
      </c>
      <c r="D22" s="99">
        <f>C22</f>
        <v>5000</v>
      </c>
      <c r="E22" s="97">
        <v>0</v>
      </c>
      <c r="F22" s="98">
        <f t="shared" ref="F22:F25" si="35">E22/C22</f>
        <v>0</v>
      </c>
      <c r="G22" s="948" t="s">
        <v>34</v>
      </c>
      <c r="H22" s="95" t="s">
        <v>21</v>
      </c>
      <c r="I22" s="99">
        <v>0</v>
      </c>
      <c r="J22" s="99">
        <f>I22</f>
        <v>0</v>
      </c>
      <c r="K22" s="97">
        <v>0</v>
      </c>
      <c r="L22" s="98">
        <v>0</v>
      </c>
      <c r="M22" s="948" t="s">
        <v>34</v>
      </c>
      <c r="N22" s="95" t="s">
        <v>21</v>
      </c>
      <c r="O22" s="102">
        <f t="shared" ref="O22:Q22" si="36">C22-I22</f>
        <v>5000</v>
      </c>
      <c r="P22" s="102">
        <f t="shared" si="36"/>
        <v>5000</v>
      </c>
      <c r="Q22" s="107">
        <f t="shared" si="36"/>
        <v>0</v>
      </c>
      <c r="R22" s="105">
        <f t="shared" ref="R22:R25" si="37">Q22/O22</f>
        <v>0</v>
      </c>
    </row>
    <row r="23" spans="1:18" ht="15.75" customHeight="1">
      <c r="A23" s="949"/>
      <c r="B23" s="102" t="s">
        <v>28</v>
      </c>
      <c r="C23" s="106">
        <v>30000</v>
      </c>
      <c r="D23" s="106">
        <f t="shared" ref="D23:D24" si="38">SUM(ROUND(C23*50%,0))</f>
        <v>15000</v>
      </c>
      <c r="E23" s="104">
        <v>730</v>
      </c>
      <c r="F23" s="105">
        <f t="shared" si="35"/>
        <v>2.4333333333333332E-2</v>
      </c>
      <c r="G23" s="949"/>
      <c r="H23" s="102" t="s">
        <v>28</v>
      </c>
      <c r="I23" s="106">
        <v>0</v>
      </c>
      <c r="J23" s="106">
        <f t="shared" ref="J23:J24" si="39">SUM(ROUND(I23*50%,0))</f>
        <v>0</v>
      </c>
      <c r="K23" s="104">
        <v>0</v>
      </c>
      <c r="L23" s="105">
        <v>0</v>
      </c>
      <c r="M23" s="949"/>
      <c r="N23" s="102" t="s">
        <v>28</v>
      </c>
      <c r="O23" s="102">
        <f t="shared" ref="O23:Q23" si="40">C23-I23</f>
        <v>30000</v>
      </c>
      <c r="P23" s="102">
        <f t="shared" si="40"/>
        <v>15000</v>
      </c>
      <c r="Q23" s="107">
        <f t="shared" si="40"/>
        <v>730</v>
      </c>
      <c r="R23" s="105">
        <f t="shared" si="37"/>
        <v>2.4333333333333332E-2</v>
      </c>
    </row>
    <row r="24" spans="1:18" ht="15.75" customHeight="1">
      <c r="A24" s="949"/>
      <c r="B24" s="102" t="s">
        <v>31</v>
      </c>
      <c r="C24" s="106">
        <v>104</v>
      </c>
      <c r="D24" s="106">
        <f t="shared" si="38"/>
        <v>52</v>
      </c>
      <c r="E24" s="104">
        <v>1160</v>
      </c>
      <c r="F24" s="105">
        <f t="shared" si="35"/>
        <v>11.153846153846153</v>
      </c>
      <c r="G24" s="949"/>
      <c r="H24" s="102" t="s">
        <v>31</v>
      </c>
      <c r="I24" s="106">
        <v>0</v>
      </c>
      <c r="J24" s="106">
        <f t="shared" si="39"/>
        <v>0</v>
      </c>
      <c r="K24" s="104">
        <v>0</v>
      </c>
      <c r="L24" s="105">
        <v>0</v>
      </c>
      <c r="M24" s="949"/>
      <c r="N24" s="102" t="s">
        <v>31</v>
      </c>
      <c r="O24" s="102">
        <f t="shared" ref="O24:Q24" si="41">C24-I24</f>
        <v>104</v>
      </c>
      <c r="P24" s="102">
        <f t="shared" si="41"/>
        <v>52</v>
      </c>
      <c r="Q24" s="107">
        <f t="shared" si="41"/>
        <v>1160</v>
      </c>
      <c r="R24" s="105">
        <f t="shared" si="37"/>
        <v>11.153846153846153</v>
      </c>
    </row>
    <row r="25" spans="1:18" ht="15.75" customHeight="1">
      <c r="A25" s="950"/>
      <c r="B25" s="118" t="s">
        <v>25</v>
      </c>
      <c r="C25" s="115">
        <f t="shared" ref="C25:E25" si="42">SUM(C22:C24)</f>
        <v>35104</v>
      </c>
      <c r="D25" s="115">
        <f t="shared" si="42"/>
        <v>20052</v>
      </c>
      <c r="E25" s="121">
        <f t="shared" si="42"/>
        <v>1890</v>
      </c>
      <c r="F25" s="116">
        <f t="shared" si="35"/>
        <v>5.3840018231540568E-2</v>
      </c>
      <c r="G25" s="950"/>
      <c r="H25" s="118" t="s">
        <v>25</v>
      </c>
      <c r="I25" s="115">
        <f t="shared" ref="I25:K25" si="43">SUM(I22:I24)</f>
        <v>0</v>
      </c>
      <c r="J25" s="115">
        <f t="shared" si="43"/>
        <v>0</v>
      </c>
      <c r="K25" s="121">
        <f t="shared" si="43"/>
        <v>0</v>
      </c>
      <c r="L25" s="116">
        <v>0</v>
      </c>
      <c r="M25" s="950"/>
      <c r="N25" s="118" t="s">
        <v>25</v>
      </c>
      <c r="O25" s="115">
        <f t="shared" ref="O25:Q25" si="44">SUM(O22:O24)</f>
        <v>35104</v>
      </c>
      <c r="P25" s="115">
        <f t="shared" si="44"/>
        <v>20052</v>
      </c>
      <c r="Q25" s="115">
        <f t="shared" si="44"/>
        <v>1890</v>
      </c>
      <c r="R25" s="105">
        <f t="shared" si="37"/>
        <v>5.3840018231540568E-2</v>
      </c>
    </row>
    <row r="26" spans="1:18" ht="15.75" customHeight="1">
      <c r="A26" s="954"/>
      <c r="B26" s="928"/>
      <c r="C26" s="928"/>
      <c r="D26" s="928"/>
      <c r="E26" s="928"/>
      <c r="F26" s="955"/>
      <c r="G26" s="954"/>
      <c r="H26" s="928"/>
      <c r="I26" s="928"/>
      <c r="J26" s="928"/>
      <c r="K26" s="928"/>
      <c r="L26" s="955"/>
      <c r="M26" s="954"/>
      <c r="N26" s="928"/>
      <c r="O26" s="928"/>
      <c r="P26" s="928"/>
      <c r="Q26" s="928"/>
      <c r="R26" s="955"/>
    </row>
    <row r="27" spans="1:18" ht="15.75" customHeight="1">
      <c r="A27" s="948" t="s">
        <v>98</v>
      </c>
      <c r="B27" s="95" t="s">
        <v>21</v>
      </c>
      <c r="C27" s="99">
        <v>17001</v>
      </c>
      <c r="D27" s="99">
        <f>C27</f>
        <v>17001</v>
      </c>
      <c r="E27" s="97">
        <v>24338</v>
      </c>
      <c r="F27" s="98">
        <f>E27/C27</f>
        <v>1.4315628492441621</v>
      </c>
      <c r="G27" s="948" t="s">
        <v>98</v>
      </c>
      <c r="H27" s="95" t="s">
        <v>21</v>
      </c>
      <c r="I27" s="99">
        <v>0</v>
      </c>
      <c r="J27" s="99">
        <f>I27</f>
        <v>0</v>
      </c>
      <c r="K27" s="97">
        <v>0</v>
      </c>
      <c r="L27" s="98">
        <v>0</v>
      </c>
      <c r="M27" s="948" t="s">
        <v>98</v>
      </c>
      <c r="N27" s="95" t="s">
        <v>21</v>
      </c>
      <c r="O27" s="102">
        <f t="shared" ref="O27:Q27" si="45">C27-I27</f>
        <v>17001</v>
      </c>
      <c r="P27" s="102">
        <f t="shared" si="45"/>
        <v>17001</v>
      </c>
      <c r="Q27" s="107">
        <f t="shared" si="45"/>
        <v>24338</v>
      </c>
      <c r="R27" s="105">
        <f>Q27/O27</f>
        <v>1.4315628492441621</v>
      </c>
    </row>
    <row r="28" spans="1:18" ht="15.75" customHeight="1">
      <c r="A28" s="949"/>
      <c r="B28" s="102" t="s">
        <v>28</v>
      </c>
      <c r="C28" s="106">
        <v>0</v>
      </c>
      <c r="D28" s="106">
        <f t="shared" ref="D28:D29" si="46">SUM(ROUND(C28*50%,0))</f>
        <v>0</v>
      </c>
      <c r="E28" s="104">
        <v>439</v>
      </c>
      <c r="F28" s="105">
        <v>0</v>
      </c>
      <c r="G28" s="949"/>
      <c r="H28" s="102" t="s">
        <v>28</v>
      </c>
      <c r="I28" s="106">
        <v>0</v>
      </c>
      <c r="J28" s="106">
        <f t="shared" ref="J28:J29" si="47">SUM(ROUND(I28*50%,0))</f>
        <v>0</v>
      </c>
      <c r="K28" s="104">
        <v>0</v>
      </c>
      <c r="L28" s="98">
        <v>0</v>
      </c>
      <c r="M28" s="949"/>
      <c r="N28" s="102" t="s">
        <v>28</v>
      </c>
      <c r="O28" s="102">
        <f t="shared" ref="O28:Q28" si="48">C28-I28</f>
        <v>0</v>
      </c>
      <c r="P28" s="102">
        <f t="shared" si="48"/>
        <v>0</v>
      </c>
      <c r="Q28" s="107">
        <f t="shared" si="48"/>
        <v>439</v>
      </c>
      <c r="R28" s="105">
        <v>0</v>
      </c>
    </row>
    <row r="29" spans="1:18" ht="15.75" customHeight="1">
      <c r="A29" s="949"/>
      <c r="B29" s="102" t="s">
        <v>31</v>
      </c>
      <c r="C29" s="106">
        <v>75646</v>
      </c>
      <c r="D29" s="106">
        <f t="shared" si="46"/>
        <v>37823</v>
      </c>
      <c r="E29" s="104">
        <v>0</v>
      </c>
      <c r="F29" s="105">
        <f t="shared" ref="F29:F31" si="49">E29/C29</f>
        <v>0</v>
      </c>
      <c r="G29" s="949"/>
      <c r="H29" s="102" t="s">
        <v>31</v>
      </c>
      <c r="I29" s="106">
        <v>0</v>
      </c>
      <c r="J29" s="106">
        <f t="shared" si="47"/>
        <v>0</v>
      </c>
      <c r="K29" s="104">
        <v>0</v>
      </c>
      <c r="L29" s="98">
        <v>0</v>
      </c>
      <c r="M29" s="949"/>
      <c r="N29" s="102" t="s">
        <v>31</v>
      </c>
      <c r="O29" s="102">
        <f t="shared" ref="O29:Q29" si="50">C29-I29</f>
        <v>75646</v>
      </c>
      <c r="P29" s="102">
        <f t="shared" si="50"/>
        <v>37823</v>
      </c>
      <c r="Q29" s="107">
        <f t="shared" si="50"/>
        <v>0</v>
      </c>
      <c r="R29" s="105">
        <f t="shared" ref="R29:R31" si="51">Q29/O29</f>
        <v>0</v>
      </c>
    </row>
    <row r="30" spans="1:18" ht="15.75" customHeight="1">
      <c r="A30" s="949"/>
      <c r="B30" s="122" t="s">
        <v>32</v>
      </c>
      <c r="C30" s="123">
        <v>87373</v>
      </c>
      <c r="D30" s="106">
        <f>SUM(ROUND(C30*75%,0))</f>
        <v>65530</v>
      </c>
      <c r="E30" s="104">
        <v>33021</v>
      </c>
      <c r="F30" s="105">
        <f t="shared" si="49"/>
        <v>0.37793139757133209</v>
      </c>
      <c r="G30" s="949"/>
      <c r="H30" s="122" t="s">
        <v>32</v>
      </c>
      <c r="I30" s="123">
        <v>0</v>
      </c>
      <c r="J30" s="106">
        <f>SUM(ROUND(I30*75%,0))</f>
        <v>0</v>
      </c>
      <c r="K30" s="104">
        <v>0</v>
      </c>
      <c r="L30" s="98">
        <v>0</v>
      </c>
      <c r="M30" s="949"/>
      <c r="N30" s="122" t="s">
        <v>32</v>
      </c>
      <c r="O30" s="102">
        <f t="shared" ref="O30:Q30" si="52">C30-I30</f>
        <v>87373</v>
      </c>
      <c r="P30" s="102">
        <f t="shared" si="52"/>
        <v>65530</v>
      </c>
      <c r="Q30" s="107">
        <f t="shared" si="52"/>
        <v>33021</v>
      </c>
      <c r="R30" s="105">
        <f t="shared" si="51"/>
        <v>0.37793139757133209</v>
      </c>
    </row>
    <row r="31" spans="1:18" ht="15.75" customHeight="1">
      <c r="A31" s="950"/>
      <c r="B31" s="118" t="s">
        <v>25</v>
      </c>
      <c r="C31" s="115">
        <f t="shared" ref="C31:E31" si="53">SUM(C27:C30)</f>
        <v>180020</v>
      </c>
      <c r="D31" s="115">
        <f t="shared" si="53"/>
        <v>120354</v>
      </c>
      <c r="E31" s="121">
        <f t="shared" si="53"/>
        <v>57798</v>
      </c>
      <c r="F31" s="116">
        <f t="shared" si="49"/>
        <v>0.32106432618597935</v>
      </c>
      <c r="G31" s="950"/>
      <c r="H31" s="118" t="s">
        <v>25</v>
      </c>
      <c r="I31" s="115">
        <f t="shared" ref="I31:K31" si="54">SUM(I27:I30)</f>
        <v>0</v>
      </c>
      <c r="J31" s="115">
        <f t="shared" si="54"/>
        <v>0</v>
      </c>
      <c r="K31" s="121">
        <f t="shared" si="54"/>
        <v>0</v>
      </c>
      <c r="L31" s="116">
        <v>0</v>
      </c>
      <c r="M31" s="950"/>
      <c r="N31" s="118" t="s">
        <v>25</v>
      </c>
      <c r="O31" s="115">
        <f t="shared" ref="O31:Q31" si="55">SUM(O27:O30)</f>
        <v>180020</v>
      </c>
      <c r="P31" s="115">
        <f t="shared" si="55"/>
        <v>120354</v>
      </c>
      <c r="Q31" s="115">
        <f t="shared" si="55"/>
        <v>57798</v>
      </c>
      <c r="R31" s="105">
        <f t="shared" si="51"/>
        <v>0.32106432618597935</v>
      </c>
    </row>
    <row r="32" spans="1:18" ht="15.75" customHeight="1">
      <c r="A32" s="954"/>
      <c r="B32" s="928"/>
      <c r="C32" s="928"/>
      <c r="D32" s="928"/>
      <c r="E32" s="928"/>
      <c r="F32" s="955"/>
      <c r="G32" s="954"/>
      <c r="H32" s="928"/>
      <c r="I32" s="928"/>
      <c r="J32" s="928"/>
      <c r="K32" s="928"/>
      <c r="L32" s="955"/>
      <c r="M32" s="954"/>
      <c r="N32" s="928"/>
      <c r="O32" s="928"/>
      <c r="P32" s="928"/>
      <c r="Q32" s="928"/>
      <c r="R32" s="955"/>
    </row>
    <row r="33" spans="1:18" ht="15.75" customHeight="1">
      <c r="A33" s="948" t="s">
        <v>99</v>
      </c>
      <c r="B33" s="95" t="s">
        <v>21</v>
      </c>
      <c r="C33" s="99">
        <v>6167100</v>
      </c>
      <c r="D33" s="99">
        <f>C33</f>
        <v>6167100</v>
      </c>
      <c r="E33" s="97">
        <v>3077600</v>
      </c>
      <c r="F33" s="98">
        <f t="shared" ref="F33:F34" si="56">E33/C33</f>
        <v>0.49903520293168591</v>
      </c>
      <c r="G33" s="948" t="s">
        <v>99</v>
      </c>
      <c r="H33" s="95" t="s">
        <v>21</v>
      </c>
      <c r="I33" s="99">
        <v>0</v>
      </c>
      <c r="J33" s="99">
        <f>I33</f>
        <v>0</v>
      </c>
      <c r="K33" s="97">
        <v>0</v>
      </c>
      <c r="L33" s="98">
        <v>0</v>
      </c>
      <c r="M33" s="948" t="s">
        <v>100</v>
      </c>
      <c r="N33" s="95" t="s">
        <v>21</v>
      </c>
      <c r="O33" s="102">
        <f t="shared" ref="O33:Q33" si="57">C33-I33</f>
        <v>6167100</v>
      </c>
      <c r="P33" s="102">
        <f t="shared" si="57"/>
        <v>6167100</v>
      </c>
      <c r="Q33" s="107">
        <f t="shared" si="57"/>
        <v>3077600</v>
      </c>
      <c r="R33" s="105">
        <f t="shared" ref="R33:R34" si="58">Q33/O33</f>
        <v>0.49903520293168591</v>
      </c>
    </row>
    <row r="34" spans="1:18" ht="15.75" customHeight="1">
      <c r="A34" s="950"/>
      <c r="B34" s="118" t="s">
        <v>25</v>
      </c>
      <c r="C34" s="115">
        <f t="shared" ref="C34:E34" si="59">SUM(C33)</f>
        <v>6167100</v>
      </c>
      <c r="D34" s="115">
        <f t="shared" si="59"/>
        <v>6167100</v>
      </c>
      <c r="E34" s="121">
        <f t="shared" si="59"/>
        <v>3077600</v>
      </c>
      <c r="F34" s="116">
        <f t="shared" si="56"/>
        <v>0.49903520293168591</v>
      </c>
      <c r="G34" s="950"/>
      <c r="H34" s="118" t="s">
        <v>25</v>
      </c>
      <c r="I34" s="115">
        <f t="shared" ref="I34:K34" si="60">SUM(I33)</f>
        <v>0</v>
      </c>
      <c r="J34" s="115">
        <f t="shared" si="60"/>
        <v>0</v>
      </c>
      <c r="K34" s="121">
        <f t="shared" si="60"/>
        <v>0</v>
      </c>
      <c r="L34" s="116">
        <v>0</v>
      </c>
      <c r="M34" s="950"/>
      <c r="N34" s="118" t="s">
        <v>25</v>
      </c>
      <c r="O34" s="115">
        <f t="shared" ref="O34:Q34" si="61">SUM(O33)</f>
        <v>6167100</v>
      </c>
      <c r="P34" s="115">
        <f t="shared" si="61"/>
        <v>6167100</v>
      </c>
      <c r="Q34" s="115">
        <f t="shared" si="61"/>
        <v>3077600</v>
      </c>
      <c r="R34" s="105">
        <f t="shared" si="58"/>
        <v>0.49903520293168591</v>
      </c>
    </row>
    <row r="35" spans="1:18" ht="15.75" customHeight="1">
      <c r="A35" s="954"/>
      <c r="B35" s="928"/>
      <c r="C35" s="928"/>
      <c r="D35" s="928"/>
      <c r="E35" s="928"/>
      <c r="F35" s="955"/>
      <c r="G35" s="954"/>
      <c r="H35" s="928"/>
      <c r="I35" s="928"/>
      <c r="J35" s="928"/>
      <c r="K35" s="928"/>
      <c r="L35" s="955"/>
      <c r="M35" s="954"/>
      <c r="N35" s="928"/>
      <c r="O35" s="928"/>
      <c r="P35" s="928"/>
      <c r="Q35" s="928"/>
      <c r="R35" s="955"/>
    </row>
    <row r="36" spans="1:18" ht="15.75" customHeight="1">
      <c r="A36" s="948" t="s">
        <v>101</v>
      </c>
      <c r="B36" s="119" t="s">
        <v>40</v>
      </c>
      <c r="C36" s="119">
        <v>244105</v>
      </c>
      <c r="D36" s="119">
        <f>C36</f>
        <v>244105</v>
      </c>
      <c r="E36" s="120">
        <v>5092</v>
      </c>
      <c r="F36" s="98">
        <f>E36/C36</f>
        <v>2.0859875873087401E-2</v>
      </c>
      <c r="G36" s="948" t="s">
        <v>101</v>
      </c>
      <c r="H36" s="119" t="s">
        <v>40</v>
      </c>
      <c r="I36" s="119">
        <v>10000</v>
      </c>
      <c r="J36" s="119">
        <f>I36</f>
        <v>10000</v>
      </c>
      <c r="K36" s="120">
        <v>0</v>
      </c>
      <c r="L36" s="98">
        <f>K36/I36</f>
        <v>0</v>
      </c>
      <c r="M36" s="948" t="s">
        <v>101</v>
      </c>
      <c r="N36" s="119" t="s">
        <v>40</v>
      </c>
      <c r="O36" s="102">
        <f t="shared" ref="O36:Q36" si="62">C36-I36</f>
        <v>234105</v>
      </c>
      <c r="P36" s="102">
        <f t="shared" si="62"/>
        <v>234105</v>
      </c>
      <c r="Q36" s="107">
        <f t="shared" si="62"/>
        <v>5092</v>
      </c>
      <c r="R36" s="105">
        <f>Q36/O36</f>
        <v>2.1750923730804554E-2</v>
      </c>
    </row>
    <row r="37" spans="1:18" ht="15.75" customHeight="1">
      <c r="A37" s="949"/>
      <c r="B37" s="122" t="s">
        <v>32</v>
      </c>
      <c r="C37" s="122">
        <v>0</v>
      </c>
      <c r="D37" s="106">
        <f>SUM(ROUND(C37*75%,0))</f>
        <v>0</v>
      </c>
      <c r="E37" s="104">
        <v>0</v>
      </c>
      <c r="F37" s="105">
        <v>0</v>
      </c>
      <c r="G37" s="949"/>
      <c r="H37" s="122" t="s">
        <v>32</v>
      </c>
      <c r="I37" s="122">
        <v>0</v>
      </c>
      <c r="J37" s="106">
        <f>SUM(ROUND(I37*75%,0))</f>
        <v>0</v>
      </c>
      <c r="K37" s="104">
        <v>0</v>
      </c>
      <c r="L37" s="105">
        <v>0</v>
      </c>
      <c r="M37" s="949"/>
      <c r="N37" s="122" t="s">
        <v>32</v>
      </c>
      <c r="O37" s="102">
        <f t="shared" ref="O37:Q37" si="63">C37-I37</f>
        <v>0</v>
      </c>
      <c r="P37" s="102">
        <f t="shared" si="63"/>
        <v>0</v>
      </c>
      <c r="Q37" s="107">
        <f t="shared" si="63"/>
        <v>0</v>
      </c>
      <c r="R37" s="105">
        <v>0</v>
      </c>
    </row>
    <row r="38" spans="1:18" ht="15.75" customHeight="1">
      <c r="A38" s="950"/>
      <c r="B38" s="118" t="s">
        <v>25</v>
      </c>
      <c r="C38" s="118">
        <f>SUM(C36:C37)</f>
        <v>244105</v>
      </c>
      <c r="D38" s="118">
        <f>SUM(D37)</f>
        <v>0</v>
      </c>
      <c r="E38" s="121">
        <f>SUM(E36:E37)</f>
        <v>5092</v>
      </c>
      <c r="F38" s="116">
        <v>0</v>
      </c>
      <c r="G38" s="950"/>
      <c r="H38" s="118" t="s">
        <v>25</v>
      </c>
      <c r="I38" s="118">
        <f>SUM(I36:I37)</f>
        <v>10000</v>
      </c>
      <c r="J38" s="118">
        <f t="shared" ref="J38:K38" si="64">SUM(J37)</f>
        <v>0</v>
      </c>
      <c r="K38" s="121">
        <f t="shared" si="64"/>
        <v>0</v>
      </c>
      <c r="L38" s="116">
        <v>0</v>
      </c>
      <c r="M38" s="950"/>
      <c r="N38" s="118" t="s">
        <v>25</v>
      </c>
      <c r="O38" s="118">
        <f>SUM(O36:O37)</f>
        <v>234105</v>
      </c>
      <c r="P38" s="118">
        <f>SUM(P37)</f>
        <v>0</v>
      </c>
      <c r="Q38" s="118">
        <f>SUM(Q36:Q37)</f>
        <v>5092</v>
      </c>
      <c r="R38" s="105">
        <v>0</v>
      </c>
    </row>
    <row r="39" spans="1:18" ht="15.75" customHeight="1">
      <c r="A39" s="956"/>
      <c r="B39" s="957"/>
      <c r="C39" s="957"/>
      <c r="D39" s="957"/>
      <c r="E39" s="957"/>
      <c r="F39" s="958"/>
      <c r="G39" s="956"/>
      <c r="H39" s="957"/>
      <c r="I39" s="957"/>
      <c r="J39" s="957"/>
      <c r="K39" s="957"/>
      <c r="L39" s="958"/>
      <c r="M39" s="956"/>
      <c r="N39" s="957"/>
      <c r="O39" s="957"/>
      <c r="P39" s="957"/>
      <c r="Q39" s="957"/>
      <c r="R39" s="958"/>
    </row>
    <row r="40" spans="1:18" ht="15.75" customHeight="1">
      <c r="A40" s="948" t="s">
        <v>39</v>
      </c>
      <c r="B40" s="95" t="s">
        <v>40</v>
      </c>
      <c r="C40" s="99">
        <v>4613304</v>
      </c>
      <c r="D40" s="99">
        <f>C40</f>
        <v>4613304</v>
      </c>
      <c r="E40" s="97">
        <v>325163</v>
      </c>
      <c r="F40" s="98">
        <f t="shared" ref="F40:F42" si="65">E40/C40</f>
        <v>7.0483757411174297E-2</v>
      </c>
      <c r="G40" s="948" t="s">
        <v>39</v>
      </c>
      <c r="H40" s="95" t="s">
        <v>40</v>
      </c>
      <c r="I40" s="99">
        <v>1281400</v>
      </c>
      <c r="J40" s="99">
        <f>I40</f>
        <v>1281400</v>
      </c>
      <c r="K40" s="97">
        <v>279534</v>
      </c>
      <c r="L40" s="98">
        <f t="shared" ref="L40:L42" si="66">K40/I40</f>
        <v>0.21814733884813486</v>
      </c>
      <c r="M40" s="948" t="s">
        <v>39</v>
      </c>
      <c r="N40" s="95" t="s">
        <v>40</v>
      </c>
      <c r="O40" s="102">
        <f t="shared" ref="O40:Q40" si="67">C40-I40</f>
        <v>3331904</v>
      </c>
      <c r="P40" s="102">
        <f t="shared" si="67"/>
        <v>3331904</v>
      </c>
      <c r="Q40" s="107">
        <f t="shared" si="67"/>
        <v>45629</v>
      </c>
      <c r="R40" s="105">
        <f t="shared" ref="R40:R42" si="68">Q40/O40</f>
        <v>1.3694572232573327E-2</v>
      </c>
    </row>
    <row r="41" spans="1:18" ht="15.75" customHeight="1">
      <c r="A41" s="949"/>
      <c r="B41" s="122" t="s">
        <v>32</v>
      </c>
      <c r="C41" s="123">
        <v>636735</v>
      </c>
      <c r="D41" s="106">
        <f>SUM(ROUND(C41*75%,0))</f>
        <v>477551</v>
      </c>
      <c r="E41" s="104">
        <v>404089</v>
      </c>
      <c r="F41" s="105">
        <f t="shared" si="65"/>
        <v>0.63462665001923879</v>
      </c>
      <c r="G41" s="949"/>
      <c r="H41" s="122" t="s">
        <v>32</v>
      </c>
      <c r="I41" s="123">
        <v>153861</v>
      </c>
      <c r="J41" s="106">
        <f>SUM(ROUND(I41*75%,0))</f>
        <v>115396</v>
      </c>
      <c r="K41" s="104">
        <v>25311</v>
      </c>
      <c r="L41" s="105">
        <f t="shared" si="66"/>
        <v>0.16450562520716752</v>
      </c>
      <c r="M41" s="949"/>
      <c r="N41" s="122" t="s">
        <v>32</v>
      </c>
      <c r="O41" s="102">
        <f t="shared" ref="O41:Q41" si="69">C41-I41</f>
        <v>482874</v>
      </c>
      <c r="P41" s="102">
        <f t="shared" si="69"/>
        <v>362155</v>
      </c>
      <c r="Q41" s="107">
        <f t="shared" si="69"/>
        <v>378778</v>
      </c>
      <c r="R41" s="105">
        <f t="shared" si="68"/>
        <v>0.78442409407008873</v>
      </c>
    </row>
    <row r="42" spans="1:18" ht="15.75" customHeight="1">
      <c r="A42" s="950"/>
      <c r="B42" s="118" t="s">
        <v>25</v>
      </c>
      <c r="C42" s="115">
        <f t="shared" ref="C42:E42" si="70">SUM(C40:C41)</f>
        <v>5250039</v>
      </c>
      <c r="D42" s="115">
        <f t="shared" si="70"/>
        <v>5090855</v>
      </c>
      <c r="E42" s="115">
        <f t="shared" si="70"/>
        <v>729252</v>
      </c>
      <c r="F42" s="116">
        <f t="shared" si="65"/>
        <v>0.1389041109980326</v>
      </c>
      <c r="G42" s="950"/>
      <c r="H42" s="118" t="s">
        <v>25</v>
      </c>
      <c r="I42" s="115">
        <f t="shared" ref="I42:K42" si="71">SUM(I40:I41)</f>
        <v>1435261</v>
      </c>
      <c r="J42" s="115">
        <f t="shared" si="71"/>
        <v>1396796</v>
      </c>
      <c r="K42" s="115">
        <f t="shared" si="71"/>
        <v>304845</v>
      </c>
      <c r="L42" s="116">
        <f t="shared" si="66"/>
        <v>0.21239690899425262</v>
      </c>
      <c r="M42" s="950"/>
      <c r="N42" s="118" t="s">
        <v>25</v>
      </c>
      <c r="O42" s="115">
        <f t="shared" ref="O42:Q42" si="72">SUM(O40:O41)</f>
        <v>3814778</v>
      </c>
      <c r="P42" s="115">
        <f t="shared" si="72"/>
        <v>3694059</v>
      </c>
      <c r="Q42" s="115">
        <f t="shared" si="72"/>
        <v>424407</v>
      </c>
      <c r="R42" s="105">
        <f t="shared" si="68"/>
        <v>0.11125339403760848</v>
      </c>
    </row>
    <row r="43" spans="1:18" ht="15.75" customHeight="1">
      <c r="A43" s="954"/>
      <c r="B43" s="928"/>
      <c r="C43" s="928"/>
      <c r="D43" s="928"/>
      <c r="E43" s="928"/>
      <c r="F43" s="955"/>
      <c r="G43" s="954"/>
      <c r="H43" s="928"/>
      <c r="I43" s="928"/>
      <c r="J43" s="928"/>
      <c r="K43" s="928"/>
      <c r="L43" s="955"/>
      <c r="M43" s="954"/>
      <c r="N43" s="928"/>
      <c r="O43" s="928"/>
      <c r="P43" s="928"/>
      <c r="Q43" s="928"/>
      <c r="R43" s="955"/>
    </row>
    <row r="44" spans="1:18" ht="15.75" customHeight="1">
      <c r="A44" s="948" t="s">
        <v>41</v>
      </c>
      <c r="B44" s="124" t="s">
        <v>32</v>
      </c>
      <c r="C44" s="125">
        <v>6000000</v>
      </c>
      <c r="D44" s="106">
        <f>SUM(ROUND(C44*75%,0))</f>
        <v>4500000</v>
      </c>
      <c r="E44" s="97">
        <v>3674876</v>
      </c>
      <c r="F44" s="98">
        <f t="shared" ref="F44:F45" si="73">E44/C44</f>
        <v>0.61247933333333338</v>
      </c>
      <c r="G44" s="948" t="s">
        <v>41</v>
      </c>
      <c r="H44" s="124" t="s">
        <v>32</v>
      </c>
      <c r="I44" s="125">
        <v>0</v>
      </c>
      <c r="J44" s="106">
        <f>SUM(ROUND(I44*75%,0))</f>
        <v>0</v>
      </c>
      <c r="K44" s="97">
        <v>0</v>
      </c>
      <c r="L44" s="98">
        <v>0</v>
      </c>
      <c r="M44" s="948" t="s">
        <v>41</v>
      </c>
      <c r="N44" s="124" t="s">
        <v>32</v>
      </c>
      <c r="O44" s="102">
        <f t="shared" ref="O44:Q44" si="74">C44-I44</f>
        <v>6000000</v>
      </c>
      <c r="P44" s="102">
        <f t="shared" si="74"/>
        <v>4500000</v>
      </c>
      <c r="Q44" s="107">
        <f t="shared" si="74"/>
        <v>3674876</v>
      </c>
      <c r="R44" s="105">
        <f t="shared" ref="R44:R45" si="75">Q44/O44</f>
        <v>0.61247933333333338</v>
      </c>
    </row>
    <row r="45" spans="1:18" ht="15.75" customHeight="1">
      <c r="A45" s="950"/>
      <c r="B45" s="118" t="s">
        <v>25</v>
      </c>
      <c r="C45" s="115">
        <f t="shared" ref="C45:E45" si="76">SUM(C44)</f>
        <v>6000000</v>
      </c>
      <c r="D45" s="115">
        <f t="shared" si="76"/>
        <v>4500000</v>
      </c>
      <c r="E45" s="121">
        <f t="shared" si="76"/>
        <v>3674876</v>
      </c>
      <c r="F45" s="116">
        <f t="shared" si="73"/>
        <v>0.61247933333333338</v>
      </c>
      <c r="G45" s="950"/>
      <c r="H45" s="118" t="s">
        <v>25</v>
      </c>
      <c r="I45" s="115">
        <f t="shared" ref="I45:K45" si="77">SUM(I44)</f>
        <v>0</v>
      </c>
      <c r="J45" s="115">
        <f t="shared" si="77"/>
        <v>0</v>
      </c>
      <c r="K45" s="121">
        <f t="shared" si="77"/>
        <v>0</v>
      </c>
      <c r="L45" s="116">
        <v>0</v>
      </c>
      <c r="M45" s="950"/>
      <c r="N45" s="118" t="s">
        <v>25</v>
      </c>
      <c r="O45" s="115">
        <f t="shared" ref="O45:Q45" si="78">SUM(O44)</f>
        <v>6000000</v>
      </c>
      <c r="P45" s="115">
        <f t="shared" si="78"/>
        <v>4500000</v>
      </c>
      <c r="Q45" s="115">
        <f t="shared" si="78"/>
        <v>3674876</v>
      </c>
      <c r="R45" s="105">
        <f t="shared" si="75"/>
        <v>0.61247933333333338</v>
      </c>
    </row>
    <row r="46" spans="1:18" ht="15.75" customHeight="1">
      <c r="A46" s="954"/>
      <c r="B46" s="928"/>
      <c r="C46" s="928"/>
      <c r="D46" s="928"/>
      <c r="E46" s="928"/>
      <c r="F46" s="955"/>
      <c r="G46" s="954"/>
      <c r="H46" s="928"/>
      <c r="I46" s="928"/>
      <c r="J46" s="928"/>
      <c r="K46" s="928"/>
      <c r="L46" s="955"/>
      <c r="M46" s="954"/>
      <c r="N46" s="928"/>
      <c r="O46" s="928"/>
      <c r="P46" s="928"/>
      <c r="Q46" s="928"/>
      <c r="R46" s="955"/>
    </row>
    <row r="47" spans="1:18" ht="15.75" customHeight="1">
      <c r="A47" s="948" t="s">
        <v>42</v>
      </c>
      <c r="B47" s="95" t="s">
        <v>21</v>
      </c>
      <c r="C47" s="99">
        <v>4500</v>
      </c>
      <c r="D47" s="99">
        <f>C47</f>
        <v>4500</v>
      </c>
      <c r="E47" s="97">
        <v>0</v>
      </c>
      <c r="F47" s="98">
        <f>E47/C47</f>
        <v>0</v>
      </c>
      <c r="G47" s="948" t="s">
        <v>42</v>
      </c>
      <c r="H47" s="95" t="s">
        <v>21</v>
      </c>
      <c r="I47" s="99">
        <v>0</v>
      </c>
      <c r="J47" s="99">
        <f>I47</f>
        <v>0</v>
      </c>
      <c r="K47" s="97">
        <v>0</v>
      </c>
      <c r="L47" s="98">
        <v>0</v>
      </c>
      <c r="M47" s="948" t="s">
        <v>42</v>
      </c>
      <c r="N47" s="95" t="s">
        <v>21</v>
      </c>
      <c r="O47" s="102">
        <f t="shared" ref="O47:Q47" si="79">C47-I47</f>
        <v>4500</v>
      </c>
      <c r="P47" s="102">
        <f t="shared" si="79"/>
        <v>4500</v>
      </c>
      <c r="Q47" s="107">
        <f t="shared" si="79"/>
        <v>0</v>
      </c>
      <c r="R47" s="105">
        <f>Q47/O47</f>
        <v>0</v>
      </c>
    </row>
    <row r="48" spans="1:18" ht="15.75" customHeight="1">
      <c r="A48" s="949"/>
      <c r="B48" s="102" t="s">
        <v>28</v>
      </c>
      <c r="C48" s="106">
        <v>0</v>
      </c>
      <c r="D48" s="106">
        <f>SUM(ROUND(C48*50%,0))</f>
        <v>0</v>
      </c>
      <c r="E48" s="104">
        <v>4957</v>
      </c>
      <c r="F48" s="105">
        <v>0</v>
      </c>
      <c r="G48" s="949"/>
      <c r="H48" s="102" t="s">
        <v>28</v>
      </c>
      <c r="I48" s="106">
        <v>0</v>
      </c>
      <c r="J48" s="106">
        <f>SUM(ROUND(I48*50%,0))</f>
        <v>0</v>
      </c>
      <c r="K48" s="104">
        <v>0</v>
      </c>
      <c r="L48" s="105">
        <v>0</v>
      </c>
      <c r="M48" s="949"/>
      <c r="N48" s="102" t="s">
        <v>28</v>
      </c>
      <c r="O48" s="102">
        <f t="shared" ref="O48:Q48" si="80">C48-I48</f>
        <v>0</v>
      </c>
      <c r="P48" s="102">
        <f t="shared" si="80"/>
        <v>0</v>
      </c>
      <c r="Q48" s="107">
        <f t="shared" si="80"/>
        <v>4957</v>
      </c>
      <c r="R48" s="105">
        <v>0</v>
      </c>
    </row>
    <row r="49" spans="1:18" ht="15.75" customHeight="1">
      <c r="A49" s="949"/>
      <c r="B49" s="122" t="s">
        <v>32</v>
      </c>
      <c r="C49" s="123">
        <v>145500</v>
      </c>
      <c r="D49" s="106">
        <f>SUM(ROUND(C49*75%,0))</f>
        <v>109125</v>
      </c>
      <c r="E49" s="104">
        <v>52957</v>
      </c>
      <c r="F49" s="105">
        <f t="shared" ref="F49:F50" si="81">E49/C49</f>
        <v>0.36396563573883162</v>
      </c>
      <c r="G49" s="949"/>
      <c r="H49" s="122" t="s">
        <v>32</v>
      </c>
      <c r="I49" s="123">
        <v>2</v>
      </c>
      <c r="J49" s="106">
        <f>SUM(ROUND(I49*75%,0))</f>
        <v>2</v>
      </c>
      <c r="K49" s="104">
        <v>0</v>
      </c>
      <c r="L49" s="105">
        <f t="shared" ref="L49:L50" si="82">K49/I49</f>
        <v>0</v>
      </c>
      <c r="M49" s="949"/>
      <c r="N49" s="122" t="s">
        <v>32</v>
      </c>
      <c r="O49" s="102">
        <f t="shared" ref="O49:Q49" si="83">C49-I49</f>
        <v>145498</v>
      </c>
      <c r="P49" s="102">
        <f t="shared" si="83"/>
        <v>109123</v>
      </c>
      <c r="Q49" s="107">
        <f t="shared" si="83"/>
        <v>52957</v>
      </c>
      <c r="R49" s="105">
        <f t="shared" ref="R49:R50" si="84">Q49/O49</f>
        <v>0.36397063877166697</v>
      </c>
    </row>
    <row r="50" spans="1:18" ht="15.75" customHeight="1">
      <c r="A50" s="950"/>
      <c r="B50" s="118" t="s">
        <v>25</v>
      </c>
      <c r="C50" s="115">
        <f t="shared" ref="C50:E50" si="85">SUM(C47:C49)</f>
        <v>150000</v>
      </c>
      <c r="D50" s="115">
        <f t="shared" si="85"/>
        <v>113625</v>
      </c>
      <c r="E50" s="121">
        <f t="shared" si="85"/>
        <v>57914</v>
      </c>
      <c r="F50" s="116">
        <f t="shared" si="81"/>
        <v>0.38609333333333334</v>
      </c>
      <c r="G50" s="950"/>
      <c r="H50" s="118" t="s">
        <v>25</v>
      </c>
      <c r="I50" s="115">
        <f t="shared" ref="I50:K50" si="86">SUM(I47:I49)</f>
        <v>2</v>
      </c>
      <c r="J50" s="115">
        <f t="shared" si="86"/>
        <v>2</v>
      </c>
      <c r="K50" s="121">
        <f t="shared" si="86"/>
        <v>0</v>
      </c>
      <c r="L50" s="116">
        <f t="shared" si="82"/>
        <v>0</v>
      </c>
      <c r="M50" s="950"/>
      <c r="N50" s="118" t="s">
        <v>25</v>
      </c>
      <c r="O50" s="115">
        <f t="shared" ref="O50:Q50" si="87">SUM(O47:O49)</f>
        <v>149998</v>
      </c>
      <c r="P50" s="115">
        <f t="shared" si="87"/>
        <v>113623</v>
      </c>
      <c r="Q50" s="115">
        <f t="shared" si="87"/>
        <v>57914</v>
      </c>
      <c r="R50" s="105">
        <f t="shared" si="84"/>
        <v>0.38609848131308416</v>
      </c>
    </row>
    <row r="51" spans="1:18" ht="15.75" customHeight="1">
      <c r="A51" s="954"/>
      <c r="B51" s="928"/>
      <c r="C51" s="928"/>
      <c r="D51" s="928"/>
      <c r="E51" s="928"/>
      <c r="F51" s="955"/>
      <c r="G51" s="954"/>
      <c r="H51" s="928"/>
      <c r="I51" s="928"/>
      <c r="J51" s="928"/>
      <c r="K51" s="928"/>
      <c r="L51" s="955"/>
      <c r="M51" s="954"/>
      <c r="N51" s="928"/>
      <c r="O51" s="928"/>
      <c r="P51" s="928"/>
      <c r="Q51" s="928"/>
      <c r="R51" s="955"/>
    </row>
    <row r="52" spans="1:18" ht="15.75" customHeight="1">
      <c r="A52" s="948" t="s">
        <v>43</v>
      </c>
      <c r="B52" s="95" t="s">
        <v>21</v>
      </c>
      <c r="C52" s="99">
        <v>519984</v>
      </c>
      <c r="D52" s="99">
        <f>C52</f>
        <v>519984</v>
      </c>
      <c r="E52" s="97">
        <v>25587</v>
      </c>
      <c r="F52" s="98">
        <f t="shared" ref="F52:F54" si="88">E52/C52</f>
        <v>4.9207283301024647E-2</v>
      </c>
      <c r="G52" s="948" t="s">
        <v>43</v>
      </c>
      <c r="H52" s="95" t="s">
        <v>21</v>
      </c>
      <c r="I52" s="99">
        <v>330003</v>
      </c>
      <c r="J52" s="99">
        <f>I52</f>
        <v>330003</v>
      </c>
      <c r="K52" s="97">
        <v>17895</v>
      </c>
      <c r="L52" s="98">
        <v>0</v>
      </c>
      <c r="M52" s="948" t="s">
        <v>43</v>
      </c>
      <c r="N52" s="95" t="s">
        <v>21</v>
      </c>
      <c r="O52" s="102">
        <f t="shared" ref="O52:Q52" si="89">C52-I52</f>
        <v>189981</v>
      </c>
      <c r="P52" s="102">
        <f t="shared" si="89"/>
        <v>189981</v>
      </c>
      <c r="Q52" s="107">
        <f t="shared" si="89"/>
        <v>7692</v>
      </c>
      <c r="R52" s="105">
        <f t="shared" ref="R52:R54" si="90">Q52/O52</f>
        <v>4.0488259352251012E-2</v>
      </c>
    </row>
    <row r="53" spans="1:18" ht="15.75" customHeight="1">
      <c r="A53" s="949"/>
      <c r="B53" s="122" t="s">
        <v>32</v>
      </c>
      <c r="C53" s="123">
        <v>2533439</v>
      </c>
      <c r="D53" s="106">
        <f>SUM(ROUND(C53*75%,0))</f>
        <v>1900079</v>
      </c>
      <c r="E53" s="104">
        <v>951563</v>
      </c>
      <c r="F53" s="105">
        <f t="shared" si="88"/>
        <v>0.37560130715600415</v>
      </c>
      <c r="G53" s="949"/>
      <c r="H53" s="122" t="s">
        <v>32</v>
      </c>
      <c r="I53" s="123">
        <f>1004+1070009</f>
        <v>1071013</v>
      </c>
      <c r="J53" s="106">
        <f>SUM(ROUND(I53*75%,0))</f>
        <v>803260</v>
      </c>
      <c r="K53" s="97">
        <f>13860+511090</f>
        <v>524950</v>
      </c>
      <c r="L53" s="105">
        <f t="shared" ref="L53:L54" si="91">K53/I53</f>
        <v>0.49014344363700535</v>
      </c>
      <c r="M53" s="949"/>
      <c r="N53" s="122" t="s">
        <v>32</v>
      </c>
      <c r="O53" s="102">
        <f t="shared" ref="O53:Q53" si="92">C53-I53</f>
        <v>1462426</v>
      </c>
      <c r="P53" s="102">
        <f t="shared" si="92"/>
        <v>1096819</v>
      </c>
      <c r="Q53" s="107">
        <f t="shared" si="92"/>
        <v>426613</v>
      </c>
      <c r="R53" s="105">
        <f t="shared" si="90"/>
        <v>0.29171595690995644</v>
      </c>
    </row>
    <row r="54" spans="1:18" ht="15.75" customHeight="1">
      <c r="A54" s="950"/>
      <c r="B54" s="118" t="s">
        <v>25</v>
      </c>
      <c r="C54" s="115">
        <f t="shared" ref="C54:E54" si="93">SUM(C52:C53)</f>
        <v>3053423</v>
      </c>
      <c r="D54" s="115">
        <f t="shared" si="93"/>
        <v>2420063</v>
      </c>
      <c r="E54" s="115">
        <f t="shared" si="93"/>
        <v>977150</v>
      </c>
      <c r="F54" s="116">
        <f t="shared" si="88"/>
        <v>0.32001789467099712</v>
      </c>
      <c r="G54" s="950"/>
      <c r="H54" s="118" t="s">
        <v>25</v>
      </c>
      <c r="I54" s="115">
        <f t="shared" ref="I54:K54" si="94">SUM(I52:I53)</f>
        <v>1401016</v>
      </c>
      <c r="J54" s="115">
        <f t="shared" si="94"/>
        <v>1133263</v>
      </c>
      <c r="K54" s="115">
        <f t="shared" si="94"/>
        <v>542845</v>
      </c>
      <c r="L54" s="116">
        <f t="shared" si="91"/>
        <v>0.3874652395118971</v>
      </c>
      <c r="M54" s="950"/>
      <c r="N54" s="118" t="s">
        <v>25</v>
      </c>
      <c r="O54" s="115">
        <f t="shared" ref="O54:Q54" si="95">SUM(O52:O53)</f>
        <v>1652407</v>
      </c>
      <c r="P54" s="115">
        <f t="shared" si="95"/>
        <v>1286800</v>
      </c>
      <c r="Q54" s="115">
        <f t="shared" si="95"/>
        <v>434305</v>
      </c>
      <c r="R54" s="105">
        <f t="shared" si="90"/>
        <v>0.26283173576485697</v>
      </c>
    </row>
    <row r="55" spans="1:18" ht="15.75" customHeight="1">
      <c r="A55" s="954"/>
      <c r="B55" s="928"/>
      <c r="C55" s="928"/>
      <c r="D55" s="928"/>
      <c r="E55" s="928"/>
      <c r="F55" s="955"/>
      <c r="G55" s="954"/>
      <c r="H55" s="928"/>
      <c r="I55" s="928"/>
      <c r="J55" s="928"/>
      <c r="K55" s="928"/>
      <c r="L55" s="955"/>
      <c r="M55" s="954"/>
      <c r="N55" s="928"/>
      <c r="O55" s="928"/>
      <c r="P55" s="928"/>
      <c r="Q55" s="928"/>
      <c r="R55" s="955"/>
    </row>
    <row r="56" spans="1:18" ht="15.75" customHeight="1">
      <c r="A56" s="948" t="s">
        <v>44</v>
      </c>
      <c r="B56" s="95" t="s">
        <v>21</v>
      </c>
      <c r="C56" s="99">
        <v>368321</v>
      </c>
      <c r="D56" s="99">
        <f>C56</f>
        <v>368321</v>
      </c>
      <c r="E56" s="97">
        <v>72339</v>
      </c>
      <c r="F56" s="98">
        <f t="shared" ref="F56:F60" si="96">E56/C56</f>
        <v>0.19640205147140674</v>
      </c>
      <c r="G56" s="948" t="s">
        <v>44</v>
      </c>
      <c r="H56" s="95" t="s">
        <v>21</v>
      </c>
      <c r="I56" s="99">
        <v>350210</v>
      </c>
      <c r="J56" s="99">
        <f>I56</f>
        <v>350210</v>
      </c>
      <c r="K56" s="97">
        <v>62828</v>
      </c>
      <c r="L56" s="98">
        <f>K56/I56</f>
        <v>0.17940093087004941</v>
      </c>
      <c r="M56" s="948" t="s">
        <v>44</v>
      </c>
      <c r="N56" s="95" t="s">
        <v>21</v>
      </c>
      <c r="O56" s="102">
        <f t="shared" ref="O56:Q56" si="97">C56-I56</f>
        <v>18111</v>
      </c>
      <c r="P56" s="102">
        <f t="shared" si="97"/>
        <v>18111</v>
      </c>
      <c r="Q56" s="107">
        <f t="shared" si="97"/>
        <v>9511</v>
      </c>
      <c r="R56" s="105">
        <f t="shared" ref="R56:R60" si="98">Q56/O56</f>
        <v>0.52515046104577334</v>
      </c>
    </row>
    <row r="57" spans="1:18" ht="15.75" customHeight="1">
      <c r="A57" s="949"/>
      <c r="B57" s="102" t="s">
        <v>28</v>
      </c>
      <c r="C57" s="106">
        <v>33979</v>
      </c>
      <c r="D57" s="106">
        <f t="shared" ref="D57:D58" si="99">SUM(ROUND(C57*50%,0))</f>
        <v>16990</v>
      </c>
      <c r="E57" s="104">
        <v>92</v>
      </c>
      <c r="F57" s="105">
        <f t="shared" si="96"/>
        <v>2.7075546661173076E-3</v>
      </c>
      <c r="G57" s="949"/>
      <c r="H57" s="102" t="s">
        <v>28</v>
      </c>
      <c r="I57" s="106">
        <v>0</v>
      </c>
      <c r="J57" s="106">
        <f t="shared" ref="J57:J58" si="100">SUM(ROUND(I57*50%,0))</f>
        <v>0</v>
      </c>
      <c r="K57" s="104">
        <v>0</v>
      </c>
      <c r="L57" s="105">
        <v>0</v>
      </c>
      <c r="M57" s="949"/>
      <c r="N57" s="102" t="s">
        <v>28</v>
      </c>
      <c r="O57" s="102">
        <f t="shared" ref="O57:Q57" si="101">C57-I57</f>
        <v>33979</v>
      </c>
      <c r="P57" s="102">
        <f t="shared" si="101"/>
        <v>16990</v>
      </c>
      <c r="Q57" s="107">
        <f t="shared" si="101"/>
        <v>92</v>
      </c>
      <c r="R57" s="105">
        <f t="shared" si="98"/>
        <v>2.7075546661173076E-3</v>
      </c>
    </row>
    <row r="58" spans="1:18" ht="15.75" customHeight="1">
      <c r="A58" s="949"/>
      <c r="B58" s="102" t="s">
        <v>31</v>
      </c>
      <c r="C58" s="106">
        <v>104631</v>
      </c>
      <c r="D58" s="106">
        <f t="shared" si="99"/>
        <v>52316</v>
      </c>
      <c r="E58" s="104">
        <v>74433</v>
      </c>
      <c r="F58" s="105">
        <f t="shared" si="96"/>
        <v>0.71138572698339875</v>
      </c>
      <c r="G58" s="949"/>
      <c r="H58" s="102" t="s">
        <v>31</v>
      </c>
      <c r="I58" s="106">
        <v>84000</v>
      </c>
      <c r="J58" s="106">
        <f t="shared" si="100"/>
        <v>42000</v>
      </c>
      <c r="K58" s="104">
        <v>72911</v>
      </c>
      <c r="L58" s="105">
        <f t="shared" ref="L58:L60" si="102">K58/I58</f>
        <v>0.86798809523809528</v>
      </c>
      <c r="M58" s="949"/>
      <c r="N58" s="102" t="s">
        <v>31</v>
      </c>
      <c r="O58" s="102">
        <f t="shared" ref="O58:Q58" si="103">C58-I58</f>
        <v>20631</v>
      </c>
      <c r="P58" s="102">
        <f t="shared" si="103"/>
        <v>10316</v>
      </c>
      <c r="Q58" s="107">
        <f t="shared" si="103"/>
        <v>1522</v>
      </c>
      <c r="R58" s="105">
        <f t="shared" si="98"/>
        <v>7.377247830934032E-2</v>
      </c>
    </row>
    <row r="59" spans="1:18" ht="15.75" customHeight="1">
      <c r="A59" s="949"/>
      <c r="B59" s="122" t="s">
        <v>32</v>
      </c>
      <c r="C59" s="123">
        <v>495422</v>
      </c>
      <c r="D59" s="106">
        <f>SUM(ROUND(C59*75%,0))</f>
        <v>371567</v>
      </c>
      <c r="E59" s="104">
        <v>101260</v>
      </c>
      <c r="F59" s="105">
        <f t="shared" si="96"/>
        <v>0.20439140772916828</v>
      </c>
      <c r="G59" s="949"/>
      <c r="H59" s="122" t="s">
        <v>32</v>
      </c>
      <c r="I59" s="123">
        <v>76700</v>
      </c>
      <c r="J59" s="106">
        <f>SUM(ROUND(I59*75%,0))</f>
        <v>57525</v>
      </c>
      <c r="K59" s="104">
        <v>8927</v>
      </c>
      <c r="L59" s="105">
        <f t="shared" si="102"/>
        <v>0.11638852672750978</v>
      </c>
      <c r="M59" s="949"/>
      <c r="N59" s="122" t="s">
        <v>32</v>
      </c>
      <c r="O59" s="102">
        <f t="shared" ref="O59:Q59" si="104">C59-I59</f>
        <v>418722</v>
      </c>
      <c r="P59" s="102">
        <f t="shared" si="104"/>
        <v>314042</v>
      </c>
      <c r="Q59" s="107">
        <f t="shared" si="104"/>
        <v>92333</v>
      </c>
      <c r="R59" s="105">
        <f t="shared" si="98"/>
        <v>0.22051146106485925</v>
      </c>
    </row>
    <row r="60" spans="1:18" ht="15.75" customHeight="1">
      <c r="A60" s="950"/>
      <c r="B60" s="118" t="s">
        <v>25</v>
      </c>
      <c r="C60" s="115">
        <f t="shared" ref="C60:E60" si="105">SUM(C56:C59)</f>
        <v>1002353</v>
      </c>
      <c r="D60" s="115">
        <f t="shared" si="105"/>
        <v>809194</v>
      </c>
      <c r="E60" s="115">
        <f t="shared" si="105"/>
        <v>248124</v>
      </c>
      <c r="F60" s="116">
        <f t="shared" si="96"/>
        <v>0.24754153476868929</v>
      </c>
      <c r="G60" s="950"/>
      <c r="H60" s="118" t="s">
        <v>25</v>
      </c>
      <c r="I60" s="115">
        <f t="shared" ref="I60:K60" si="106">SUM(I56:I59)</f>
        <v>510910</v>
      </c>
      <c r="J60" s="115">
        <f t="shared" si="106"/>
        <v>449735</v>
      </c>
      <c r="K60" s="115">
        <f t="shared" si="106"/>
        <v>144666</v>
      </c>
      <c r="L60" s="116">
        <f t="shared" si="102"/>
        <v>0.28315358869468205</v>
      </c>
      <c r="M60" s="950"/>
      <c r="N60" s="118" t="s">
        <v>25</v>
      </c>
      <c r="O60" s="115">
        <f t="shared" ref="O60:Q60" si="107">SUM(O56:O59)</f>
        <v>491443</v>
      </c>
      <c r="P60" s="115">
        <f t="shared" si="107"/>
        <v>359459</v>
      </c>
      <c r="Q60" s="115">
        <f t="shared" si="107"/>
        <v>103458</v>
      </c>
      <c r="R60" s="105">
        <f t="shared" si="98"/>
        <v>0.21051881906955638</v>
      </c>
    </row>
    <row r="61" spans="1:18" ht="15.75" customHeight="1">
      <c r="A61" s="954"/>
      <c r="B61" s="928"/>
      <c r="C61" s="928"/>
      <c r="D61" s="928"/>
      <c r="E61" s="928"/>
      <c r="F61" s="955"/>
      <c r="G61" s="954"/>
      <c r="H61" s="928"/>
      <c r="I61" s="928"/>
      <c r="J61" s="928"/>
      <c r="K61" s="928"/>
      <c r="L61" s="955"/>
      <c r="M61" s="954"/>
      <c r="N61" s="928"/>
      <c r="O61" s="928"/>
      <c r="P61" s="928"/>
      <c r="Q61" s="928"/>
      <c r="R61" s="955"/>
    </row>
    <row r="62" spans="1:18" ht="15.75" customHeight="1">
      <c r="A62" s="948" t="s">
        <v>45</v>
      </c>
      <c r="B62" s="95" t="s">
        <v>21</v>
      </c>
      <c r="C62" s="99">
        <v>83415</v>
      </c>
      <c r="D62" s="99">
        <f>C62</f>
        <v>83415</v>
      </c>
      <c r="E62" s="97">
        <v>64311</v>
      </c>
      <c r="F62" s="98">
        <f t="shared" ref="F62:F66" si="108">E62/C62</f>
        <v>0.77097644308577595</v>
      </c>
      <c r="G62" s="948" t="s">
        <v>45</v>
      </c>
      <c r="H62" s="95" t="s">
        <v>21</v>
      </c>
      <c r="I62" s="99">
        <v>0</v>
      </c>
      <c r="J62" s="99">
        <f>I62</f>
        <v>0</v>
      </c>
      <c r="K62" s="97">
        <v>0</v>
      </c>
      <c r="L62" s="98">
        <v>0</v>
      </c>
      <c r="M62" s="948" t="s">
        <v>45</v>
      </c>
      <c r="N62" s="95" t="s">
        <v>21</v>
      </c>
      <c r="O62" s="102">
        <f t="shared" ref="O62:Q62" si="109">C62-I62</f>
        <v>83415</v>
      </c>
      <c r="P62" s="102">
        <f t="shared" si="109"/>
        <v>83415</v>
      </c>
      <c r="Q62" s="107">
        <f t="shared" si="109"/>
        <v>64311</v>
      </c>
      <c r="R62" s="105">
        <f t="shared" ref="R62:R66" si="110">Q62/O62</f>
        <v>0.77097644308577595</v>
      </c>
    </row>
    <row r="63" spans="1:18" ht="15.75" customHeight="1">
      <c r="A63" s="949"/>
      <c r="B63" s="102" t="s">
        <v>28</v>
      </c>
      <c r="C63" s="106">
        <v>19235</v>
      </c>
      <c r="D63" s="106">
        <f t="shared" ref="D63:D64" si="111">SUM(ROUND(C63*50%,0))</f>
        <v>9618</v>
      </c>
      <c r="E63" s="104">
        <v>148872</v>
      </c>
      <c r="F63" s="105">
        <f t="shared" si="108"/>
        <v>7.7396412789186382</v>
      </c>
      <c r="G63" s="949"/>
      <c r="H63" s="102" t="s">
        <v>28</v>
      </c>
      <c r="I63" s="106">
        <v>0</v>
      </c>
      <c r="J63" s="106">
        <f t="shared" ref="J63:J64" si="112">SUM(ROUND(I63*50%,0))</f>
        <v>0</v>
      </c>
      <c r="K63" s="104">
        <v>0</v>
      </c>
      <c r="L63" s="98">
        <v>0</v>
      </c>
      <c r="M63" s="949"/>
      <c r="N63" s="102" t="s">
        <v>28</v>
      </c>
      <c r="O63" s="102">
        <f t="shared" ref="O63:Q63" si="113">C63-I63</f>
        <v>19235</v>
      </c>
      <c r="P63" s="102">
        <f t="shared" si="113"/>
        <v>9618</v>
      </c>
      <c r="Q63" s="107">
        <f t="shared" si="113"/>
        <v>148872</v>
      </c>
      <c r="R63" s="105">
        <f t="shared" si="110"/>
        <v>7.7396412789186382</v>
      </c>
    </row>
    <row r="64" spans="1:18" ht="15.75" customHeight="1">
      <c r="A64" s="949"/>
      <c r="B64" s="102" t="s">
        <v>31</v>
      </c>
      <c r="C64" s="106">
        <v>40499</v>
      </c>
      <c r="D64" s="106">
        <f t="shared" si="111"/>
        <v>20250</v>
      </c>
      <c r="E64" s="104">
        <v>21072</v>
      </c>
      <c r="F64" s="105">
        <f t="shared" si="108"/>
        <v>0.52030914343564039</v>
      </c>
      <c r="G64" s="949"/>
      <c r="H64" s="102" t="s">
        <v>31</v>
      </c>
      <c r="I64" s="106">
        <v>0</v>
      </c>
      <c r="J64" s="106">
        <f t="shared" si="112"/>
        <v>0</v>
      </c>
      <c r="K64" s="104">
        <v>0</v>
      </c>
      <c r="L64" s="98">
        <v>0</v>
      </c>
      <c r="M64" s="949"/>
      <c r="N64" s="102" t="s">
        <v>31</v>
      </c>
      <c r="O64" s="102">
        <f t="shared" ref="O64:Q64" si="114">C64-I64</f>
        <v>40499</v>
      </c>
      <c r="P64" s="102">
        <f t="shared" si="114"/>
        <v>20250</v>
      </c>
      <c r="Q64" s="107">
        <f t="shared" si="114"/>
        <v>21072</v>
      </c>
      <c r="R64" s="105">
        <f t="shared" si="110"/>
        <v>0.52030914343564039</v>
      </c>
    </row>
    <row r="65" spans="1:18" ht="15.75" customHeight="1">
      <c r="A65" s="949"/>
      <c r="B65" s="122" t="s">
        <v>32</v>
      </c>
      <c r="C65" s="123">
        <v>184800</v>
      </c>
      <c r="D65" s="106">
        <f>SUM(ROUND(C65*75%,0))</f>
        <v>138600</v>
      </c>
      <c r="E65" s="104">
        <v>3323</v>
      </c>
      <c r="F65" s="105">
        <f t="shared" si="108"/>
        <v>1.798160173160173E-2</v>
      </c>
      <c r="G65" s="949"/>
      <c r="H65" s="122" t="s">
        <v>32</v>
      </c>
      <c r="I65" s="123">
        <v>0</v>
      </c>
      <c r="J65" s="106">
        <f>SUM(ROUND(I65*75%,0))</f>
        <v>0</v>
      </c>
      <c r="K65" s="104">
        <v>0</v>
      </c>
      <c r="L65" s="98">
        <v>0</v>
      </c>
      <c r="M65" s="949"/>
      <c r="N65" s="122" t="s">
        <v>32</v>
      </c>
      <c r="O65" s="102">
        <f t="shared" ref="O65:Q65" si="115">C65-I65</f>
        <v>184800</v>
      </c>
      <c r="P65" s="102">
        <f t="shared" si="115"/>
        <v>138600</v>
      </c>
      <c r="Q65" s="107">
        <f t="shared" si="115"/>
        <v>3323</v>
      </c>
      <c r="R65" s="105">
        <f t="shared" si="110"/>
        <v>1.798160173160173E-2</v>
      </c>
    </row>
    <row r="66" spans="1:18" ht="15.75" customHeight="1">
      <c r="A66" s="950"/>
      <c r="B66" s="118" t="s">
        <v>25</v>
      </c>
      <c r="C66" s="115">
        <f t="shared" ref="C66:E66" si="116">SUM(C62:C65)</f>
        <v>327949</v>
      </c>
      <c r="D66" s="115">
        <f t="shared" si="116"/>
        <v>251883</v>
      </c>
      <c r="E66" s="121">
        <f t="shared" si="116"/>
        <v>237578</v>
      </c>
      <c r="F66" s="116">
        <f t="shared" si="108"/>
        <v>0.72443581166583826</v>
      </c>
      <c r="G66" s="950"/>
      <c r="H66" s="118" t="s">
        <v>25</v>
      </c>
      <c r="I66" s="115">
        <f t="shared" ref="I66:K66" si="117">SUM(I62:I65)</f>
        <v>0</v>
      </c>
      <c r="J66" s="115">
        <f t="shared" si="117"/>
        <v>0</v>
      </c>
      <c r="K66" s="121">
        <f t="shared" si="117"/>
        <v>0</v>
      </c>
      <c r="L66" s="116">
        <v>0</v>
      </c>
      <c r="M66" s="950"/>
      <c r="N66" s="118" t="s">
        <v>25</v>
      </c>
      <c r="O66" s="115">
        <f t="shared" ref="O66:Q66" si="118">SUM(O62:O65)</f>
        <v>327949</v>
      </c>
      <c r="P66" s="115">
        <f t="shared" si="118"/>
        <v>251883</v>
      </c>
      <c r="Q66" s="115">
        <f t="shared" si="118"/>
        <v>237578</v>
      </c>
      <c r="R66" s="105">
        <f t="shared" si="110"/>
        <v>0.72443581166583826</v>
      </c>
    </row>
    <row r="67" spans="1:18" ht="15.75" customHeight="1">
      <c r="A67" s="954"/>
      <c r="B67" s="928"/>
      <c r="C67" s="928"/>
      <c r="D67" s="928"/>
      <c r="E67" s="928"/>
      <c r="F67" s="955"/>
      <c r="G67" s="954"/>
      <c r="H67" s="928"/>
      <c r="I67" s="928"/>
      <c r="J67" s="928"/>
      <c r="K67" s="928"/>
      <c r="L67" s="955"/>
      <c r="M67" s="954"/>
      <c r="N67" s="928"/>
      <c r="O67" s="928"/>
      <c r="P67" s="928"/>
      <c r="Q67" s="928"/>
      <c r="R67" s="955"/>
    </row>
    <row r="68" spans="1:18" ht="15.75" customHeight="1">
      <c r="A68" s="948" t="s">
        <v>47</v>
      </c>
      <c r="B68" s="95" t="s">
        <v>21</v>
      </c>
      <c r="C68" s="99">
        <f>286580+490000</f>
        <v>776580</v>
      </c>
      <c r="D68" s="99">
        <f>C68</f>
        <v>776580</v>
      </c>
      <c r="E68" s="97">
        <v>190216</v>
      </c>
      <c r="F68" s="98">
        <f t="shared" ref="F68:F72" si="119">E68/C68</f>
        <v>0.24494063715264364</v>
      </c>
      <c r="G68" s="948" t="s">
        <v>47</v>
      </c>
      <c r="H68" s="95" t="s">
        <v>21</v>
      </c>
      <c r="I68" s="99">
        <v>100000</v>
      </c>
      <c r="J68" s="99">
        <f>I68</f>
        <v>100000</v>
      </c>
      <c r="K68" s="97">
        <f>0+100000</f>
        <v>100000</v>
      </c>
      <c r="L68" s="98">
        <f t="shared" ref="L68:L70" si="120">K68/I68</f>
        <v>1</v>
      </c>
      <c r="M68" s="948" t="s">
        <v>47</v>
      </c>
      <c r="N68" s="95" t="s">
        <v>21</v>
      </c>
      <c r="O68" s="95">
        <f t="shared" ref="O68:Q68" si="121">C68-I68</f>
        <v>676580</v>
      </c>
      <c r="P68" s="106">
        <f t="shared" si="121"/>
        <v>676580</v>
      </c>
      <c r="Q68" s="95">
        <f t="shared" si="121"/>
        <v>90216</v>
      </c>
      <c r="R68" s="105">
        <f t="shared" ref="R68:R72" si="122">Q68/O68</f>
        <v>0.13334121611634989</v>
      </c>
    </row>
    <row r="69" spans="1:18" ht="15.75" customHeight="1">
      <c r="A69" s="949"/>
      <c r="B69" s="102" t="s">
        <v>28</v>
      </c>
      <c r="C69" s="106">
        <v>91000</v>
      </c>
      <c r="D69" s="106">
        <f t="shared" ref="D69:D70" si="123">SUM(ROUND(C69*50%,0))</f>
        <v>45500</v>
      </c>
      <c r="E69" s="104">
        <v>4015</v>
      </c>
      <c r="F69" s="105">
        <f t="shared" si="119"/>
        <v>4.4120879120879121E-2</v>
      </c>
      <c r="G69" s="949"/>
      <c r="H69" s="102" t="s">
        <v>28</v>
      </c>
      <c r="I69" s="106">
        <v>57500</v>
      </c>
      <c r="J69" s="106">
        <f t="shared" ref="J69:J70" si="124">SUM(ROUND(I69*50%,0))</f>
        <v>28750</v>
      </c>
      <c r="K69" s="104">
        <v>2641</v>
      </c>
      <c r="L69" s="105">
        <f t="shared" si="120"/>
        <v>4.5930434782608692E-2</v>
      </c>
      <c r="M69" s="949"/>
      <c r="N69" s="102" t="s">
        <v>28</v>
      </c>
      <c r="O69" s="102">
        <f t="shared" ref="O69:Q69" si="125">C69-I69</f>
        <v>33500</v>
      </c>
      <c r="P69" s="106">
        <f t="shared" si="125"/>
        <v>16750</v>
      </c>
      <c r="Q69" s="102">
        <f t="shared" si="125"/>
        <v>1374</v>
      </c>
      <c r="R69" s="105">
        <f t="shared" si="122"/>
        <v>4.101492537313433E-2</v>
      </c>
    </row>
    <row r="70" spans="1:18" ht="15.75" customHeight="1">
      <c r="A70" s="949"/>
      <c r="B70" s="102" t="s">
        <v>31</v>
      </c>
      <c r="C70" s="106">
        <v>81006</v>
      </c>
      <c r="D70" s="106">
        <f t="shared" si="123"/>
        <v>40503</v>
      </c>
      <c r="E70" s="104">
        <v>64325</v>
      </c>
      <c r="F70" s="105">
        <f t="shared" si="119"/>
        <v>0.7940769819519542</v>
      </c>
      <c r="G70" s="949"/>
      <c r="H70" s="102" t="s">
        <v>31</v>
      </c>
      <c r="I70" s="106">
        <v>34006</v>
      </c>
      <c r="J70" s="106">
        <f t="shared" si="124"/>
        <v>17003</v>
      </c>
      <c r="K70" s="104">
        <v>45336</v>
      </c>
      <c r="L70" s="105">
        <f t="shared" si="120"/>
        <v>1.3331764982650121</v>
      </c>
      <c r="M70" s="949"/>
      <c r="N70" s="102" t="s">
        <v>31</v>
      </c>
      <c r="O70" s="102">
        <f t="shared" ref="O70:Q70" si="126">C70-I70</f>
        <v>47000</v>
      </c>
      <c r="P70" s="106">
        <f t="shared" si="126"/>
        <v>23500</v>
      </c>
      <c r="Q70" s="102">
        <f t="shared" si="126"/>
        <v>18989</v>
      </c>
      <c r="R70" s="105">
        <f t="shared" si="122"/>
        <v>0.40402127659574466</v>
      </c>
    </row>
    <row r="71" spans="1:18" ht="15.75" customHeight="1">
      <c r="A71" s="949"/>
      <c r="B71" s="122" t="s">
        <v>32</v>
      </c>
      <c r="C71" s="123">
        <v>125000</v>
      </c>
      <c r="D71" s="106">
        <f>SUM(ROUND(C71*75%,0))</f>
        <v>93750</v>
      </c>
      <c r="E71" s="104">
        <v>18359</v>
      </c>
      <c r="F71" s="105">
        <f t="shared" si="119"/>
        <v>0.146872</v>
      </c>
      <c r="G71" s="949"/>
      <c r="H71" s="122" t="s">
        <v>32</v>
      </c>
      <c r="I71" s="123">
        <v>0</v>
      </c>
      <c r="J71" s="106">
        <f>SUM(ROUND(I71*75%,0))</f>
        <v>0</v>
      </c>
      <c r="K71" s="104">
        <v>0</v>
      </c>
      <c r="L71" s="105">
        <v>0</v>
      </c>
      <c r="M71" s="949"/>
      <c r="N71" s="122" t="s">
        <v>32</v>
      </c>
      <c r="O71" s="102">
        <f t="shared" ref="O71:Q71" si="127">C71-I71</f>
        <v>125000</v>
      </c>
      <c r="P71" s="106">
        <f t="shared" si="127"/>
        <v>93750</v>
      </c>
      <c r="Q71" s="102">
        <f t="shared" si="127"/>
        <v>18359</v>
      </c>
      <c r="R71" s="105">
        <f t="shared" si="122"/>
        <v>0.146872</v>
      </c>
    </row>
    <row r="72" spans="1:18" ht="15.75" customHeight="1">
      <c r="A72" s="950"/>
      <c r="B72" s="118" t="s">
        <v>25</v>
      </c>
      <c r="C72" s="115">
        <f t="shared" ref="C72:E72" si="128">SUM(C68:C71)</f>
        <v>1073586</v>
      </c>
      <c r="D72" s="115">
        <f t="shared" si="128"/>
        <v>956333</v>
      </c>
      <c r="E72" s="121">
        <f t="shared" si="128"/>
        <v>276915</v>
      </c>
      <c r="F72" s="116">
        <f t="shared" si="119"/>
        <v>0.25793462284344243</v>
      </c>
      <c r="G72" s="950"/>
      <c r="H72" s="118" t="s">
        <v>25</v>
      </c>
      <c r="I72" s="115">
        <f t="shared" ref="I72:K72" si="129">SUM(I68:I71)</f>
        <v>191506</v>
      </c>
      <c r="J72" s="115">
        <f t="shared" si="129"/>
        <v>145753</v>
      </c>
      <c r="K72" s="121">
        <f t="shared" si="129"/>
        <v>147977</v>
      </c>
      <c r="L72" s="116">
        <f>K72/I72</f>
        <v>0.77270163859095797</v>
      </c>
      <c r="M72" s="950"/>
      <c r="N72" s="118" t="s">
        <v>25</v>
      </c>
      <c r="O72" s="118">
        <f t="shared" ref="O72:Q72" si="130">SUM(O68:O71)</f>
        <v>882080</v>
      </c>
      <c r="P72" s="115">
        <f t="shared" si="130"/>
        <v>810580</v>
      </c>
      <c r="Q72" s="118">
        <f t="shared" si="130"/>
        <v>128938</v>
      </c>
      <c r="R72" s="105">
        <f t="shared" si="122"/>
        <v>0.14617495011790313</v>
      </c>
    </row>
    <row r="73" spans="1:18" ht="15.75" customHeight="1">
      <c r="A73" s="954"/>
      <c r="B73" s="928"/>
      <c r="C73" s="928"/>
      <c r="D73" s="928"/>
      <c r="E73" s="928"/>
      <c r="F73" s="955"/>
      <c r="G73" s="954"/>
      <c r="H73" s="928"/>
      <c r="I73" s="928"/>
      <c r="J73" s="928"/>
      <c r="K73" s="928"/>
      <c r="L73" s="955"/>
      <c r="M73" s="954"/>
      <c r="N73" s="928"/>
      <c r="O73" s="928"/>
      <c r="P73" s="928"/>
      <c r="Q73" s="928"/>
      <c r="R73" s="955"/>
    </row>
    <row r="74" spans="1:18" ht="15.75" customHeight="1">
      <c r="A74" s="948" t="s">
        <v>52</v>
      </c>
      <c r="B74" s="95" t="s">
        <v>21</v>
      </c>
      <c r="C74" s="99">
        <v>71102</v>
      </c>
      <c r="D74" s="99">
        <f>C74</f>
        <v>71102</v>
      </c>
      <c r="E74" s="97">
        <v>9759</v>
      </c>
      <c r="F74" s="98">
        <f t="shared" ref="F74:F77" si="131">E74/C74</f>
        <v>0.13725352310764816</v>
      </c>
      <c r="G74" s="948" t="s">
        <v>52</v>
      </c>
      <c r="H74" s="95" t="s">
        <v>21</v>
      </c>
      <c r="I74" s="99">
        <v>102</v>
      </c>
      <c r="J74" s="99">
        <f>I74</f>
        <v>102</v>
      </c>
      <c r="K74" s="97">
        <v>6594</v>
      </c>
      <c r="L74" s="98">
        <f t="shared" ref="L74:L77" si="132">K74/I74</f>
        <v>64.647058823529406</v>
      </c>
      <c r="M74" s="948" t="s">
        <v>52</v>
      </c>
      <c r="N74" s="95" t="s">
        <v>21</v>
      </c>
      <c r="O74" s="102">
        <f t="shared" ref="O74:Q74" si="133">C74-I74</f>
        <v>71000</v>
      </c>
      <c r="P74" s="102">
        <f t="shared" si="133"/>
        <v>71000</v>
      </c>
      <c r="Q74" s="107">
        <f t="shared" si="133"/>
        <v>3165</v>
      </c>
      <c r="R74" s="105">
        <f t="shared" ref="R74:R77" si="134">Q74/O74</f>
        <v>4.4577464788732396E-2</v>
      </c>
    </row>
    <row r="75" spans="1:18" ht="15.75" customHeight="1">
      <c r="A75" s="949"/>
      <c r="B75" s="102" t="s">
        <v>102</v>
      </c>
      <c r="C75" s="106">
        <v>196016</v>
      </c>
      <c r="D75" s="106">
        <f t="shared" ref="D75:D76" si="135">SUM(ROUND(C75*50%,0))</f>
        <v>98008</v>
      </c>
      <c r="E75" s="104">
        <v>72544</v>
      </c>
      <c r="F75" s="105">
        <f t="shared" si="131"/>
        <v>0.3700922373683781</v>
      </c>
      <c r="G75" s="949"/>
      <c r="H75" s="102" t="s">
        <v>102</v>
      </c>
      <c r="I75" s="106">
        <v>87509</v>
      </c>
      <c r="J75" s="106">
        <f t="shared" ref="J75:J76" si="136">SUM(ROUND(I75*50%,0))</f>
        <v>43755</v>
      </c>
      <c r="K75" s="104">
        <v>37867</v>
      </c>
      <c r="L75" s="105">
        <f t="shared" si="132"/>
        <v>0.43272120581883006</v>
      </c>
      <c r="M75" s="949"/>
      <c r="N75" s="102" t="s">
        <v>102</v>
      </c>
      <c r="O75" s="102">
        <f t="shared" ref="O75:Q75" si="137">C75-I75</f>
        <v>108507</v>
      </c>
      <c r="P75" s="102">
        <f t="shared" si="137"/>
        <v>54253</v>
      </c>
      <c r="Q75" s="107">
        <f t="shared" si="137"/>
        <v>34677</v>
      </c>
      <c r="R75" s="105">
        <f t="shared" si="134"/>
        <v>0.319583068373469</v>
      </c>
    </row>
    <row r="76" spans="1:18" ht="15.75" customHeight="1">
      <c r="A76" s="949"/>
      <c r="B76" s="102" t="s">
        <v>31</v>
      </c>
      <c r="C76" s="106">
        <v>43025</v>
      </c>
      <c r="D76" s="106">
        <f t="shared" si="135"/>
        <v>21513</v>
      </c>
      <c r="E76" s="104">
        <v>524</v>
      </c>
      <c r="F76" s="105">
        <f t="shared" si="131"/>
        <v>1.2178965717606042E-2</v>
      </c>
      <c r="G76" s="949"/>
      <c r="H76" s="102" t="s">
        <v>31</v>
      </c>
      <c r="I76" s="106">
        <v>203</v>
      </c>
      <c r="J76" s="106">
        <f t="shared" si="136"/>
        <v>102</v>
      </c>
      <c r="K76" s="104">
        <v>0</v>
      </c>
      <c r="L76" s="105">
        <f t="shared" si="132"/>
        <v>0</v>
      </c>
      <c r="M76" s="949"/>
      <c r="N76" s="102" t="s">
        <v>31</v>
      </c>
      <c r="O76" s="102">
        <f t="shared" ref="O76:Q76" si="138">C76-I76</f>
        <v>42822</v>
      </c>
      <c r="P76" s="102">
        <f t="shared" si="138"/>
        <v>21411</v>
      </c>
      <c r="Q76" s="107">
        <f t="shared" si="138"/>
        <v>524</v>
      </c>
      <c r="R76" s="105">
        <f t="shared" si="134"/>
        <v>1.2236700761290926E-2</v>
      </c>
    </row>
    <row r="77" spans="1:18" ht="15.75" customHeight="1">
      <c r="A77" s="950"/>
      <c r="B77" s="118" t="s">
        <v>25</v>
      </c>
      <c r="C77" s="115">
        <f t="shared" ref="C77:E77" si="139">SUM(C74:C76)</f>
        <v>310143</v>
      </c>
      <c r="D77" s="115">
        <f t="shared" si="139"/>
        <v>190623</v>
      </c>
      <c r="E77" s="121">
        <f t="shared" si="139"/>
        <v>82827</v>
      </c>
      <c r="F77" s="116">
        <f t="shared" si="131"/>
        <v>0.26706067846122594</v>
      </c>
      <c r="G77" s="950"/>
      <c r="H77" s="118" t="s">
        <v>25</v>
      </c>
      <c r="I77" s="115">
        <f t="shared" ref="I77:K77" si="140">SUM(I74:I76)</f>
        <v>87814</v>
      </c>
      <c r="J77" s="115">
        <f t="shared" si="140"/>
        <v>43959</v>
      </c>
      <c r="K77" s="121">
        <f t="shared" si="140"/>
        <v>44461</v>
      </c>
      <c r="L77" s="116">
        <f t="shared" si="132"/>
        <v>0.50630878903136178</v>
      </c>
      <c r="M77" s="950"/>
      <c r="N77" s="118" t="s">
        <v>25</v>
      </c>
      <c r="O77" s="115">
        <f t="shared" ref="O77:Q77" si="141">SUM(O74:O76)</f>
        <v>222329</v>
      </c>
      <c r="P77" s="115">
        <f t="shared" si="141"/>
        <v>146664</v>
      </c>
      <c r="Q77" s="115">
        <f t="shared" si="141"/>
        <v>38366</v>
      </c>
      <c r="R77" s="105">
        <f t="shared" si="134"/>
        <v>0.1725640829581386</v>
      </c>
    </row>
    <row r="78" spans="1:18" ht="15.75" customHeight="1">
      <c r="A78" s="954"/>
      <c r="B78" s="928"/>
      <c r="C78" s="928"/>
      <c r="D78" s="928"/>
      <c r="E78" s="928"/>
      <c r="F78" s="955"/>
      <c r="G78" s="954"/>
      <c r="H78" s="928"/>
      <c r="I78" s="928"/>
      <c r="J78" s="928"/>
      <c r="K78" s="928"/>
      <c r="L78" s="955"/>
      <c r="M78" s="954"/>
      <c r="N78" s="928"/>
      <c r="O78" s="928"/>
      <c r="P78" s="928"/>
      <c r="Q78" s="928"/>
      <c r="R78" s="955"/>
    </row>
    <row r="79" spans="1:18" ht="15.75" customHeight="1">
      <c r="A79" s="948" t="s">
        <v>54</v>
      </c>
      <c r="B79" s="95" t="s">
        <v>21</v>
      </c>
      <c r="C79" s="99">
        <v>482000</v>
      </c>
      <c r="D79" s="99">
        <f>C79</f>
        <v>482000</v>
      </c>
      <c r="E79" s="97">
        <v>64707</v>
      </c>
      <c r="F79" s="98">
        <f t="shared" ref="F79:F83" si="142">E79/C79</f>
        <v>0.13424688796680498</v>
      </c>
      <c r="G79" s="948" t="s">
        <v>54</v>
      </c>
      <c r="H79" s="95" t="s">
        <v>21</v>
      </c>
      <c r="I79" s="99">
        <v>0</v>
      </c>
      <c r="J79" s="99">
        <f>I79</f>
        <v>0</v>
      </c>
      <c r="K79" s="97">
        <v>0</v>
      </c>
      <c r="L79" s="98">
        <v>0</v>
      </c>
      <c r="M79" s="948" t="s">
        <v>54</v>
      </c>
      <c r="N79" s="95" t="s">
        <v>21</v>
      </c>
      <c r="O79" s="102">
        <f t="shared" ref="O79:Q79" si="143">C79-I79</f>
        <v>482000</v>
      </c>
      <c r="P79" s="102">
        <f t="shared" si="143"/>
        <v>482000</v>
      </c>
      <c r="Q79" s="107">
        <f t="shared" si="143"/>
        <v>64707</v>
      </c>
      <c r="R79" s="105">
        <f t="shared" ref="R79:R83" si="144">Q79/O79</f>
        <v>0.13424688796680498</v>
      </c>
    </row>
    <row r="80" spans="1:18" ht="15.75" customHeight="1">
      <c r="A80" s="949"/>
      <c r="B80" s="102" t="s">
        <v>28</v>
      </c>
      <c r="C80" s="106">
        <v>141003</v>
      </c>
      <c r="D80" s="106">
        <f t="shared" ref="D80:D81" si="145">SUM(ROUND(C80*50%,0))</f>
        <v>70502</v>
      </c>
      <c r="E80" s="104">
        <v>8476</v>
      </c>
      <c r="F80" s="105">
        <f t="shared" si="142"/>
        <v>6.0112196194407212E-2</v>
      </c>
      <c r="G80" s="949"/>
      <c r="H80" s="102" t="s">
        <v>28</v>
      </c>
      <c r="I80" s="106">
        <v>0</v>
      </c>
      <c r="J80" s="106">
        <f t="shared" ref="J80:J81" si="146">SUM(ROUND(I80*50%,0))</f>
        <v>0</v>
      </c>
      <c r="K80" s="104">
        <v>0</v>
      </c>
      <c r="L80" s="105">
        <v>0</v>
      </c>
      <c r="M80" s="949"/>
      <c r="N80" s="102" t="s">
        <v>28</v>
      </c>
      <c r="O80" s="102">
        <f t="shared" ref="O80:Q80" si="147">C80-I80</f>
        <v>141003</v>
      </c>
      <c r="P80" s="102">
        <f t="shared" si="147"/>
        <v>70502</v>
      </c>
      <c r="Q80" s="107">
        <f t="shared" si="147"/>
        <v>8476</v>
      </c>
      <c r="R80" s="105">
        <f t="shared" si="144"/>
        <v>6.0112196194407212E-2</v>
      </c>
    </row>
    <row r="81" spans="1:18" ht="15.75" customHeight="1">
      <c r="A81" s="949"/>
      <c r="B81" s="102" t="s">
        <v>31</v>
      </c>
      <c r="C81" s="106">
        <v>435516</v>
      </c>
      <c r="D81" s="106">
        <f t="shared" si="145"/>
        <v>217758</v>
      </c>
      <c r="E81" s="104">
        <v>134266</v>
      </c>
      <c r="F81" s="105">
        <f t="shared" si="142"/>
        <v>0.30829177343656722</v>
      </c>
      <c r="G81" s="949"/>
      <c r="H81" s="102" t="s">
        <v>31</v>
      </c>
      <c r="I81" s="106">
        <v>163102</v>
      </c>
      <c r="J81" s="106">
        <f t="shared" si="146"/>
        <v>81551</v>
      </c>
      <c r="K81" s="104">
        <v>52317</v>
      </c>
      <c r="L81" s="105">
        <f t="shared" ref="L81:L83" si="148">K81/I81</f>
        <v>0.32076246765827521</v>
      </c>
      <c r="M81" s="949"/>
      <c r="N81" s="102" t="s">
        <v>31</v>
      </c>
      <c r="O81" s="102">
        <f t="shared" ref="O81:Q81" si="149">C81-I81</f>
        <v>272414</v>
      </c>
      <c r="P81" s="102">
        <f t="shared" si="149"/>
        <v>136207</v>
      </c>
      <c r="Q81" s="107">
        <f t="shared" si="149"/>
        <v>81949</v>
      </c>
      <c r="R81" s="105">
        <f t="shared" si="144"/>
        <v>0.30082521456312816</v>
      </c>
    </row>
    <row r="82" spans="1:18" ht="15.75" customHeight="1">
      <c r="A82" s="949"/>
      <c r="B82" s="122" t="s">
        <v>32</v>
      </c>
      <c r="C82" s="123">
        <v>707811</v>
      </c>
      <c r="D82" s="106">
        <f>SUM(ROUND(C82*75%,0))</f>
        <v>530858</v>
      </c>
      <c r="E82" s="104">
        <v>225463</v>
      </c>
      <c r="F82" s="105">
        <f t="shared" si="142"/>
        <v>0.31853559777963325</v>
      </c>
      <c r="G82" s="949"/>
      <c r="H82" s="122" t="s">
        <v>32</v>
      </c>
      <c r="I82" s="123">
        <v>1</v>
      </c>
      <c r="J82" s="106">
        <f>SUM(ROUND(I82*75%,0))</f>
        <v>1</v>
      </c>
      <c r="K82" s="104">
        <v>0</v>
      </c>
      <c r="L82" s="105">
        <f t="shared" si="148"/>
        <v>0</v>
      </c>
      <c r="M82" s="949"/>
      <c r="N82" s="122" t="s">
        <v>32</v>
      </c>
      <c r="O82" s="102">
        <f t="shared" ref="O82:Q82" si="150">C82-I82</f>
        <v>707810</v>
      </c>
      <c r="P82" s="102">
        <f t="shared" si="150"/>
        <v>530857</v>
      </c>
      <c r="Q82" s="107">
        <f t="shared" si="150"/>
        <v>225463</v>
      </c>
      <c r="R82" s="105">
        <f t="shared" si="144"/>
        <v>0.31853604780944039</v>
      </c>
    </row>
    <row r="83" spans="1:18" ht="15.75" customHeight="1">
      <c r="A83" s="950"/>
      <c r="B83" s="118" t="s">
        <v>25</v>
      </c>
      <c r="C83" s="115">
        <f t="shared" ref="C83:E83" si="151">SUM(C79:C82)</f>
        <v>1766330</v>
      </c>
      <c r="D83" s="115">
        <f t="shared" si="151"/>
        <v>1301118</v>
      </c>
      <c r="E83" s="121">
        <f t="shared" si="151"/>
        <v>432912</v>
      </c>
      <c r="F83" s="116">
        <f t="shared" si="142"/>
        <v>0.24509123436730396</v>
      </c>
      <c r="G83" s="950"/>
      <c r="H83" s="118" t="s">
        <v>25</v>
      </c>
      <c r="I83" s="115">
        <f t="shared" ref="I83:K83" si="152">SUM(I79:I82)</f>
        <v>163103</v>
      </c>
      <c r="J83" s="115">
        <f t="shared" si="152"/>
        <v>81552</v>
      </c>
      <c r="K83" s="121">
        <f t="shared" si="152"/>
        <v>52317</v>
      </c>
      <c r="L83" s="116">
        <f t="shared" si="148"/>
        <v>0.32076050103308951</v>
      </c>
      <c r="M83" s="950"/>
      <c r="N83" s="118" t="s">
        <v>25</v>
      </c>
      <c r="O83" s="115">
        <f t="shared" ref="O83:Q83" si="153">SUM(O79:O82)</f>
        <v>1603227</v>
      </c>
      <c r="P83" s="115">
        <f t="shared" si="153"/>
        <v>1219566</v>
      </c>
      <c r="Q83" s="130">
        <f t="shared" si="153"/>
        <v>380595</v>
      </c>
      <c r="R83" s="105">
        <f t="shared" si="144"/>
        <v>0.23739308282607516</v>
      </c>
    </row>
    <row r="84" spans="1:18" ht="15.75" customHeight="1">
      <c r="A84" s="954"/>
      <c r="B84" s="928"/>
      <c r="C84" s="928"/>
      <c r="D84" s="928"/>
      <c r="E84" s="928"/>
      <c r="F84" s="955"/>
      <c r="G84" s="954"/>
      <c r="H84" s="928"/>
      <c r="I84" s="928"/>
      <c r="J84" s="928"/>
      <c r="K84" s="928"/>
      <c r="L84" s="955"/>
      <c r="M84" s="954"/>
      <c r="N84" s="928"/>
      <c r="O84" s="928"/>
      <c r="P84" s="928"/>
      <c r="Q84" s="928"/>
      <c r="R84" s="955"/>
    </row>
    <row r="85" spans="1:18" ht="15.75" customHeight="1">
      <c r="A85" s="948" t="s">
        <v>56</v>
      </c>
      <c r="B85" s="95" t="s">
        <v>21</v>
      </c>
      <c r="C85" s="99">
        <v>31541</v>
      </c>
      <c r="D85" s="99">
        <f>C85</f>
        <v>31541</v>
      </c>
      <c r="E85" s="97">
        <v>445</v>
      </c>
      <c r="F85" s="98">
        <f t="shared" ref="F85:F89" si="154">E85/C85</f>
        <v>1.4108620525665007E-2</v>
      </c>
      <c r="G85" s="948" t="s">
        <v>56</v>
      </c>
      <c r="H85" s="95" t="s">
        <v>21</v>
      </c>
      <c r="I85" s="99">
        <v>441</v>
      </c>
      <c r="J85" s="99">
        <f>I85</f>
        <v>441</v>
      </c>
      <c r="K85" s="97">
        <v>0</v>
      </c>
      <c r="L85" s="98">
        <f t="shared" ref="L85:L87" si="155">K85/I85</f>
        <v>0</v>
      </c>
      <c r="M85" s="948" t="s">
        <v>56</v>
      </c>
      <c r="N85" s="95" t="s">
        <v>21</v>
      </c>
      <c r="O85" s="102">
        <f t="shared" ref="O85:Q85" si="156">C85-I85</f>
        <v>31100</v>
      </c>
      <c r="P85" s="102">
        <f t="shared" si="156"/>
        <v>31100</v>
      </c>
      <c r="Q85" s="107">
        <f t="shared" si="156"/>
        <v>445</v>
      </c>
      <c r="R85" s="105">
        <f t="shared" ref="R85:R89" si="157">Q85/O85</f>
        <v>1.4308681672025723E-2</v>
      </c>
    </row>
    <row r="86" spans="1:18" ht="15.75" customHeight="1">
      <c r="A86" s="949"/>
      <c r="B86" s="102" t="s">
        <v>28</v>
      </c>
      <c r="C86" s="106">
        <v>9731</v>
      </c>
      <c r="D86" s="106">
        <f t="shared" ref="D86:D87" si="158">SUM(ROUND(C86*50%,0))</f>
        <v>4866</v>
      </c>
      <c r="E86" s="104">
        <v>3012</v>
      </c>
      <c r="F86" s="105">
        <f t="shared" si="154"/>
        <v>0.30952625629431713</v>
      </c>
      <c r="G86" s="949"/>
      <c r="H86" s="102" t="s">
        <v>28</v>
      </c>
      <c r="I86" s="106">
        <v>1</v>
      </c>
      <c r="J86" s="106">
        <f t="shared" ref="J86:J87" si="159">SUM(ROUND(I86*50%,0))</f>
        <v>1</v>
      </c>
      <c r="K86" s="104">
        <v>0</v>
      </c>
      <c r="L86" s="105">
        <f t="shared" si="155"/>
        <v>0</v>
      </c>
      <c r="M86" s="949"/>
      <c r="N86" s="102" t="s">
        <v>28</v>
      </c>
      <c r="O86" s="102">
        <f t="shared" ref="O86:Q86" si="160">C86-I86</f>
        <v>9730</v>
      </c>
      <c r="P86" s="102">
        <f t="shared" si="160"/>
        <v>4865</v>
      </c>
      <c r="Q86" s="107">
        <f t="shared" si="160"/>
        <v>3012</v>
      </c>
      <c r="R86" s="105">
        <f t="shared" si="157"/>
        <v>0.30955806783144912</v>
      </c>
    </row>
    <row r="87" spans="1:18" ht="15.75" customHeight="1">
      <c r="A87" s="949"/>
      <c r="B87" s="102" t="s">
        <v>103</v>
      </c>
      <c r="C87" s="106">
        <v>24603</v>
      </c>
      <c r="D87" s="106">
        <f t="shared" si="158"/>
        <v>12302</v>
      </c>
      <c r="E87" s="104">
        <v>69701</v>
      </c>
      <c r="F87" s="105">
        <f t="shared" si="154"/>
        <v>2.8330284924602691</v>
      </c>
      <c r="G87" s="949"/>
      <c r="H87" s="102" t="s">
        <v>103</v>
      </c>
      <c r="I87" s="106">
        <v>1519</v>
      </c>
      <c r="J87" s="106">
        <f t="shared" si="159"/>
        <v>760</v>
      </c>
      <c r="K87" s="104">
        <v>0</v>
      </c>
      <c r="L87" s="105">
        <f t="shared" si="155"/>
        <v>0</v>
      </c>
      <c r="M87" s="949"/>
      <c r="N87" s="102" t="s">
        <v>103</v>
      </c>
      <c r="O87" s="102">
        <f t="shared" ref="O87:Q87" si="161">C87-I87</f>
        <v>23084</v>
      </c>
      <c r="P87" s="102">
        <f t="shared" si="161"/>
        <v>11542</v>
      </c>
      <c r="Q87" s="107">
        <f t="shared" si="161"/>
        <v>69701</v>
      </c>
      <c r="R87" s="105">
        <f t="shared" si="157"/>
        <v>3.0194507017847858</v>
      </c>
    </row>
    <row r="88" spans="1:18" ht="15.75" customHeight="1">
      <c r="A88" s="949"/>
      <c r="B88" s="122" t="s">
        <v>32</v>
      </c>
      <c r="C88" s="123">
        <v>334764</v>
      </c>
      <c r="D88" s="106">
        <f>SUM(ROUND(C88*75%,0))</f>
        <v>251073</v>
      </c>
      <c r="E88" s="104">
        <v>100600</v>
      </c>
      <c r="F88" s="105">
        <f t="shared" si="154"/>
        <v>0.3005102101779164</v>
      </c>
      <c r="G88" s="949"/>
      <c r="H88" s="122" t="s">
        <v>32</v>
      </c>
      <c r="I88" s="123">
        <v>0</v>
      </c>
      <c r="J88" s="106">
        <f>SUM(ROUND(I88*75%,0))</f>
        <v>0</v>
      </c>
      <c r="K88" s="104">
        <v>0</v>
      </c>
      <c r="L88" s="105">
        <v>0</v>
      </c>
      <c r="M88" s="949"/>
      <c r="N88" s="122" t="s">
        <v>32</v>
      </c>
      <c r="O88" s="102">
        <f t="shared" ref="O88:Q88" si="162">C88-I88</f>
        <v>334764</v>
      </c>
      <c r="P88" s="102">
        <f t="shared" si="162"/>
        <v>251073</v>
      </c>
      <c r="Q88" s="107">
        <f t="shared" si="162"/>
        <v>100600</v>
      </c>
      <c r="R88" s="105">
        <f t="shared" si="157"/>
        <v>0.3005102101779164</v>
      </c>
    </row>
    <row r="89" spans="1:18" ht="15.75" customHeight="1">
      <c r="A89" s="950"/>
      <c r="B89" s="118" t="s">
        <v>25</v>
      </c>
      <c r="C89" s="115">
        <f t="shared" ref="C89:E89" si="163">SUM(C85:C88)</f>
        <v>400639</v>
      </c>
      <c r="D89" s="115">
        <f t="shared" si="163"/>
        <v>299782</v>
      </c>
      <c r="E89" s="121">
        <f t="shared" si="163"/>
        <v>173758</v>
      </c>
      <c r="F89" s="116">
        <f t="shared" si="154"/>
        <v>0.43370216079812501</v>
      </c>
      <c r="G89" s="950"/>
      <c r="H89" s="118" t="s">
        <v>25</v>
      </c>
      <c r="I89" s="115">
        <f t="shared" ref="I89:K89" si="164">SUM(I85:I88)</f>
        <v>1961</v>
      </c>
      <c r="J89" s="115">
        <f t="shared" si="164"/>
        <v>1202</v>
      </c>
      <c r="K89" s="121">
        <f t="shared" si="164"/>
        <v>0</v>
      </c>
      <c r="L89" s="116">
        <f>K89/I89</f>
        <v>0</v>
      </c>
      <c r="M89" s="950"/>
      <c r="N89" s="118" t="s">
        <v>25</v>
      </c>
      <c r="O89" s="115">
        <f t="shared" ref="O89:Q89" si="165">SUM(O85:O88)</f>
        <v>398678</v>
      </c>
      <c r="P89" s="115">
        <f t="shared" si="165"/>
        <v>298580</v>
      </c>
      <c r="Q89" s="130">
        <f t="shared" si="165"/>
        <v>173758</v>
      </c>
      <c r="R89" s="105">
        <f t="shared" si="157"/>
        <v>0.43583543611636461</v>
      </c>
    </row>
    <row r="90" spans="1:18" ht="15.75" customHeight="1">
      <c r="A90" s="954"/>
      <c r="B90" s="928"/>
      <c r="C90" s="928"/>
      <c r="D90" s="928"/>
      <c r="E90" s="928"/>
      <c r="F90" s="955"/>
      <c r="G90" s="954"/>
      <c r="H90" s="928"/>
      <c r="I90" s="928"/>
      <c r="J90" s="928"/>
      <c r="K90" s="928"/>
      <c r="L90" s="955"/>
      <c r="M90" s="954"/>
      <c r="N90" s="928"/>
      <c r="O90" s="928"/>
      <c r="P90" s="928"/>
      <c r="Q90" s="928"/>
      <c r="R90" s="955"/>
    </row>
    <row r="91" spans="1:18" ht="15.75" customHeight="1">
      <c r="A91" s="948" t="s">
        <v>59</v>
      </c>
      <c r="B91" s="95" t="s">
        <v>21</v>
      </c>
      <c r="C91" s="99">
        <v>5000</v>
      </c>
      <c r="D91" s="106">
        <f>SUM(ROUND(C91*50%,0))</f>
        <v>2500</v>
      </c>
      <c r="E91" s="97">
        <v>0</v>
      </c>
      <c r="F91" s="98">
        <f t="shared" ref="F91:F94" si="166">E91/C91</f>
        <v>0</v>
      </c>
      <c r="G91" s="948" t="s">
        <v>59</v>
      </c>
      <c r="H91" s="95" t="s">
        <v>21</v>
      </c>
      <c r="I91" s="99">
        <v>0</v>
      </c>
      <c r="J91" s="106">
        <f>SUM(ROUND(I91*50%,0))</f>
        <v>0</v>
      </c>
      <c r="K91" s="97">
        <v>0</v>
      </c>
      <c r="L91" s="98">
        <v>0</v>
      </c>
      <c r="M91" s="951" t="s">
        <v>59</v>
      </c>
      <c r="N91" s="95" t="s">
        <v>21</v>
      </c>
      <c r="O91" s="107">
        <f t="shared" ref="O91:Q91" si="167">C91-I91</f>
        <v>5000</v>
      </c>
      <c r="P91" s="102">
        <f t="shared" si="167"/>
        <v>2500</v>
      </c>
      <c r="Q91" s="107">
        <f t="shared" si="167"/>
        <v>0</v>
      </c>
      <c r="R91" s="105">
        <f t="shared" ref="R91:R94" si="168">Q91/O91</f>
        <v>0</v>
      </c>
    </row>
    <row r="92" spans="1:18" ht="15.75" customHeight="1">
      <c r="A92" s="949"/>
      <c r="B92" s="131" t="s">
        <v>31</v>
      </c>
      <c r="C92" s="132">
        <v>7002</v>
      </c>
      <c r="D92" s="106"/>
      <c r="E92" s="133">
        <v>876</v>
      </c>
      <c r="F92" s="105">
        <f t="shared" si="166"/>
        <v>0.12510711225364182</v>
      </c>
      <c r="G92" s="949"/>
      <c r="H92" s="131" t="s">
        <v>31</v>
      </c>
      <c r="I92" s="132">
        <v>1</v>
      </c>
      <c r="J92" s="106"/>
      <c r="K92" s="133">
        <v>0</v>
      </c>
      <c r="L92" s="105">
        <f>K92/I92</f>
        <v>0</v>
      </c>
      <c r="M92" s="952"/>
      <c r="N92" s="131" t="s">
        <v>31</v>
      </c>
      <c r="O92" s="107">
        <f t="shared" ref="O92:O93" si="169">C92-I92</f>
        <v>7001</v>
      </c>
      <c r="P92" s="102"/>
      <c r="Q92" s="107">
        <f>E92-K92</f>
        <v>876</v>
      </c>
      <c r="R92" s="105">
        <f t="shared" si="168"/>
        <v>0.12512498214540779</v>
      </c>
    </row>
    <row r="93" spans="1:18" ht="15.75" customHeight="1">
      <c r="A93" s="949"/>
      <c r="B93" s="102" t="s">
        <v>32</v>
      </c>
      <c r="C93" s="106">
        <v>19000</v>
      </c>
      <c r="D93" s="106">
        <f>SUM(ROUND(C93*75%,0))</f>
        <v>14250</v>
      </c>
      <c r="E93" s="104">
        <v>361</v>
      </c>
      <c r="F93" s="105">
        <f t="shared" si="166"/>
        <v>1.9E-2</v>
      </c>
      <c r="G93" s="949"/>
      <c r="H93" s="102" t="s">
        <v>32</v>
      </c>
      <c r="I93" s="106">
        <v>0</v>
      </c>
      <c r="J93" s="106">
        <f>SUM(ROUND(I93*75%,0))</f>
        <v>0</v>
      </c>
      <c r="K93" s="104">
        <v>0</v>
      </c>
      <c r="L93" s="105">
        <v>0</v>
      </c>
      <c r="M93" s="952"/>
      <c r="N93" s="102" t="s">
        <v>32</v>
      </c>
      <c r="O93" s="107">
        <f t="shared" si="169"/>
        <v>19000</v>
      </c>
      <c r="P93" s="102">
        <f t="shared" ref="P93:Q93" si="170">D93-J93</f>
        <v>14250</v>
      </c>
      <c r="Q93" s="107">
        <f t="shared" si="170"/>
        <v>361</v>
      </c>
      <c r="R93" s="105">
        <f t="shared" si="168"/>
        <v>1.9E-2</v>
      </c>
    </row>
    <row r="94" spans="1:18" ht="15.75" customHeight="1">
      <c r="A94" s="950"/>
      <c r="B94" s="118" t="s">
        <v>25</v>
      </c>
      <c r="C94" s="115">
        <f t="shared" ref="C94:E94" si="171">SUM(C91:C93)</f>
        <v>31002</v>
      </c>
      <c r="D94" s="115">
        <f t="shared" si="171"/>
        <v>16750</v>
      </c>
      <c r="E94" s="115">
        <f t="shared" si="171"/>
        <v>1237</v>
      </c>
      <c r="F94" s="116">
        <f t="shared" si="166"/>
        <v>3.9900651570866398E-2</v>
      </c>
      <c r="G94" s="950"/>
      <c r="H94" s="118" t="s">
        <v>25</v>
      </c>
      <c r="I94" s="115">
        <f t="shared" ref="I94:K94" si="172">SUM(I91:I93)</f>
        <v>1</v>
      </c>
      <c r="J94" s="115">
        <f t="shared" si="172"/>
        <v>0</v>
      </c>
      <c r="K94" s="115">
        <f t="shared" si="172"/>
        <v>0</v>
      </c>
      <c r="L94" s="116">
        <f>K94/I94</f>
        <v>0</v>
      </c>
      <c r="M94" s="953"/>
      <c r="N94" s="118" t="s">
        <v>25</v>
      </c>
      <c r="O94" s="114">
        <f t="shared" ref="O94:Q94" si="173">SUM(O91:O93)</f>
        <v>31001</v>
      </c>
      <c r="P94" s="115">
        <f t="shared" si="173"/>
        <v>16750</v>
      </c>
      <c r="Q94" s="130">
        <f t="shared" si="173"/>
        <v>1237</v>
      </c>
      <c r="R94" s="105">
        <f t="shared" si="168"/>
        <v>3.9901938647140416E-2</v>
      </c>
    </row>
    <row r="95" spans="1:18" ht="15.75" customHeight="1">
      <c r="A95" s="954"/>
      <c r="B95" s="928"/>
      <c r="C95" s="928"/>
      <c r="D95" s="928"/>
      <c r="E95" s="928"/>
      <c r="F95" s="955"/>
      <c r="G95" s="954"/>
      <c r="H95" s="928"/>
      <c r="I95" s="928"/>
      <c r="J95" s="928"/>
      <c r="K95" s="928"/>
      <c r="L95" s="955"/>
      <c r="M95" s="954"/>
      <c r="N95" s="928"/>
      <c r="O95" s="928"/>
      <c r="P95" s="928"/>
      <c r="Q95" s="928"/>
      <c r="R95" s="955"/>
    </row>
    <row r="96" spans="1:18" ht="15.75" customHeight="1">
      <c r="A96" s="968" t="s">
        <v>60</v>
      </c>
      <c r="B96" s="134" t="s">
        <v>21</v>
      </c>
      <c r="C96" s="135">
        <f t="shared" ref="C96:E96" si="174">C5+C10+C13+C16+C22+C27+C33+C47+C52+C56+C62+C68+C74+C79+C85+C91</f>
        <v>23175549</v>
      </c>
      <c r="D96" s="135">
        <f t="shared" si="174"/>
        <v>23173049</v>
      </c>
      <c r="E96" s="136">
        <f t="shared" si="174"/>
        <v>5316468</v>
      </c>
      <c r="F96" s="137">
        <f>E96/C96</f>
        <v>0.22939987311627441</v>
      </c>
      <c r="G96" s="968" t="s">
        <v>60</v>
      </c>
      <c r="H96" s="134" t="s">
        <v>21</v>
      </c>
      <c r="I96" s="135">
        <f t="shared" ref="I96:K96" si="175">I5+I10+I13+I16+I22+I27+I33+I47+I52+I56+I62+I68+I74+I79+I85+I91</f>
        <v>15124062</v>
      </c>
      <c r="J96" s="135">
        <f t="shared" si="175"/>
        <v>15124062</v>
      </c>
      <c r="K96" s="136">
        <f t="shared" si="175"/>
        <v>1905418</v>
      </c>
      <c r="L96" s="137">
        <f>K96/I96</f>
        <v>0.12598586279268095</v>
      </c>
      <c r="M96" s="968" t="s">
        <v>60</v>
      </c>
      <c r="N96" s="134" t="s">
        <v>21</v>
      </c>
      <c r="O96" s="135">
        <f>O5+O10+O13+O16+O22+O27+O33+O47+O52+O56+O62+O68+O74+O79+O85+O91</f>
        <v>8051487</v>
      </c>
      <c r="P96" s="135">
        <f t="shared" ref="P96:Q96" si="176">P5+P10+P13+P16+P22+P27+P33+P47+P52+P56+P62+P68+P74+P79+P85</f>
        <v>8046487</v>
      </c>
      <c r="Q96" s="135">
        <f t="shared" si="176"/>
        <v>3411050</v>
      </c>
      <c r="R96" s="137">
        <f>Q96/O96</f>
        <v>0.42365466155506432</v>
      </c>
    </row>
    <row r="97" spans="1:26" ht="15.75" customHeight="1">
      <c r="A97" s="949"/>
      <c r="B97" s="138" t="s">
        <v>22</v>
      </c>
      <c r="C97" s="139">
        <f t="shared" ref="C97:E97" si="177">C6</f>
        <v>0</v>
      </c>
      <c r="D97" s="139">
        <f t="shared" si="177"/>
        <v>0</v>
      </c>
      <c r="E97" s="140">
        <f t="shared" si="177"/>
        <v>0</v>
      </c>
      <c r="F97" s="141">
        <v>0</v>
      </c>
      <c r="G97" s="949"/>
      <c r="H97" s="138" t="s">
        <v>22</v>
      </c>
      <c r="I97" s="139">
        <f t="shared" ref="I97:K97" si="178">I6</f>
        <v>0</v>
      </c>
      <c r="J97" s="139">
        <f t="shared" si="178"/>
        <v>0</v>
      </c>
      <c r="K97" s="140">
        <f t="shared" si="178"/>
        <v>0</v>
      </c>
      <c r="L97" s="141">
        <v>0</v>
      </c>
      <c r="M97" s="949"/>
      <c r="N97" s="138" t="s">
        <v>22</v>
      </c>
      <c r="O97" s="139">
        <f t="shared" ref="O97:Q97" si="179">O6</f>
        <v>0</v>
      </c>
      <c r="P97" s="139">
        <f t="shared" si="179"/>
        <v>0</v>
      </c>
      <c r="Q97" s="139">
        <f t="shared" si="179"/>
        <v>0</v>
      </c>
      <c r="R97" s="141">
        <v>0</v>
      </c>
    </row>
    <row r="98" spans="1:26" ht="15.75" customHeight="1">
      <c r="A98" s="949"/>
      <c r="B98" s="138" t="s">
        <v>28</v>
      </c>
      <c r="C98" s="139">
        <f t="shared" ref="C98:E98" si="180">C17+C23+C28+C48+C57+C63+C69+C75+C80+C86</f>
        <v>520964</v>
      </c>
      <c r="D98" s="139">
        <f t="shared" si="180"/>
        <v>260484</v>
      </c>
      <c r="E98" s="140">
        <f t="shared" si="180"/>
        <v>243393</v>
      </c>
      <c r="F98" s="141">
        <f t="shared" ref="F98:F102" si="181">E98/C98</f>
        <v>0.4671973495289502</v>
      </c>
      <c r="G98" s="949"/>
      <c r="H98" s="138" t="s">
        <v>28</v>
      </c>
      <c r="I98" s="139">
        <f t="shared" ref="I98:K98" si="182">I17+I23+I28+I48+I57+I63+I69+I75+I80+I86</f>
        <v>145010</v>
      </c>
      <c r="J98" s="139">
        <f t="shared" si="182"/>
        <v>72506</v>
      </c>
      <c r="K98" s="140">
        <f t="shared" si="182"/>
        <v>40508</v>
      </c>
      <c r="L98" s="141">
        <f t="shared" ref="L98:L102" si="183">K98/I98</f>
        <v>0.27934625198262186</v>
      </c>
      <c r="M98" s="949"/>
      <c r="N98" s="138" t="s">
        <v>28</v>
      </c>
      <c r="O98" s="139">
        <f t="shared" ref="O98:Q98" si="184">O17+O23+O28+O48+O57+O63+O69+O75+O80+O86</f>
        <v>375954</v>
      </c>
      <c r="P98" s="139">
        <f t="shared" si="184"/>
        <v>187978</v>
      </c>
      <c r="Q98" s="139">
        <f t="shared" si="184"/>
        <v>202885</v>
      </c>
      <c r="R98" s="141">
        <f t="shared" ref="R98:R102" si="185">Q98/O98</f>
        <v>0.5396537874314411</v>
      </c>
    </row>
    <row r="99" spans="1:26" ht="15.75" customHeight="1">
      <c r="A99" s="949"/>
      <c r="B99" s="138" t="s">
        <v>31</v>
      </c>
      <c r="C99" s="139">
        <f t="shared" ref="C99:E99" si="186">C18+C24+C29+C58+C64+C70+C76+C81+C87+C92</f>
        <v>912071</v>
      </c>
      <c r="D99" s="139">
        <f t="shared" si="186"/>
        <v>452537</v>
      </c>
      <c r="E99" s="140">
        <f t="shared" si="186"/>
        <v>465457</v>
      </c>
      <c r="F99" s="141">
        <f t="shared" si="181"/>
        <v>0.51032978792221217</v>
      </c>
      <c r="G99" s="949"/>
      <c r="H99" s="138" t="s">
        <v>31</v>
      </c>
      <c r="I99" s="139">
        <f t="shared" ref="I99:K99" si="187">I18+I24+I29+I58+I64+I70+I76+I81+I87+I92</f>
        <v>382858</v>
      </c>
      <c r="J99" s="139">
        <f t="shared" si="187"/>
        <v>191430</v>
      </c>
      <c r="K99" s="140">
        <f t="shared" si="187"/>
        <v>248336</v>
      </c>
      <c r="L99" s="141">
        <f t="shared" si="183"/>
        <v>0.64863735379696907</v>
      </c>
      <c r="M99" s="949"/>
      <c r="N99" s="138" t="s">
        <v>31</v>
      </c>
      <c r="O99" s="139">
        <f t="shared" ref="O99:Q99" si="188">O18+O24+O29+O58+O64+O70+O76+O81+O87+O92</f>
        <v>529213</v>
      </c>
      <c r="P99" s="139">
        <f t="shared" si="188"/>
        <v>261107</v>
      </c>
      <c r="Q99" s="139">
        <f t="shared" si="188"/>
        <v>217121</v>
      </c>
      <c r="R99" s="141">
        <f t="shared" si="185"/>
        <v>0.41027147859179575</v>
      </c>
    </row>
    <row r="100" spans="1:26" ht="15.75" customHeight="1">
      <c r="A100" s="949"/>
      <c r="B100" s="138" t="s">
        <v>40</v>
      </c>
      <c r="C100" s="139">
        <f t="shared" ref="C100:E100" si="189">C36+C40+C7</f>
        <v>4857411</v>
      </c>
      <c r="D100" s="139">
        <f t="shared" si="189"/>
        <v>4857409</v>
      </c>
      <c r="E100" s="140">
        <f t="shared" si="189"/>
        <v>330724</v>
      </c>
      <c r="F100" s="141">
        <f t="shared" si="181"/>
        <v>6.8086476520105049E-2</v>
      </c>
      <c r="G100" s="949"/>
      <c r="H100" s="138" t="s">
        <v>40</v>
      </c>
      <c r="I100" s="139">
        <f t="shared" ref="I100:K100" si="190">I36+I40+I7</f>
        <v>1291402</v>
      </c>
      <c r="J100" s="139">
        <f t="shared" si="190"/>
        <v>1291400</v>
      </c>
      <c r="K100" s="140">
        <f t="shared" si="190"/>
        <v>280003</v>
      </c>
      <c r="L100" s="141">
        <f t="shared" si="183"/>
        <v>0.21682094343976546</v>
      </c>
      <c r="M100" s="949"/>
      <c r="N100" s="138" t="s">
        <v>40</v>
      </c>
      <c r="O100" s="139">
        <f t="shared" ref="O100:Q100" si="191">O36+O40</f>
        <v>3566009</v>
      </c>
      <c r="P100" s="139">
        <f t="shared" si="191"/>
        <v>3566009</v>
      </c>
      <c r="Q100" s="139">
        <f t="shared" si="191"/>
        <v>50721</v>
      </c>
      <c r="R100" s="141">
        <f t="shared" si="185"/>
        <v>1.4223463821880427E-2</v>
      </c>
    </row>
    <row r="101" spans="1:26" ht="15.75" customHeight="1">
      <c r="A101" s="949"/>
      <c r="B101" s="249" t="s">
        <v>32</v>
      </c>
      <c r="C101" s="209">
        <f t="shared" ref="C101:E101" si="192">C19+C30++C37+C41+C44+C49+C53+C59+C65+C71+C82+C88+C93</f>
        <v>11269846</v>
      </c>
      <c r="D101" s="209">
        <f t="shared" si="192"/>
        <v>8452385</v>
      </c>
      <c r="E101" s="250">
        <f t="shared" si="192"/>
        <v>5579133</v>
      </c>
      <c r="F101" s="207">
        <f t="shared" si="181"/>
        <v>0.49504962179607426</v>
      </c>
      <c r="G101" s="949"/>
      <c r="H101" s="142" t="s">
        <v>32</v>
      </c>
      <c r="I101" s="139">
        <f t="shared" ref="I101:K101" si="193">I19+I30++I37+I41+I44+I49+I53+I59+I65+I71+I82+I88+I93</f>
        <v>1301579</v>
      </c>
      <c r="J101" s="139">
        <f t="shared" si="193"/>
        <v>976186</v>
      </c>
      <c r="K101" s="140">
        <f t="shared" si="193"/>
        <v>559188</v>
      </c>
      <c r="L101" s="141">
        <f t="shared" si="183"/>
        <v>0.42962278893559286</v>
      </c>
      <c r="M101" s="949"/>
      <c r="N101" s="142" t="s">
        <v>32</v>
      </c>
      <c r="O101" s="139">
        <f t="shared" ref="O101:Q101" si="194">O19+O30++O37+O41+O44+O49+O53+O59+O65+O71+O82+O88+O93</f>
        <v>9968267</v>
      </c>
      <c r="P101" s="139">
        <f t="shared" si="194"/>
        <v>7476199</v>
      </c>
      <c r="Q101" s="139">
        <f t="shared" si="194"/>
        <v>5019945</v>
      </c>
      <c r="R101" s="141">
        <f t="shared" si="185"/>
        <v>0.50359255023967553</v>
      </c>
    </row>
    <row r="102" spans="1:26" ht="15.75" customHeight="1">
      <c r="A102" s="950"/>
      <c r="B102" s="251" t="s">
        <v>25</v>
      </c>
      <c r="C102" s="252">
        <f t="shared" ref="C102:E102" si="195">C96+C97+C98+C99+C100+C101</f>
        <v>40735841</v>
      </c>
      <c r="D102" s="252">
        <f t="shared" si="195"/>
        <v>37195864</v>
      </c>
      <c r="E102" s="252">
        <f t="shared" si="195"/>
        <v>11935175</v>
      </c>
      <c r="F102" s="253">
        <f t="shared" si="181"/>
        <v>0.29298953224017149</v>
      </c>
      <c r="G102" s="949"/>
      <c r="H102" s="208" t="s">
        <v>25</v>
      </c>
      <c r="I102" s="209">
        <f t="shared" ref="I102:K102" si="196">I96+I97+I98+I99+I100+I101</f>
        <v>18244911</v>
      </c>
      <c r="J102" s="209">
        <f t="shared" si="196"/>
        <v>17655584</v>
      </c>
      <c r="K102" s="209">
        <f t="shared" si="196"/>
        <v>3033453</v>
      </c>
      <c r="L102" s="207">
        <f t="shared" si="183"/>
        <v>0.16626296505365248</v>
      </c>
      <c r="M102" s="949"/>
      <c r="N102" s="208" t="s">
        <v>25</v>
      </c>
      <c r="O102" s="209">
        <f t="shared" ref="O102:Q102" si="197">SUM(O96:O101)</f>
        <v>22490930</v>
      </c>
      <c r="P102" s="209">
        <f t="shared" si="197"/>
        <v>19537780</v>
      </c>
      <c r="Q102" s="209">
        <f t="shared" si="197"/>
        <v>8901722</v>
      </c>
      <c r="R102" s="207">
        <f t="shared" si="185"/>
        <v>0.39579163689540631</v>
      </c>
    </row>
    <row r="103" spans="1:26" ht="17.25" customHeight="1">
      <c r="A103" s="88" t="s">
        <v>29</v>
      </c>
      <c r="B103" s="210"/>
      <c r="C103" s="254"/>
      <c r="D103" s="254"/>
      <c r="E103" s="254"/>
      <c r="F103" s="212"/>
      <c r="G103" s="88"/>
      <c r="H103" s="210"/>
      <c r="I103" s="254"/>
      <c r="J103" s="254"/>
      <c r="K103" s="254"/>
      <c r="L103" s="212"/>
      <c r="M103" s="88"/>
      <c r="N103" s="210"/>
      <c r="O103" s="211">
        <f t="shared" ref="O103:Q103" si="198">O8+O11+O14+O20+O25+O31+O34+O38+O42+O45+O50+O54+O60+O66+O72+O77+O83+O89+O94</f>
        <v>22490930</v>
      </c>
      <c r="P103" s="211">
        <f t="shared" si="198"/>
        <v>19306175</v>
      </c>
      <c r="Q103" s="211">
        <f t="shared" si="198"/>
        <v>8901722</v>
      </c>
      <c r="R103" s="212"/>
    </row>
    <row r="104" spans="1:26" ht="15.75" customHeight="1">
      <c r="A104" s="973">
        <v>1500</v>
      </c>
      <c r="B104" s="149" t="s">
        <v>29</v>
      </c>
      <c r="C104" s="149">
        <f>12020015-1800000</f>
        <v>10220015</v>
      </c>
      <c r="D104" s="149">
        <f>C104</f>
        <v>10220015</v>
      </c>
      <c r="E104" s="150">
        <v>4311477</v>
      </c>
      <c r="F104" s="215">
        <f t="shared" ref="F104:F112" si="199">E104/C104</f>
        <v>0.42186601487375508</v>
      </c>
      <c r="G104" s="973">
        <v>1500</v>
      </c>
      <c r="H104" s="149" t="s">
        <v>29</v>
      </c>
      <c r="I104" s="149">
        <f>6920014+5000001-1800000</f>
        <v>10120015</v>
      </c>
      <c r="J104" s="149">
        <f>I104</f>
        <v>10120015</v>
      </c>
      <c r="K104" s="150">
        <f>1105466+3200000</f>
        <v>4305466</v>
      </c>
      <c r="L104" s="215">
        <f t="shared" ref="L104:L107" si="200">K104/I104</f>
        <v>0.42544067375394207</v>
      </c>
      <c r="M104" s="973">
        <v>1500</v>
      </c>
      <c r="N104" s="149" t="s">
        <v>29</v>
      </c>
      <c r="O104" s="149">
        <f t="shared" ref="O104:Q104" si="201">C104-I104</f>
        <v>100000</v>
      </c>
      <c r="P104" s="149">
        <f t="shared" si="201"/>
        <v>100000</v>
      </c>
      <c r="Q104" s="149">
        <f t="shared" si="201"/>
        <v>6011</v>
      </c>
      <c r="R104" s="215">
        <f>Q104/O104</f>
        <v>6.0109999999999997E-2</v>
      </c>
      <c r="S104" s="147"/>
      <c r="T104" s="147"/>
      <c r="U104" s="147"/>
      <c r="V104" s="147"/>
      <c r="W104" s="147"/>
      <c r="X104" s="147"/>
      <c r="Y104" s="147"/>
      <c r="Z104" s="147"/>
    </row>
    <row r="105" spans="1:26" ht="15.75" customHeight="1">
      <c r="A105" s="918"/>
      <c r="B105" s="155" t="s">
        <v>25</v>
      </c>
      <c r="C105" s="155">
        <f t="shared" ref="C105:E105" si="202">SUM(C104)</f>
        <v>10220015</v>
      </c>
      <c r="D105" s="155">
        <f t="shared" si="202"/>
        <v>10220015</v>
      </c>
      <c r="E105" s="216">
        <f t="shared" si="202"/>
        <v>4311477</v>
      </c>
      <c r="F105" s="129">
        <f t="shared" si="199"/>
        <v>0.42186601487375508</v>
      </c>
      <c r="G105" s="918"/>
      <c r="H105" s="155" t="s">
        <v>25</v>
      </c>
      <c r="I105" s="155">
        <f t="shared" ref="I105:K105" si="203">SUM(I104)</f>
        <v>10120015</v>
      </c>
      <c r="J105" s="155">
        <f t="shared" si="203"/>
        <v>10120015</v>
      </c>
      <c r="K105" s="216">
        <f t="shared" si="203"/>
        <v>4305466</v>
      </c>
      <c r="L105" s="129">
        <f t="shared" si="200"/>
        <v>0.42544067375394207</v>
      </c>
      <c r="M105" s="918"/>
      <c r="N105" s="155" t="s">
        <v>25</v>
      </c>
      <c r="O105" s="155">
        <f t="shared" ref="O105:Q105" si="204">SUM(O104)</f>
        <v>100000</v>
      </c>
      <c r="P105" s="155">
        <f t="shared" si="204"/>
        <v>100000</v>
      </c>
      <c r="Q105" s="155">
        <f t="shared" si="204"/>
        <v>6011</v>
      </c>
      <c r="R105" s="129">
        <f>Q105/P105</f>
        <v>6.0109999999999997E-2</v>
      </c>
      <c r="S105" s="147"/>
      <c r="T105" s="147"/>
      <c r="U105" s="147"/>
      <c r="V105" s="147"/>
      <c r="W105" s="147"/>
      <c r="X105" s="147"/>
      <c r="Y105" s="147"/>
      <c r="Z105" s="147"/>
    </row>
    <row r="106" spans="1:26" ht="15.75" customHeight="1">
      <c r="A106" s="974">
        <v>1600</v>
      </c>
      <c r="B106" s="153" t="s">
        <v>29</v>
      </c>
      <c r="C106" s="218">
        <v>13416785</v>
      </c>
      <c r="D106" s="218">
        <f>C106</f>
        <v>13416785</v>
      </c>
      <c r="E106" s="154">
        <v>566548</v>
      </c>
      <c r="F106" s="128">
        <f t="shared" si="199"/>
        <v>4.2226807689025349E-2</v>
      </c>
      <c r="G106" s="974">
        <v>1600</v>
      </c>
      <c r="H106" s="153" t="s">
        <v>29</v>
      </c>
      <c r="I106" s="218">
        <v>0</v>
      </c>
      <c r="J106" s="218">
        <f>I106</f>
        <v>0</v>
      </c>
      <c r="K106" s="154">
        <v>0</v>
      </c>
      <c r="L106" s="128" t="e">
        <f t="shared" si="200"/>
        <v>#DIV/0!</v>
      </c>
      <c r="M106" s="974">
        <v>1600</v>
      </c>
      <c r="N106" s="153" t="s">
        <v>29</v>
      </c>
      <c r="O106" s="153">
        <f t="shared" ref="O106:Q106" si="205">C106-I106</f>
        <v>13416785</v>
      </c>
      <c r="P106" s="153">
        <f t="shared" si="205"/>
        <v>13416785</v>
      </c>
      <c r="Q106" s="153">
        <f t="shared" si="205"/>
        <v>566548</v>
      </c>
      <c r="R106" s="128">
        <f>Q106/O106</f>
        <v>4.2226807689025349E-2</v>
      </c>
      <c r="S106" s="147"/>
      <c r="T106" s="147"/>
      <c r="U106" s="147"/>
      <c r="V106" s="147"/>
      <c r="W106" s="147"/>
      <c r="X106" s="147"/>
      <c r="Y106" s="147"/>
      <c r="Z106" s="147"/>
    </row>
    <row r="107" spans="1:26" ht="15.75" customHeight="1">
      <c r="A107" s="918"/>
      <c r="B107" s="155" t="s">
        <v>25</v>
      </c>
      <c r="C107" s="155">
        <f t="shared" ref="C107:E107" si="206">SUM(C106)</f>
        <v>13416785</v>
      </c>
      <c r="D107" s="155">
        <f t="shared" si="206"/>
        <v>13416785</v>
      </c>
      <c r="E107" s="216">
        <f t="shared" si="206"/>
        <v>566548</v>
      </c>
      <c r="F107" s="129">
        <f t="shared" si="199"/>
        <v>4.2226807689025349E-2</v>
      </c>
      <c r="G107" s="918"/>
      <c r="H107" s="155" t="s">
        <v>25</v>
      </c>
      <c r="I107" s="155">
        <f t="shared" ref="I107:K107" si="207">SUM(I106)</f>
        <v>0</v>
      </c>
      <c r="J107" s="155">
        <f t="shared" si="207"/>
        <v>0</v>
      </c>
      <c r="K107" s="216">
        <f t="shared" si="207"/>
        <v>0</v>
      </c>
      <c r="L107" s="129" t="e">
        <f t="shared" si="200"/>
        <v>#DIV/0!</v>
      </c>
      <c r="M107" s="918"/>
      <c r="N107" s="155" t="s">
        <v>25</v>
      </c>
      <c r="O107" s="155">
        <f t="shared" ref="O107:Q107" si="208">SUM(O106)</f>
        <v>13416785</v>
      </c>
      <c r="P107" s="155">
        <f t="shared" si="208"/>
        <v>13416785</v>
      </c>
      <c r="Q107" s="155">
        <f t="shared" si="208"/>
        <v>566548</v>
      </c>
      <c r="R107" s="129">
        <f>Q107/P107</f>
        <v>4.2226807689025349E-2</v>
      </c>
      <c r="S107" s="147"/>
      <c r="T107" s="147"/>
      <c r="U107" s="147"/>
      <c r="V107" s="147"/>
      <c r="W107" s="147"/>
      <c r="X107" s="147"/>
      <c r="Y107" s="147"/>
      <c r="Z107" s="147"/>
    </row>
    <row r="108" spans="1:26" ht="15.75" customHeight="1">
      <c r="A108" s="975">
        <v>3300</v>
      </c>
      <c r="B108" s="153" t="s">
        <v>29</v>
      </c>
      <c r="C108" s="218">
        <v>1</v>
      </c>
      <c r="D108" s="153"/>
      <c r="E108" s="154">
        <v>0</v>
      </c>
      <c r="F108" s="128">
        <f t="shared" si="199"/>
        <v>0</v>
      </c>
      <c r="G108" s="975">
        <v>3300</v>
      </c>
      <c r="H108" s="153" t="s">
        <v>29</v>
      </c>
      <c r="I108" s="218">
        <v>0</v>
      </c>
      <c r="J108" s="153"/>
      <c r="K108" s="154">
        <v>0</v>
      </c>
      <c r="L108" s="128">
        <v>0</v>
      </c>
      <c r="M108" s="975">
        <v>3300</v>
      </c>
      <c r="N108" s="153" t="s">
        <v>29</v>
      </c>
      <c r="O108" s="153">
        <f>C108-I108</f>
        <v>1</v>
      </c>
      <c r="P108" s="153"/>
      <c r="Q108" s="153">
        <f>E108-K108</f>
        <v>0</v>
      </c>
      <c r="R108" s="128">
        <f>Q108/O108</f>
        <v>0</v>
      </c>
      <c r="S108" s="147"/>
      <c r="T108" s="147"/>
      <c r="U108" s="147"/>
      <c r="V108" s="147"/>
      <c r="W108" s="147"/>
      <c r="X108" s="147"/>
      <c r="Y108" s="147"/>
      <c r="Z108" s="147"/>
    </row>
    <row r="109" spans="1:26" ht="15.75" customHeight="1">
      <c r="A109" s="918"/>
      <c r="B109" s="155" t="s">
        <v>25</v>
      </c>
      <c r="C109" s="155">
        <f t="shared" ref="C109:E109" si="209">SUM(C108)</f>
        <v>1</v>
      </c>
      <c r="D109" s="155">
        <f t="shared" si="209"/>
        <v>0</v>
      </c>
      <c r="E109" s="216">
        <f t="shared" si="209"/>
        <v>0</v>
      </c>
      <c r="F109" s="129">
        <f t="shared" si="199"/>
        <v>0</v>
      </c>
      <c r="G109" s="918"/>
      <c r="H109" s="155" t="s">
        <v>25</v>
      </c>
      <c r="I109" s="155">
        <f t="shared" ref="I109:K109" si="210">SUM(I108)</f>
        <v>0</v>
      </c>
      <c r="J109" s="155">
        <f t="shared" si="210"/>
        <v>0</v>
      </c>
      <c r="K109" s="216">
        <f t="shared" si="210"/>
        <v>0</v>
      </c>
      <c r="L109" s="129">
        <v>0</v>
      </c>
      <c r="M109" s="918"/>
      <c r="N109" s="155" t="s">
        <v>25</v>
      </c>
      <c r="O109" s="155">
        <f t="shared" ref="O109:Q109" si="211">SUM(O108)</f>
        <v>1</v>
      </c>
      <c r="P109" s="155">
        <f t="shared" si="211"/>
        <v>0</v>
      </c>
      <c r="Q109" s="155">
        <f t="shared" si="211"/>
        <v>0</v>
      </c>
      <c r="R109" s="129" t="e">
        <f>Q109/P109</f>
        <v>#DIV/0!</v>
      </c>
      <c r="S109" s="147"/>
      <c r="T109" s="147"/>
      <c r="U109" s="147"/>
      <c r="V109" s="147"/>
      <c r="W109" s="147"/>
      <c r="X109" s="147"/>
      <c r="Y109" s="147"/>
      <c r="Z109" s="147"/>
    </row>
    <row r="110" spans="1:26" ht="15.75" customHeight="1">
      <c r="A110" s="975">
        <v>4200</v>
      </c>
      <c r="B110" s="153" t="s">
        <v>29</v>
      </c>
      <c r="C110" s="218">
        <v>10000</v>
      </c>
      <c r="D110" s="153"/>
      <c r="E110" s="154">
        <v>0</v>
      </c>
      <c r="F110" s="128">
        <f t="shared" si="199"/>
        <v>0</v>
      </c>
      <c r="G110" s="975">
        <v>4200</v>
      </c>
      <c r="H110" s="153" t="s">
        <v>29</v>
      </c>
      <c r="I110" s="218">
        <v>0</v>
      </c>
      <c r="J110" s="153"/>
      <c r="K110" s="154">
        <v>0</v>
      </c>
      <c r="L110" s="128">
        <v>0</v>
      </c>
      <c r="M110" s="975">
        <v>4200</v>
      </c>
      <c r="N110" s="153" t="s">
        <v>29</v>
      </c>
      <c r="O110" s="153">
        <f>C110-I110</f>
        <v>10000</v>
      </c>
      <c r="P110" s="153"/>
      <c r="Q110" s="153">
        <f>E110-K110</f>
        <v>0</v>
      </c>
      <c r="R110" s="128">
        <f>Q110/O110</f>
        <v>0</v>
      </c>
    </row>
    <row r="111" spans="1:26" ht="15.75" customHeight="1">
      <c r="A111" s="918"/>
      <c r="B111" s="155" t="s">
        <v>25</v>
      </c>
      <c r="C111" s="155">
        <f t="shared" ref="C111:E111" si="212">SUM(C110)</f>
        <v>10000</v>
      </c>
      <c r="D111" s="155">
        <f t="shared" si="212"/>
        <v>0</v>
      </c>
      <c r="E111" s="216">
        <f t="shared" si="212"/>
        <v>0</v>
      </c>
      <c r="F111" s="129">
        <f t="shared" si="199"/>
        <v>0</v>
      </c>
      <c r="G111" s="918"/>
      <c r="H111" s="155" t="s">
        <v>25</v>
      </c>
      <c r="I111" s="155">
        <f t="shared" ref="I111:K111" si="213">SUM(I110)</f>
        <v>0</v>
      </c>
      <c r="J111" s="155">
        <f t="shared" si="213"/>
        <v>0</v>
      </c>
      <c r="K111" s="216">
        <f t="shared" si="213"/>
        <v>0</v>
      </c>
      <c r="L111" s="129">
        <v>0</v>
      </c>
      <c r="M111" s="918"/>
      <c r="N111" s="155" t="s">
        <v>25</v>
      </c>
      <c r="O111" s="155">
        <f t="shared" ref="O111:Q111" si="214">SUM(O110)</f>
        <v>10000</v>
      </c>
      <c r="P111" s="155">
        <f t="shared" si="214"/>
        <v>0</v>
      </c>
      <c r="Q111" s="155">
        <f t="shared" si="214"/>
        <v>0</v>
      </c>
      <c r="R111" s="129" t="e">
        <f>Q111/P111</f>
        <v>#DIV/0!</v>
      </c>
    </row>
    <row r="112" spans="1:26" ht="15.75" customHeight="1">
      <c r="A112" s="220"/>
      <c r="B112" s="221" t="s">
        <v>120</v>
      </c>
      <c r="C112" s="222">
        <f t="shared" ref="C112:E112" si="215">C105+C107+C109+C111</f>
        <v>23646801</v>
      </c>
      <c r="D112" s="222">
        <f t="shared" si="215"/>
        <v>23636800</v>
      </c>
      <c r="E112" s="222">
        <f t="shared" si="215"/>
        <v>4878025</v>
      </c>
      <c r="F112" s="255">
        <f t="shared" si="199"/>
        <v>0.2062868884463484</v>
      </c>
      <c r="G112" s="220"/>
      <c r="H112" s="221" t="s">
        <v>120</v>
      </c>
      <c r="I112" s="222">
        <f t="shared" ref="I112:K112" si="216">I105+I107+I109+I111</f>
        <v>10120015</v>
      </c>
      <c r="J112" s="222">
        <f t="shared" si="216"/>
        <v>10120015</v>
      </c>
      <c r="K112" s="222">
        <f t="shared" si="216"/>
        <v>4305466</v>
      </c>
      <c r="L112" s="255">
        <f>K112/I112</f>
        <v>0.42544067375394207</v>
      </c>
      <c r="M112" s="220"/>
      <c r="N112" s="221" t="s">
        <v>120</v>
      </c>
      <c r="O112" s="222">
        <f t="shared" ref="O112:Q112" si="217">O105+O107+O109+O111</f>
        <v>13526786</v>
      </c>
      <c r="P112" s="222">
        <f t="shared" si="217"/>
        <v>13516785</v>
      </c>
      <c r="Q112" s="222">
        <f t="shared" si="217"/>
        <v>572559</v>
      </c>
      <c r="R112" s="255">
        <f>Q112/O112</f>
        <v>4.2327793165353546E-2</v>
      </c>
    </row>
    <row r="113" spans="1:26" ht="17.25" customHeight="1">
      <c r="A113" s="88" t="s">
        <v>23</v>
      </c>
      <c r="B113" s="195"/>
      <c r="C113" s="195"/>
      <c r="D113" s="224"/>
      <c r="E113" s="195"/>
      <c r="F113" s="225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5"/>
      <c r="S113" s="147"/>
      <c r="T113" s="147"/>
      <c r="U113" s="147"/>
      <c r="V113" s="147"/>
      <c r="W113" s="147"/>
      <c r="X113" s="147"/>
      <c r="Y113" s="147"/>
      <c r="Z113" s="147"/>
    </row>
    <row r="114" spans="1:26" ht="16.5" customHeight="1">
      <c r="A114" s="968">
        <v>3000</v>
      </c>
      <c r="B114" s="226" t="s">
        <v>23</v>
      </c>
      <c r="C114" s="227">
        <v>1093000</v>
      </c>
      <c r="D114" s="227">
        <v>1250000</v>
      </c>
      <c r="E114" s="228">
        <v>0</v>
      </c>
      <c r="F114" s="229">
        <f t="shared" ref="F114:F119" si="218">E114/C114</f>
        <v>0</v>
      </c>
      <c r="G114" s="151"/>
      <c r="H114" s="147"/>
      <c r="I114" s="147"/>
      <c r="J114" s="147"/>
      <c r="K114" s="147"/>
      <c r="L114" s="147"/>
    </row>
    <row r="115" spans="1:26" ht="15" customHeight="1">
      <c r="A115" s="950"/>
      <c r="B115" s="230" t="s">
        <v>25</v>
      </c>
      <c r="C115" s="155">
        <f t="shared" ref="C115:E115" si="219">SUM(C114)</f>
        <v>1093000</v>
      </c>
      <c r="D115" s="155">
        <f t="shared" si="219"/>
        <v>1250000</v>
      </c>
      <c r="E115" s="216">
        <f t="shared" si="219"/>
        <v>0</v>
      </c>
      <c r="F115" s="129">
        <f t="shared" si="218"/>
        <v>0</v>
      </c>
      <c r="G115" s="151"/>
      <c r="H115" s="147"/>
      <c r="I115" s="147"/>
      <c r="J115" s="147"/>
      <c r="K115" s="147"/>
      <c r="L115" s="147"/>
    </row>
    <row r="116" spans="1:26" ht="15" customHeight="1">
      <c r="A116" s="978">
        <v>5300</v>
      </c>
      <c r="B116" s="153" t="s">
        <v>23</v>
      </c>
      <c r="C116" s="153">
        <v>3160000</v>
      </c>
      <c r="D116" s="153">
        <v>7500000</v>
      </c>
      <c r="E116" s="154">
        <v>0</v>
      </c>
      <c r="F116" s="128">
        <f t="shared" si="218"/>
        <v>0</v>
      </c>
      <c r="G116" s="151"/>
      <c r="H116" s="147"/>
      <c r="I116" s="147"/>
      <c r="J116" s="147"/>
      <c r="K116" s="147"/>
      <c r="L116" s="147"/>
    </row>
    <row r="117" spans="1:26" ht="16.5" customHeight="1">
      <c r="A117" s="918"/>
      <c r="B117" s="155" t="s">
        <v>25</v>
      </c>
      <c r="C117" s="155">
        <f t="shared" ref="C117:E117" si="220">SUM(C116)</f>
        <v>3160000</v>
      </c>
      <c r="D117" s="155">
        <f t="shared" si="220"/>
        <v>7500000</v>
      </c>
      <c r="E117" s="216">
        <f t="shared" si="220"/>
        <v>0</v>
      </c>
      <c r="F117" s="129">
        <f t="shared" si="218"/>
        <v>0</v>
      </c>
      <c r="G117" s="151"/>
      <c r="H117" s="147"/>
      <c r="I117" s="147"/>
      <c r="J117" s="147"/>
      <c r="K117" s="147"/>
      <c r="L117" s="147"/>
      <c r="M117" s="147"/>
      <c r="P117" s="157">
        <f>F102-L102</f>
        <v>0.12672656718651901</v>
      </c>
    </row>
    <row r="118" spans="1:26" ht="17.25" customHeight="1">
      <c r="A118" s="220"/>
      <c r="B118" s="221" t="s">
        <v>121</v>
      </c>
      <c r="C118" s="222">
        <f t="shared" ref="C118:E118" si="221">C114+C117</f>
        <v>4253000</v>
      </c>
      <c r="D118" s="222">
        <f t="shared" si="221"/>
        <v>8750000</v>
      </c>
      <c r="E118" s="222">
        <f t="shared" si="221"/>
        <v>0</v>
      </c>
      <c r="F118" s="231">
        <f t="shared" si="218"/>
        <v>0</v>
      </c>
      <c r="G118" s="151"/>
      <c r="H118" s="147"/>
      <c r="I118" s="147"/>
      <c r="J118" s="147"/>
      <c r="K118" s="147"/>
      <c r="L118" s="147"/>
    </row>
    <row r="119" spans="1:26" ht="18.75" customHeight="1">
      <c r="A119" s="232" t="s">
        <v>104</v>
      </c>
      <c r="B119" s="233"/>
      <c r="C119" s="233">
        <f t="shared" ref="C119:E119" si="222">C102+C112+C118</f>
        <v>68635642</v>
      </c>
      <c r="D119" s="233">
        <f t="shared" si="222"/>
        <v>69582664</v>
      </c>
      <c r="E119" s="233">
        <f t="shared" si="222"/>
        <v>16813200</v>
      </c>
      <c r="F119" s="256">
        <f t="shared" si="218"/>
        <v>0.24496310532070203</v>
      </c>
      <c r="G119" s="151"/>
      <c r="H119" s="147"/>
      <c r="I119" s="147"/>
      <c r="J119" s="147"/>
      <c r="K119" s="147"/>
      <c r="L119" s="147"/>
    </row>
    <row r="120" spans="1:26" ht="15.75" customHeight="1">
      <c r="A120" s="235"/>
      <c r="B120" s="236"/>
      <c r="C120" s="236"/>
      <c r="D120" s="236"/>
      <c r="E120" s="236"/>
      <c r="F120" s="237"/>
      <c r="G120" s="151"/>
      <c r="H120" s="147"/>
      <c r="I120" s="147"/>
      <c r="J120" s="147"/>
      <c r="K120" s="147"/>
      <c r="L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</row>
    <row r="121" spans="1:26" ht="15.75" customHeight="1">
      <c r="A121" s="172"/>
      <c r="B121" s="238"/>
      <c r="C121" s="238"/>
      <c r="D121" s="238"/>
      <c r="E121" s="238"/>
      <c r="F121" s="239"/>
      <c r="G121" s="151"/>
      <c r="H121" s="147"/>
      <c r="I121" s="147"/>
      <c r="J121" s="147"/>
      <c r="K121" s="147"/>
    </row>
    <row r="122" spans="1:26" ht="33.75" customHeight="1">
      <c r="A122" s="984" t="s">
        <v>122</v>
      </c>
      <c r="B122" s="984" t="s">
        <v>7</v>
      </c>
      <c r="C122" s="294" t="s">
        <v>105</v>
      </c>
      <c r="D122" s="294" t="s">
        <v>106</v>
      </c>
      <c r="E122" s="294" t="s">
        <v>142</v>
      </c>
      <c r="F122" s="295" t="s">
        <v>108</v>
      </c>
      <c r="G122" s="260"/>
    </row>
    <row r="123" spans="1:26" ht="15.75" customHeight="1">
      <c r="A123" s="922"/>
      <c r="B123" s="922"/>
      <c r="C123" s="296" t="s">
        <v>19</v>
      </c>
      <c r="D123" s="296" t="s">
        <v>19</v>
      </c>
      <c r="E123" s="296" t="s">
        <v>19</v>
      </c>
      <c r="F123" s="297"/>
      <c r="G123" s="260"/>
    </row>
    <row r="124" spans="1:26" ht="15.75" customHeight="1">
      <c r="A124" s="298" t="s">
        <v>109</v>
      </c>
      <c r="B124" s="297" t="s">
        <v>21</v>
      </c>
      <c r="C124" s="297">
        <v>9819593</v>
      </c>
      <c r="D124" s="297">
        <f>ROUND(C124*75%,0)</f>
        <v>7364695</v>
      </c>
      <c r="E124" s="297">
        <v>1566307</v>
      </c>
      <c r="F124" s="219">
        <f t="shared" ref="F124:F127" si="223">E124/C124</f>
        <v>0.1595083421481929</v>
      </c>
      <c r="G124" s="260"/>
    </row>
    <row r="125" spans="1:26" ht="15.75" customHeight="1">
      <c r="A125" s="297" t="s">
        <v>110</v>
      </c>
      <c r="B125" s="297" t="s">
        <v>21</v>
      </c>
      <c r="C125" s="297">
        <v>6871037</v>
      </c>
      <c r="D125" s="297">
        <v>6830990</v>
      </c>
      <c r="E125" s="297">
        <v>2372523</v>
      </c>
      <c r="F125" s="219">
        <f t="shared" si="223"/>
        <v>0.34529329415632604</v>
      </c>
      <c r="G125" s="260"/>
    </row>
    <row r="126" spans="1:26" ht="15.75" customHeight="1">
      <c r="A126" s="297" t="s">
        <v>111</v>
      </c>
      <c r="B126" s="297" t="s">
        <v>21</v>
      </c>
      <c r="C126" s="297">
        <v>20000</v>
      </c>
      <c r="D126" s="297">
        <v>20000</v>
      </c>
      <c r="E126" s="297">
        <v>97521</v>
      </c>
      <c r="F126" s="219">
        <f t="shared" si="223"/>
        <v>4.8760500000000002</v>
      </c>
      <c r="G126" s="260"/>
      <c r="L126" s="240"/>
      <c r="M126" s="147"/>
      <c r="N126" s="147"/>
      <c r="O126" s="147"/>
    </row>
    <row r="127" spans="1:26" ht="15.75" customHeight="1">
      <c r="A127" s="298"/>
      <c r="B127" s="156" t="s">
        <v>25</v>
      </c>
      <c r="C127" s="297">
        <f t="shared" ref="C127:E127" si="224">SUM(C124:C126)</f>
        <v>16710630</v>
      </c>
      <c r="D127" s="297">
        <f t="shared" si="224"/>
        <v>14215685</v>
      </c>
      <c r="E127" s="297">
        <f t="shared" si="224"/>
        <v>4036351</v>
      </c>
      <c r="F127" s="219">
        <f t="shared" si="223"/>
        <v>0.24154391545980014</v>
      </c>
      <c r="G127" s="260"/>
      <c r="L127" s="240"/>
      <c r="M127" s="147"/>
      <c r="N127" s="147"/>
      <c r="O127" s="147"/>
    </row>
    <row r="128" spans="1:26" ht="15.75" customHeight="1">
      <c r="A128" s="298" t="s">
        <v>79</v>
      </c>
      <c r="B128" s="156"/>
      <c r="C128" s="299"/>
      <c r="D128" s="299"/>
      <c r="E128" s="299"/>
      <c r="F128" s="219"/>
      <c r="G128" s="260"/>
      <c r="L128" s="240"/>
      <c r="M128" s="147"/>
      <c r="N128" s="147"/>
      <c r="O128" s="147"/>
    </row>
    <row r="129" spans="1:15" ht="15.75" customHeight="1">
      <c r="A129" s="298" t="s">
        <v>109</v>
      </c>
      <c r="B129" s="297" t="s">
        <v>21</v>
      </c>
      <c r="C129" s="297">
        <v>9905586</v>
      </c>
      <c r="D129" s="297">
        <f>ROUND(C129*75%,0)</f>
        <v>7429190</v>
      </c>
      <c r="E129" s="297">
        <v>1621883</v>
      </c>
      <c r="F129" s="219">
        <f t="shared" ref="F129:F133" si="225">E129/C129</f>
        <v>0.16373417988597544</v>
      </c>
      <c r="G129" s="260"/>
      <c r="L129" s="240"/>
      <c r="M129" s="147"/>
      <c r="N129" s="147"/>
      <c r="O129" s="147"/>
    </row>
    <row r="130" spans="1:15" ht="15.75" customHeight="1">
      <c r="A130" s="297" t="s">
        <v>110</v>
      </c>
      <c r="B130" s="297" t="s">
        <v>21</v>
      </c>
      <c r="C130" s="297">
        <v>6941037</v>
      </c>
      <c r="D130" s="297">
        <v>6800513</v>
      </c>
      <c r="E130" s="297">
        <v>2099607</v>
      </c>
      <c r="F130" s="219">
        <f t="shared" si="225"/>
        <v>0.30249183227232473</v>
      </c>
      <c r="G130" s="260"/>
      <c r="L130" s="240"/>
      <c r="M130" s="147"/>
      <c r="N130" s="147"/>
      <c r="O130" s="147"/>
    </row>
    <row r="131" spans="1:15" ht="15.75" customHeight="1">
      <c r="A131" s="297" t="s">
        <v>111</v>
      </c>
      <c r="B131" s="297" t="s">
        <v>21</v>
      </c>
      <c r="C131" s="297">
        <v>20000</v>
      </c>
      <c r="D131" s="297">
        <v>20000</v>
      </c>
      <c r="E131" s="297">
        <v>0</v>
      </c>
      <c r="F131" s="219">
        <f t="shared" si="225"/>
        <v>0</v>
      </c>
      <c r="G131" s="260"/>
      <c r="L131" s="241"/>
      <c r="M131" s="147"/>
      <c r="N131" s="147"/>
      <c r="O131" s="147"/>
    </row>
    <row r="132" spans="1:15" ht="15.75" customHeight="1">
      <c r="A132" s="298"/>
      <c r="B132" s="156" t="s">
        <v>25</v>
      </c>
      <c r="C132" s="297">
        <f t="shared" ref="C132:E132" si="226">SUM(C129:C131)</f>
        <v>16866623</v>
      </c>
      <c r="D132" s="297">
        <f t="shared" si="226"/>
        <v>14249703</v>
      </c>
      <c r="E132" s="297">
        <f t="shared" si="226"/>
        <v>3721490</v>
      </c>
      <c r="F132" s="219">
        <f t="shared" si="225"/>
        <v>0.2206422708327565</v>
      </c>
      <c r="G132" s="260"/>
      <c r="L132" s="241"/>
      <c r="M132" s="147"/>
      <c r="N132" s="147"/>
      <c r="O132" s="147"/>
    </row>
    <row r="133" spans="1:15" ht="15.75" customHeight="1">
      <c r="A133" s="298"/>
      <c r="B133" s="156" t="s">
        <v>83</v>
      </c>
      <c r="C133" s="299">
        <f t="shared" ref="C133:E133" si="227">C127-C132</f>
        <v>-155993</v>
      </c>
      <c r="D133" s="299">
        <f t="shared" si="227"/>
        <v>-34018</v>
      </c>
      <c r="E133" s="299">
        <f t="shared" si="227"/>
        <v>314861</v>
      </c>
      <c r="F133" s="219">
        <f t="shared" si="225"/>
        <v>-2.0184303141807645</v>
      </c>
      <c r="G133" s="260"/>
      <c r="L133" s="240"/>
      <c r="M133" s="199"/>
      <c r="N133" s="199"/>
      <c r="O133" s="147"/>
    </row>
    <row r="134" spans="1:15" ht="15.75" customHeight="1">
      <c r="A134" s="300"/>
      <c r="B134" s="301"/>
      <c r="C134" s="302"/>
      <c r="D134" s="302"/>
      <c r="E134" s="302"/>
      <c r="F134" s="301"/>
      <c r="G134" s="260"/>
    </row>
    <row r="135" spans="1:15" ht="15.75" customHeight="1">
      <c r="A135" s="298" t="s">
        <v>118</v>
      </c>
      <c r="B135" s="180" t="s">
        <v>28</v>
      </c>
      <c r="C135" s="297">
        <v>0</v>
      </c>
      <c r="D135" s="297">
        <f t="shared" ref="D135:D136" si="228">ROUND(C135*75%,0)</f>
        <v>0</v>
      </c>
      <c r="E135" s="297">
        <v>54929</v>
      </c>
      <c r="F135" s="219" t="e">
        <f t="shared" ref="F135:F136" si="229">E135/C135</f>
        <v>#DIV/0!</v>
      </c>
      <c r="G135" s="260"/>
    </row>
    <row r="136" spans="1:15" ht="15.75" customHeight="1">
      <c r="A136" s="298" t="s">
        <v>112</v>
      </c>
      <c r="B136" s="180" t="s">
        <v>32</v>
      </c>
      <c r="C136" s="297">
        <v>293605</v>
      </c>
      <c r="D136" s="297">
        <f t="shared" si="228"/>
        <v>220204</v>
      </c>
      <c r="E136" s="297">
        <v>234399</v>
      </c>
      <c r="F136" s="219">
        <f t="shared" si="229"/>
        <v>0.79834812077451001</v>
      </c>
      <c r="G136" s="260"/>
    </row>
    <row r="137" spans="1:15" ht="15.75" customHeight="1">
      <c r="A137" s="298"/>
      <c r="B137" s="303" t="s">
        <v>143</v>
      </c>
      <c r="C137" s="297">
        <v>0</v>
      </c>
      <c r="D137" s="297"/>
      <c r="E137" s="297">
        <v>5217</v>
      </c>
      <c r="F137" s="219"/>
    </row>
    <row r="138" spans="1:15" ht="15.75" customHeight="1">
      <c r="A138" s="180"/>
      <c r="B138" s="303" t="s">
        <v>144</v>
      </c>
      <c r="C138" s="297">
        <v>0</v>
      </c>
      <c r="D138" s="297"/>
      <c r="E138" s="297">
        <v>190</v>
      </c>
      <c r="F138" s="219"/>
    </row>
    <row r="139" spans="1:15" ht="15.75" customHeight="1">
      <c r="A139" s="180"/>
      <c r="B139" s="180"/>
      <c r="C139" s="297">
        <f t="shared" ref="C139:E139" si="230">SUM(C135:C138)</f>
        <v>293605</v>
      </c>
      <c r="D139" s="297">
        <f t="shared" si="230"/>
        <v>220204</v>
      </c>
      <c r="E139" s="297">
        <f t="shared" si="230"/>
        <v>294735</v>
      </c>
      <c r="F139" s="219"/>
    </row>
    <row r="140" spans="1:15" ht="15.75" customHeight="1">
      <c r="A140" s="248"/>
      <c r="B140" s="248"/>
      <c r="C140" s="199"/>
      <c r="D140" s="199"/>
      <c r="E140" s="199"/>
      <c r="F140" s="247"/>
    </row>
    <row r="141" spans="1:15" ht="15.75" customHeight="1"/>
    <row r="142" spans="1:15" ht="15.75" customHeight="1"/>
    <row r="143" spans="1:15" ht="15.75" customHeight="1"/>
    <row r="144" spans="1:1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8">
    <mergeCell ref="A12:F12"/>
    <mergeCell ref="A13:A14"/>
    <mergeCell ref="A79:A83"/>
    <mergeCell ref="A15:F15"/>
    <mergeCell ref="G15:L15"/>
    <mergeCell ref="A16:A20"/>
    <mergeCell ref="A22:A25"/>
    <mergeCell ref="G27:G31"/>
    <mergeCell ref="G33:G34"/>
    <mergeCell ref="G36:G38"/>
    <mergeCell ref="A26:F26"/>
    <mergeCell ref="G26:L26"/>
    <mergeCell ref="A27:A31"/>
    <mergeCell ref="A32:F32"/>
    <mergeCell ref="G32:L32"/>
    <mergeCell ref="G35:L35"/>
    <mergeCell ref="A33:A34"/>
    <mergeCell ref="A35:F35"/>
    <mergeCell ref="A36:A38"/>
    <mergeCell ref="A67:F67"/>
    <mergeCell ref="G67:L67"/>
    <mergeCell ref="G68:G72"/>
    <mergeCell ref="A39:F39"/>
    <mergeCell ref="G39:L39"/>
    <mergeCell ref="A122:A123"/>
    <mergeCell ref="B122:B123"/>
    <mergeCell ref="A91:A94"/>
    <mergeCell ref="A95:F95"/>
    <mergeCell ref="A96:A102"/>
    <mergeCell ref="A104:A105"/>
    <mergeCell ref="A106:A107"/>
    <mergeCell ref="A108:A109"/>
    <mergeCell ref="A110:A111"/>
    <mergeCell ref="A84:F84"/>
    <mergeCell ref="G84:L84"/>
    <mergeCell ref="A85:A89"/>
    <mergeCell ref="M85:M89"/>
    <mergeCell ref="A90:F90"/>
    <mergeCell ref="G90:L90"/>
    <mergeCell ref="M91:M94"/>
    <mergeCell ref="A114:A115"/>
    <mergeCell ref="A116:A117"/>
    <mergeCell ref="G91:G94"/>
    <mergeCell ref="G96:G102"/>
    <mergeCell ref="G104:G105"/>
    <mergeCell ref="G106:G107"/>
    <mergeCell ref="G108:G109"/>
    <mergeCell ref="G110:G111"/>
    <mergeCell ref="G95:L95"/>
    <mergeCell ref="M95:R95"/>
    <mergeCell ref="M96:M102"/>
    <mergeCell ref="M104:M105"/>
    <mergeCell ref="M106:M107"/>
    <mergeCell ref="M108:M109"/>
    <mergeCell ref="M110:M111"/>
    <mergeCell ref="M84:R84"/>
    <mergeCell ref="M90:R90"/>
    <mergeCell ref="A56:A60"/>
    <mergeCell ref="A61:F61"/>
    <mergeCell ref="A62:A66"/>
    <mergeCell ref="G62:G66"/>
    <mergeCell ref="M74:M77"/>
    <mergeCell ref="M79:M83"/>
    <mergeCell ref="M33:M34"/>
    <mergeCell ref="M36:M38"/>
    <mergeCell ref="M40:M42"/>
    <mergeCell ref="M52:M54"/>
    <mergeCell ref="M56:M60"/>
    <mergeCell ref="M62:M66"/>
    <mergeCell ref="M68:M72"/>
    <mergeCell ref="M35:R35"/>
    <mergeCell ref="M39:R39"/>
    <mergeCell ref="A40:A42"/>
    <mergeCell ref="G40:G42"/>
    <mergeCell ref="G51:L51"/>
    <mergeCell ref="M51:R51"/>
    <mergeCell ref="M55:R55"/>
    <mergeCell ref="M61:R61"/>
    <mergeCell ref="M67:R67"/>
    <mergeCell ref="M73:R73"/>
    <mergeCell ref="M78:R78"/>
    <mergeCell ref="G85:G89"/>
    <mergeCell ref="A47:A50"/>
    <mergeCell ref="A51:F51"/>
    <mergeCell ref="G74:G77"/>
    <mergeCell ref="G79:G83"/>
    <mergeCell ref="A68:A72"/>
    <mergeCell ref="A73:F73"/>
    <mergeCell ref="G73:L73"/>
    <mergeCell ref="A74:A77"/>
    <mergeCell ref="A78:F78"/>
    <mergeCell ref="G78:L78"/>
    <mergeCell ref="A52:A54"/>
    <mergeCell ref="G52:G54"/>
    <mergeCell ref="A55:F55"/>
    <mergeCell ref="G55:L55"/>
    <mergeCell ref="G56:G60"/>
    <mergeCell ref="G61:L61"/>
    <mergeCell ref="A43:F43"/>
    <mergeCell ref="G43:L43"/>
    <mergeCell ref="A44:A45"/>
    <mergeCell ref="M44:M45"/>
    <mergeCell ref="A46:F46"/>
    <mergeCell ref="G46:L46"/>
    <mergeCell ref="M47:M50"/>
    <mergeCell ref="G44:G45"/>
    <mergeCell ref="G47:G50"/>
    <mergeCell ref="M43:R43"/>
    <mergeCell ref="M46:R46"/>
    <mergeCell ref="M26:R26"/>
    <mergeCell ref="M32:R32"/>
    <mergeCell ref="M27:M31"/>
    <mergeCell ref="G3:G4"/>
    <mergeCell ref="H3:H4"/>
    <mergeCell ref="L3:L4"/>
    <mergeCell ref="M3:M4"/>
    <mergeCell ref="M5:M8"/>
    <mergeCell ref="M10:M11"/>
    <mergeCell ref="M13:M14"/>
    <mergeCell ref="M22:M25"/>
    <mergeCell ref="G5:G8"/>
    <mergeCell ref="G9:L9"/>
    <mergeCell ref="G10:G11"/>
    <mergeCell ref="G12:L12"/>
    <mergeCell ref="A21:F21"/>
    <mergeCell ref="G21:L21"/>
    <mergeCell ref="M21:R21"/>
    <mergeCell ref="G13:G14"/>
    <mergeCell ref="G22:G25"/>
    <mergeCell ref="B3:B4"/>
    <mergeCell ref="F3:F4"/>
    <mergeCell ref="A1:F1"/>
    <mergeCell ref="G1:L1"/>
    <mergeCell ref="M1:R1"/>
    <mergeCell ref="A2:F2"/>
    <mergeCell ref="G2:L2"/>
    <mergeCell ref="M2:R2"/>
    <mergeCell ref="A3:A4"/>
    <mergeCell ref="G16:G20"/>
    <mergeCell ref="M16:M20"/>
    <mergeCell ref="N3:N4"/>
    <mergeCell ref="R3:R4"/>
    <mergeCell ref="M9:R9"/>
    <mergeCell ref="M12:R12"/>
    <mergeCell ref="M15:R15"/>
    <mergeCell ref="A5:A8"/>
    <mergeCell ref="A9:F9"/>
    <mergeCell ref="A10:A11"/>
  </mergeCells>
  <pageMargins left="0.7" right="0.7" top="0.75" bottom="0.75" header="0" footer="0"/>
  <pageSetup orientation="portrait"/>
  <rowBreaks count="2" manualBreakCount="2">
    <brk id="89" man="1"/>
    <brk id="45" man="1"/>
  </rowBreaks>
  <colBreaks count="2" manualBreakCount="2">
    <brk id="6" man="1"/>
    <brk id="12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M1"/>
    </sheetView>
  </sheetViews>
  <sheetFormatPr defaultColWidth="12.625" defaultRowHeight="15" customHeight="1"/>
  <cols>
    <col min="1" max="1" width="17" customWidth="1"/>
    <col min="2" max="2" width="11.375" customWidth="1"/>
    <col min="3" max="3" width="9.75" customWidth="1"/>
    <col min="4" max="4" width="10.5" customWidth="1"/>
    <col min="5" max="5" width="12" customWidth="1"/>
    <col min="6" max="6" width="0.875" customWidth="1"/>
    <col min="7" max="7" width="11.875" customWidth="1"/>
    <col min="8" max="8" width="11.375" customWidth="1"/>
    <col min="9" max="9" width="12" customWidth="1"/>
    <col min="10" max="10" width="0.875" customWidth="1"/>
    <col min="11" max="11" width="11.875" customWidth="1"/>
    <col min="12" max="12" width="11.625" customWidth="1"/>
    <col min="13" max="13" width="12" customWidth="1"/>
    <col min="14" max="14" width="1.625" customWidth="1"/>
    <col min="15" max="26" width="7.875" customWidth="1"/>
  </cols>
  <sheetData>
    <row r="1" spans="1:26" ht="15.75" customHeight="1">
      <c r="A1" s="991" t="s">
        <v>145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55"/>
      <c r="N1" s="304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spans="1:26" ht="15.75" customHeight="1">
      <c r="A2" s="306"/>
      <c r="B2" s="992" t="s">
        <v>146</v>
      </c>
      <c r="C2" s="928"/>
      <c r="D2" s="928"/>
      <c r="E2" s="955"/>
      <c r="F2" s="307"/>
      <c r="G2" s="993" t="s">
        <v>4</v>
      </c>
      <c r="H2" s="928"/>
      <c r="I2" s="928"/>
      <c r="J2" s="308"/>
      <c r="K2" s="988" t="s">
        <v>1</v>
      </c>
      <c r="L2" s="928"/>
      <c r="M2" s="955"/>
      <c r="N2" s="309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</row>
    <row r="3" spans="1:26" ht="15.75" customHeight="1">
      <c r="A3" s="994" t="s">
        <v>129</v>
      </c>
      <c r="B3" s="994" t="s">
        <v>7</v>
      </c>
      <c r="C3" s="311" t="str">
        <f t="shared" ref="C3:D3" si="0">K3</f>
        <v xml:space="preserve">OBG 2021-22 </v>
      </c>
      <c r="D3" s="312" t="str">
        <f t="shared" si="0"/>
        <v>Actual Exp. up to Aug-2021</v>
      </c>
      <c r="E3" s="995" t="s">
        <v>128</v>
      </c>
      <c r="F3" s="314"/>
      <c r="G3" s="313" t="str">
        <f>K3</f>
        <v xml:space="preserve">OBG 2021-22 </v>
      </c>
      <c r="H3" s="315" t="s">
        <v>141</v>
      </c>
      <c r="I3" s="995" t="s">
        <v>128</v>
      </c>
      <c r="J3" s="316"/>
      <c r="K3" s="317" t="s">
        <v>92</v>
      </c>
      <c r="L3" s="315" t="s">
        <v>141</v>
      </c>
      <c r="M3" s="989" t="s">
        <v>128</v>
      </c>
      <c r="N3" s="309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</row>
    <row r="4" spans="1:26" ht="15.75" customHeight="1">
      <c r="A4" s="949"/>
      <c r="B4" s="949"/>
      <c r="C4" s="318" t="s">
        <v>19</v>
      </c>
      <c r="D4" s="319" t="s">
        <v>19</v>
      </c>
      <c r="E4" s="957"/>
      <c r="F4" s="316"/>
      <c r="G4" s="320" t="s">
        <v>19</v>
      </c>
      <c r="H4" s="319" t="s">
        <v>19</v>
      </c>
      <c r="I4" s="957"/>
      <c r="J4" s="316"/>
      <c r="K4" s="321" t="s">
        <v>19</v>
      </c>
      <c r="L4" s="322" t="s">
        <v>19</v>
      </c>
      <c r="M4" s="990"/>
      <c r="N4" s="309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</row>
    <row r="5" spans="1:26" ht="15.75" customHeight="1">
      <c r="A5" s="996" t="s">
        <v>97</v>
      </c>
      <c r="B5" s="323" t="s">
        <v>21</v>
      </c>
      <c r="C5" s="324">
        <v>10001</v>
      </c>
      <c r="D5" s="325">
        <v>860</v>
      </c>
      <c r="E5" s="326">
        <f t="shared" ref="E5:E8" si="1">D5/C5</f>
        <v>8.5991400859914011E-2</v>
      </c>
      <c r="F5" s="327"/>
      <c r="G5" s="328">
        <f t="shared" ref="G5:H5" si="2">K5-C5</f>
        <v>0</v>
      </c>
      <c r="H5" s="328">
        <f t="shared" si="2"/>
        <v>0</v>
      </c>
      <c r="I5" s="329"/>
      <c r="J5" s="330"/>
      <c r="K5" s="331">
        <v>10001</v>
      </c>
      <c r="L5" s="331">
        <v>860</v>
      </c>
      <c r="M5" s="332">
        <f>L5/K5</f>
        <v>8.5991400859914011E-2</v>
      </c>
      <c r="N5" s="333"/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</row>
    <row r="6" spans="1:26" ht="15.75" customHeight="1">
      <c r="A6" s="952"/>
      <c r="B6" s="334" t="s">
        <v>22</v>
      </c>
      <c r="C6" s="335">
        <v>0</v>
      </c>
      <c r="D6" s="336">
        <v>0</v>
      </c>
      <c r="E6" s="337" t="e">
        <f t="shared" si="1"/>
        <v>#DIV/0!</v>
      </c>
      <c r="F6" s="327"/>
      <c r="G6" s="338">
        <f t="shared" ref="G6:H6" si="3">K6-C6</f>
        <v>0</v>
      </c>
      <c r="H6" s="338">
        <f t="shared" si="3"/>
        <v>0</v>
      </c>
      <c r="I6" s="329"/>
      <c r="J6" s="330"/>
      <c r="K6" s="339">
        <v>0</v>
      </c>
      <c r="L6" s="339">
        <v>0</v>
      </c>
      <c r="M6" s="340">
        <v>0</v>
      </c>
      <c r="N6" s="333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</row>
    <row r="7" spans="1:26" ht="15.75" customHeight="1">
      <c r="A7" s="952"/>
      <c r="B7" s="334" t="s">
        <v>40</v>
      </c>
      <c r="C7" s="335">
        <v>2</v>
      </c>
      <c r="D7" s="336">
        <v>469</v>
      </c>
      <c r="E7" s="337">
        <f t="shared" si="1"/>
        <v>234.5</v>
      </c>
      <c r="F7" s="327"/>
      <c r="G7" s="338">
        <f t="shared" ref="G7:H7" si="4">K7-C7</f>
        <v>0</v>
      </c>
      <c r="H7" s="338">
        <f t="shared" si="4"/>
        <v>0</v>
      </c>
      <c r="I7" s="329"/>
      <c r="J7" s="330"/>
      <c r="K7" s="339">
        <v>2</v>
      </c>
      <c r="L7" s="339">
        <v>469</v>
      </c>
      <c r="M7" s="340">
        <f t="shared" ref="M7:M8" si="5">L7/K7</f>
        <v>234.5</v>
      </c>
      <c r="N7" s="333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</row>
    <row r="8" spans="1:26" ht="15.75" customHeight="1">
      <c r="A8" s="997"/>
      <c r="B8" s="201" t="s">
        <v>25</v>
      </c>
      <c r="C8" s="184">
        <f t="shared" ref="C8:D8" si="6">SUM(C5:C7)</f>
        <v>10003</v>
      </c>
      <c r="D8" s="341">
        <f t="shared" si="6"/>
        <v>1329</v>
      </c>
      <c r="E8" s="342">
        <f t="shared" si="1"/>
        <v>0.13286014195741278</v>
      </c>
      <c r="F8" s="343"/>
      <c r="G8" s="344">
        <f t="shared" ref="G8:H8" si="7">SUM(G5:G6)</f>
        <v>0</v>
      </c>
      <c r="H8" s="183">
        <f t="shared" si="7"/>
        <v>0</v>
      </c>
      <c r="I8" s="345"/>
      <c r="J8" s="330"/>
      <c r="K8" s="346">
        <f t="shared" ref="K8:L8" si="8">SUM(K5:K7)</f>
        <v>10003</v>
      </c>
      <c r="L8" s="346">
        <f t="shared" si="8"/>
        <v>1329</v>
      </c>
      <c r="M8" s="347">
        <f t="shared" si="5"/>
        <v>0.13286014195741278</v>
      </c>
      <c r="N8" s="333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</row>
    <row r="9" spans="1:26" ht="15.75" customHeight="1">
      <c r="A9" s="985"/>
      <c r="B9" s="928"/>
      <c r="C9" s="928"/>
      <c r="D9" s="928"/>
      <c r="E9" s="928"/>
      <c r="F9" s="312"/>
      <c r="G9" s="986"/>
      <c r="H9" s="928"/>
      <c r="I9" s="928"/>
      <c r="J9" s="312"/>
      <c r="K9" s="348"/>
      <c r="L9" s="348"/>
      <c r="M9" s="349"/>
      <c r="N9" s="309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</row>
    <row r="10" spans="1:26" ht="15.75" customHeight="1">
      <c r="A10" s="998" t="s">
        <v>26</v>
      </c>
      <c r="B10" s="350" t="s">
        <v>21</v>
      </c>
      <c r="C10" s="350">
        <v>1810001</v>
      </c>
      <c r="D10" s="351">
        <v>423706</v>
      </c>
      <c r="E10" s="352">
        <f t="shared" ref="E10:E11" si="9">D10/C10</f>
        <v>0.23409158337481581</v>
      </c>
      <c r="F10" s="327"/>
      <c r="G10" s="353">
        <f t="shared" ref="G10:H10" si="10">K10-C10</f>
        <v>0</v>
      </c>
      <c r="H10" s="353">
        <f t="shared" si="10"/>
        <v>0</v>
      </c>
      <c r="I10" s="352"/>
      <c r="J10" s="327"/>
      <c r="K10" s="354">
        <f>260001+1550000</f>
        <v>1810001</v>
      </c>
      <c r="L10" s="355">
        <v>423706</v>
      </c>
      <c r="M10" s="356">
        <f t="shared" ref="M10:M11" si="11">L10/K10</f>
        <v>0.23409158337481581</v>
      </c>
      <c r="N10" s="309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</row>
    <row r="11" spans="1:26" ht="15.75" customHeight="1">
      <c r="A11" s="953"/>
      <c r="B11" s="357" t="s">
        <v>25</v>
      </c>
      <c r="C11" s="357">
        <f t="shared" ref="C11:D11" si="12">SUM(C10)</f>
        <v>1810001</v>
      </c>
      <c r="D11" s="358">
        <f t="shared" si="12"/>
        <v>423706</v>
      </c>
      <c r="E11" s="359">
        <f t="shared" si="9"/>
        <v>0.23409158337481581</v>
      </c>
      <c r="F11" s="343"/>
      <c r="G11" s="360">
        <f t="shared" ref="G11:H11" si="13">SUM(G10)</f>
        <v>0</v>
      </c>
      <c r="H11" s="357">
        <f t="shared" si="13"/>
        <v>0</v>
      </c>
      <c r="I11" s="337"/>
      <c r="J11" s="327"/>
      <c r="K11" s="361">
        <f t="shared" ref="K11:L11" si="14">SUM(K10)</f>
        <v>1810001</v>
      </c>
      <c r="L11" s="362">
        <f t="shared" si="14"/>
        <v>423706</v>
      </c>
      <c r="M11" s="363">
        <f t="shared" si="11"/>
        <v>0.23409158337481581</v>
      </c>
      <c r="N11" s="309"/>
      <c r="O11" s="305" t="s">
        <v>147</v>
      </c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</row>
    <row r="12" spans="1:26" ht="15.75" customHeight="1">
      <c r="A12" s="985"/>
      <c r="B12" s="928"/>
      <c r="C12" s="928"/>
      <c r="D12" s="928"/>
      <c r="E12" s="928"/>
      <c r="F12" s="312"/>
      <c r="G12" s="986"/>
      <c r="H12" s="928"/>
      <c r="I12" s="928"/>
      <c r="J12" s="312"/>
      <c r="K12" s="348"/>
      <c r="L12" s="348"/>
      <c r="M12" s="349"/>
      <c r="N12" s="309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</row>
    <row r="13" spans="1:26" ht="15.75" customHeight="1">
      <c r="A13" s="987" t="s">
        <v>27</v>
      </c>
      <c r="B13" s="323" t="s">
        <v>21</v>
      </c>
      <c r="C13" s="364">
        <f>5600400+6479400</f>
        <v>12079800</v>
      </c>
      <c r="D13" s="365">
        <f>72408+1130600</f>
        <v>1203008</v>
      </c>
      <c r="E13" s="326">
        <f t="shared" ref="E13:E14" si="15">D13/C13</f>
        <v>9.9588403781519563E-2</v>
      </c>
      <c r="F13" s="327"/>
      <c r="G13" s="338">
        <f t="shared" ref="G13:H13" si="16">K13-C13</f>
        <v>80000</v>
      </c>
      <c r="H13" s="338">
        <f t="shared" si="16"/>
        <v>0</v>
      </c>
      <c r="I13" s="337">
        <f t="shared" ref="I13:I14" si="17">H13/G13</f>
        <v>0</v>
      </c>
      <c r="J13" s="327"/>
      <c r="K13" s="366">
        <f>6780400+5379400</f>
        <v>12159800</v>
      </c>
      <c r="L13" s="367">
        <v>1203008</v>
      </c>
      <c r="M13" s="368">
        <f t="shared" ref="M13:M14" si="18">L13/K13</f>
        <v>9.8933206138258858E-2</v>
      </c>
      <c r="N13" s="309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</row>
    <row r="14" spans="1:26" ht="15.75" customHeight="1">
      <c r="A14" s="950"/>
      <c r="B14" s="357" t="s">
        <v>25</v>
      </c>
      <c r="C14" s="369">
        <f t="shared" ref="C14:D14" si="19">SUM(C13)</f>
        <v>12079800</v>
      </c>
      <c r="D14" s="369">
        <f t="shared" si="19"/>
        <v>1203008</v>
      </c>
      <c r="E14" s="359">
        <f t="shared" si="15"/>
        <v>9.9588403781519563E-2</v>
      </c>
      <c r="F14" s="343"/>
      <c r="G14" s="370">
        <f t="shared" ref="G14:H14" si="20">SUM(G13)</f>
        <v>80000</v>
      </c>
      <c r="H14" s="369">
        <f t="shared" si="20"/>
        <v>0</v>
      </c>
      <c r="I14" s="337">
        <f t="shared" si="17"/>
        <v>0</v>
      </c>
      <c r="J14" s="327"/>
      <c r="K14" s="371">
        <f t="shared" ref="K14:L14" si="21">SUM(K13)</f>
        <v>12159800</v>
      </c>
      <c r="L14" s="362">
        <f t="shared" si="21"/>
        <v>1203008</v>
      </c>
      <c r="M14" s="363">
        <f t="shared" si="18"/>
        <v>9.8933206138258858E-2</v>
      </c>
      <c r="N14" s="309"/>
      <c r="O14" s="305" t="s">
        <v>147</v>
      </c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</row>
    <row r="15" spans="1:26" ht="15.75" customHeight="1">
      <c r="A15" s="985"/>
      <c r="B15" s="928"/>
      <c r="C15" s="928"/>
      <c r="D15" s="928"/>
      <c r="E15" s="928"/>
      <c r="F15" s="312"/>
      <c r="G15" s="986"/>
      <c r="H15" s="928"/>
      <c r="I15" s="928"/>
      <c r="J15" s="312"/>
      <c r="K15" s="348"/>
      <c r="L15" s="348"/>
      <c r="M15" s="349"/>
      <c r="N15" s="309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305"/>
    </row>
    <row r="16" spans="1:26" ht="15.75" customHeight="1">
      <c r="A16" s="987" t="s">
        <v>30</v>
      </c>
      <c r="B16" s="323" t="s">
        <v>21</v>
      </c>
      <c r="C16" s="364">
        <v>443504</v>
      </c>
      <c r="D16" s="365">
        <v>90527</v>
      </c>
      <c r="E16" s="326">
        <f>D16/C16</f>
        <v>0.20411766297485479</v>
      </c>
      <c r="F16" s="327"/>
      <c r="G16" s="338">
        <f t="shared" ref="G16:H16" si="22">K16-C16</f>
        <v>220699</v>
      </c>
      <c r="H16" s="338">
        <f t="shared" si="22"/>
        <v>69065</v>
      </c>
      <c r="I16" s="337">
        <f t="shared" ref="I16:I20" si="23">H16/G16</f>
        <v>0.31293753030145127</v>
      </c>
      <c r="J16" s="327"/>
      <c r="K16" s="366">
        <f>150003+514200</f>
        <v>664203</v>
      </c>
      <c r="L16" s="367">
        <v>159592</v>
      </c>
      <c r="M16" s="368">
        <f>L16/K16</f>
        <v>0.24027593973529177</v>
      </c>
      <c r="N16" s="309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</row>
    <row r="17" spans="1:26" ht="15.75" customHeight="1">
      <c r="A17" s="949"/>
      <c r="B17" s="334" t="s">
        <v>28</v>
      </c>
      <c r="C17" s="372">
        <v>0</v>
      </c>
      <c r="D17" s="373">
        <v>0</v>
      </c>
      <c r="E17" s="337">
        <v>0</v>
      </c>
      <c r="F17" s="327"/>
      <c r="G17" s="338">
        <f t="shared" ref="G17:H17" si="24">K17-C17</f>
        <v>0</v>
      </c>
      <c r="H17" s="338">
        <f t="shared" si="24"/>
        <v>256</v>
      </c>
      <c r="I17" s="337" t="e">
        <f t="shared" si="23"/>
        <v>#DIV/0!</v>
      </c>
      <c r="J17" s="327"/>
      <c r="K17" s="374">
        <v>0</v>
      </c>
      <c r="L17" s="375">
        <v>256</v>
      </c>
      <c r="M17" s="376">
        <v>0</v>
      </c>
      <c r="N17" s="309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</row>
    <row r="18" spans="1:26" ht="15.75" customHeight="1">
      <c r="A18" s="949"/>
      <c r="B18" s="334" t="s">
        <v>31</v>
      </c>
      <c r="C18" s="372">
        <f>50026+50001</f>
        <v>100027</v>
      </c>
      <c r="D18" s="373">
        <f>24248+53524</f>
        <v>77772</v>
      </c>
      <c r="E18" s="337">
        <f t="shared" ref="E18:E20" si="25">D18/C18</f>
        <v>0.7775100722804843</v>
      </c>
      <c r="F18" s="327"/>
      <c r="G18" s="338">
        <f t="shared" ref="G18:H18" si="26">K18-C18</f>
        <v>12</v>
      </c>
      <c r="H18" s="338">
        <f t="shared" si="26"/>
        <v>21328</v>
      </c>
      <c r="I18" s="337">
        <f t="shared" si="23"/>
        <v>1777.3333333333333</v>
      </c>
      <c r="J18" s="327"/>
      <c r="K18" s="374">
        <v>100039</v>
      </c>
      <c r="L18" s="375">
        <v>99100</v>
      </c>
      <c r="M18" s="376">
        <f t="shared" ref="M18:M20" si="27">L18/K18</f>
        <v>0.9906136606723378</v>
      </c>
      <c r="N18" s="309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</row>
    <row r="19" spans="1:26" ht="15.75" customHeight="1">
      <c r="A19" s="949"/>
      <c r="B19" s="377" t="s">
        <v>32</v>
      </c>
      <c r="C19" s="378">
        <f>2</f>
        <v>2</v>
      </c>
      <c r="D19" s="373">
        <v>0</v>
      </c>
      <c r="E19" s="337">
        <f t="shared" si="25"/>
        <v>0</v>
      </c>
      <c r="F19" s="327"/>
      <c r="G19" s="338">
        <f t="shared" ref="G19:H19" si="28">K19-C19</f>
        <v>0</v>
      </c>
      <c r="H19" s="338">
        <f t="shared" si="28"/>
        <v>13261</v>
      </c>
      <c r="I19" s="337" t="e">
        <f t="shared" si="23"/>
        <v>#DIV/0!</v>
      </c>
      <c r="J19" s="327"/>
      <c r="K19" s="379">
        <v>2</v>
      </c>
      <c r="L19" s="375">
        <v>13261</v>
      </c>
      <c r="M19" s="376">
        <f t="shared" si="27"/>
        <v>6630.5</v>
      </c>
      <c r="N19" s="309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</row>
    <row r="20" spans="1:26" ht="15.75" customHeight="1">
      <c r="A20" s="950"/>
      <c r="B20" s="357" t="s">
        <v>25</v>
      </c>
      <c r="C20" s="369">
        <f t="shared" ref="C20:D20" si="29">SUM(C16:C19)</f>
        <v>543533</v>
      </c>
      <c r="D20" s="358">
        <f t="shared" si="29"/>
        <v>168299</v>
      </c>
      <c r="E20" s="359">
        <f t="shared" si="25"/>
        <v>0.30963897316262307</v>
      </c>
      <c r="F20" s="343"/>
      <c r="G20" s="370">
        <f t="shared" ref="G20:H20" si="30">SUM(G16:G19)</f>
        <v>220711</v>
      </c>
      <c r="H20" s="369">
        <f t="shared" si="30"/>
        <v>103910</v>
      </c>
      <c r="I20" s="380">
        <f t="shared" si="23"/>
        <v>0.47079665263625281</v>
      </c>
      <c r="J20" s="327"/>
      <c r="K20" s="371">
        <f t="shared" ref="K20:L20" si="31">SUM(K16:K19)</f>
        <v>764244</v>
      </c>
      <c r="L20" s="362">
        <f t="shared" si="31"/>
        <v>272209</v>
      </c>
      <c r="M20" s="363">
        <f t="shared" si="27"/>
        <v>0.35618074855674364</v>
      </c>
      <c r="N20" s="309"/>
      <c r="O20" s="305" t="s">
        <v>147</v>
      </c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</row>
    <row r="21" spans="1:26" ht="6.75" customHeight="1">
      <c r="A21" s="985"/>
      <c r="B21" s="928"/>
      <c r="C21" s="928"/>
      <c r="D21" s="928"/>
      <c r="E21" s="928"/>
      <c r="F21" s="312"/>
      <c r="G21" s="986"/>
      <c r="H21" s="928"/>
      <c r="I21" s="928"/>
      <c r="J21" s="312"/>
      <c r="K21" s="348"/>
      <c r="L21" s="348"/>
      <c r="M21" s="349"/>
      <c r="N21" s="309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</row>
    <row r="22" spans="1:26" ht="15.75" customHeight="1">
      <c r="A22" s="987" t="s">
        <v>34</v>
      </c>
      <c r="B22" s="323" t="s">
        <v>21</v>
      </c>
      <c r="C22" s="364">
        <v>0</v>
      </c>
      <c r="D22" s="365">
        <v>0</v>
      </c>
      <c r="E22" s="326">
        <v>0</v>
      </c>
      <c r="F22" s="327"/>
      <c r="G22" s="338">
        <f t="shared" ref="G22:H22" si="32">K22-C22</f>
        <v>5000</v>
      </c>
      <c r="H22" s="338">
        <f t="shared" si="32"/>
        <v>0</v>
      </c>
      <c r="I22" s="337">
        <f t="shared" ref="I22:I25" si="33">H22/G22</f>
        <v>0</v>
      </c>
      <c r="J22" s="327"/>
      <c r="K22" s="366">
        <v>5000</v>
      </c>
      <c r="L22" s="367">
        <v>0</v>
      </c>
      <c r="M22" s="368">
        <f t="shared" ref="M22:M25" si="34">L22/K22</f>
        <v>0</v>
      </c>
      <c r="N22" s="309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</row>
    <row r="23" spans="1:26" ht="15.75" customHeight="1">
      <c r="A23" s="949"/>
      <c r="B23" s="334" t="s">
        <v>28</v>
      </c>
      <c r="C23" s="372">
        <v>0</v>
      </c>
      <c r="D23" s="373">
        <v>0</v>
      </c>
      <c r="E23" s="337">
        <v>0</v>
      </c>
      <c r="F23" s="327"/>
      <c r="G23" s="338">
        <f t="shared" ref="G23:H23" si="35">K23-C23</f>
        <v>30000</v>
      </c>
      <c r="H23" s="338">
        <f t="shared" si="35"/>
        <v>730</v>
      </c>
      <c r="I23" s="337">
        <f t="shared" si="33"/>
        <v>2.4333333333333332E-2</v>
      </c>
      <c r="J23" s="327"/>
      <c r="K23" s="374">
        <v>30000</v>
      </c>
      <c r="L23" s="375">
        <v>730</v>
      </c>
      <c r="M23" s="376">
        <f t="shared" si="34"/>
        <v>2.4333333333333332E-2</v>
      </c>
      <c r="N23" s="309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</row>
    <row r="24" spans="1:26" ht="15.75" customHeight="1">
      <c r="A24" s="949"/>
      <c r="B24" s="334" t="s">
        <v>31</v>
      </c>
      <c r="C24" s="372">
        <v>0</v>
      </c>
      <c r="D24" s="373">
        <v>0</v>
      </c>
      <c r="E24" s="337">
        <v>0</v>
      </c>
      <c r="F24" s="327"/>
      <c r="G24" s="338">
        <f t="shared" ref="G24:H24" si="36">K24-C24</f>
        <v>104</v>
      </c>
      <c r="H24" s="338">
        <f t="shared" si="36"/>
        <v>1160</v>
      </c>
      <c r="I24" s="337">
        <f t="shared" si="33"/>
        <v>11.153846153846153</v>
      </c>
      <c r="J24" s="327"/>
      <c r="K24" s="374">
        <v>104</v>
      </c>
      <c r="L24" s="375">
        <v>1160</v>
      </c>
      <c r="M24" s="376">
        <f t="shared" si="34"/>
        <v>11.153846153846153</v>
      </c>
      <c r="N24" s="309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305"/>
      <c r="Z24" s="305"/>
    </row>
    <row r="25" spans="1:26" ht="15.75" customHeight="1">
      <c r="A25" s="950"/>
      <c r="B25" s="357" t="s">
        <v>25</v>
      </c>
      <c r="C25" s="369">
        <f t="shared" ref="C25:D25" si="37">SUM(C22:C24)</f>
        <v>0</v>
      </c>
      <c r="D25" s="358">
        <f t="shared" si="37"/>
        <v>0</v>
      </c>
      <c r="E25" s="359">
        <v>0</v>
      </c>
      <c r="F25" s="343"/>
      <c r="G25" s="370">
        <f t="shared" ref="G25:H25" si="38">SUM(G22:G24)</f>
        <v>35104</v>
      </c>
      <c r="H25" s="369">
        <f t="shared" si="38"/>
        <v>1890</v>
      </c>
      <c r="I25" s="380">
        <f t="shared" si="33"/>
        <v>5.3840018231540568E-2</v>
      </c>
      <c r="J25" s="327"/>
      <c r="K25" s="371">
        <f t="shared" ref="K25:L25" si="39">SUM(K22:K24)</f>
        <v>35104</v>
      </c>
      <c r="L25" s="362">
        <f t="shared" si="39"/>
        <v>1890</v>
      </c>
      <c r="M25" s="363">
        <f t="shared" si="34"/>
        <v>5.3840018231540568E-2</v>
      </c>
      <c r="N25" s="309"/>
      <c r="O25" s="305" t="s">
        <v>147</v>
      </c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</row>
    <row r="26" spans="1:26" ht="7.5" customHeight="1">
      <c r="A26" s="985"/>
      <c r="B26" s="928"/>
      <c r="C26" s="928"/>
      <c r="D26" s="928"/>
      <c r="E26" s="928"/>
      <c r="F26" s="312"/>
      <c r="G26" s="986"/>
      <c r="H26" s="928"/>
      <c r="I26" s="928"/>
      <c r="J26" s="312"/>
      <c r="K26" s="348"/>
      <c r="L26" s="348"/>
      <c r="M26" s="349"/>
      <c r="N26" s="309"/>
      <c r="O26" s="305"/>
      <c r="P26" s="305"/>
      <c r="Q26" s="305"/>
      <c r="R26" s="305"/>
      <c r="S26" s="305"/>
      <c r="T26" s="305"/>
      <c r="U26" s="305"/>
      <c r="V26" s="305"/>
      <c r="W26" s="305"/>
      <c r="X26" s="305"/>
      <c r="Y26" s="305"/>
      <c r="Z26" s="305"/>
    </row>
    <row r="27" spans="1:26" ht="15.75" customHeight="1">
      <c r="A27" s="987" t="s">
        <v>98</v>
      </c>
      <c r="B27" s="323" t="s">
        <v>21</v>
      </c>
      <c r="C27" s="364">
        <v>0</v>
      </c>
      <c r="D27" s="365">
        <v>0</v>
      </c>
      <c r="E27" s="381">
        <v>0</v>
      </c>
      <c r="F27" s="382"/>
      <c r="G27" s="338">
        <f t="shared" ref="G27:H27" si="40">K27-C27</f>
        <v>17001</v>
      </c>
      <c r="H27" s="338">
        <f t="shared" si="40"/>
        <v>24338</v>
      </c>
      <c r="I27" s="337">
        <f t="shared" ref="I27:I31" si="41">H27/G27</f>
        <v>1.4315628492441621</v>
      </c>
      <c r="J27" s="327"/>
      <c r="K27" s="366">
        <v>17001</v>
      </c>
      <c r="L27" s="367">
        <v>24338</v>
      </c>
      <c r="M27" s="368">
        <f>L27/K27</f>
        <v>1.4315628492441621</v>
      </c>
      <c r="N27" s="309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305"/>
      <c r="Z27" s="305"/>
    </row>
    <row r="28" spans="1:26" ht="15.75" customHeight="1">
      <c r="A28" s="949"/>
      <c r="B28" s="334" t="s">
        <v>28</v>
      </c>
      <c r="C28" s="372">
        <v>0</v>
      </c>
      <c r="D28" s="373">
        <v>0</v>
      </c>
      <c r="E28" s="383">
        <v>0</v>
      </c>
      <c r="F28" s="382"/>
      <c r="G28" s="338">
        <f t="shared" ref="G28:H28" si="42">K28-C28</f>
        <v>0</v>
      </c>
      <c r="H28" s="338">
        <f t="shared" si="42"/>
        <v>439</v>
      </c>
      <c r="I28" s="337" t="e">
        <f t="shared" si="41"/>
        <v>#DIV/0!</v>
      </c>
      <c r="J28" s="327"/>
      <c r="K28" s="374">
        <v>0</v>
      </c>
      <c r="L28" s="375">
        <v>439</v>
      </c>
      <c r="M28" s="376">
        <v>0</v>
      </c>
      <c r="N28" s="309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</row>
    <row r="29" spans="1:26" ht="15.75" customHeight="1">
      <c r="A29" s="949"/>
      <c r="B29" s="334" t="s">
        <v>31</v>
      </c>
      <c r="C29" s="372">
        <v>0</v>
      </c>
      <c r="D29" s="373">
        <v>0</v>
      </c>
      <c r="E29" s="383">
        <v>0</v>
      </c>
      <c r="F29" s="382"/>
      <c r="G29" s="338">
        <f t="shared" ref="G29:H29" si="43">K29-C29</f>
        <v>75646</v>
      </c>
      <c r="H29" s="338">
        <f t="shared" si="43"/>
        <v>0</v>
      </c>
      <c r="I29" s="337">
        <f t="shared" si="41"/>
        <v>0</v>
      </c>
      <c r="J29" s="327"/>
      <c r="K29" s="374">
        <v>75646</v>
      </c>
      <c r="L29" s="375">
        <v>0</v>
      </c>
      <c r="M29" s="376">
        <f t="shared" ref="M29:M31" si="44">L29/K29</f>
        <v>0</v>
      </c>
      <c r="N29" s="309"/>
      <c r="O29" s="305"/>
      <c r="P29" s="305"/>
      <c r="Q29" s="305">
        <f>1281400-1203450</f>
        <v>77950</v>
      </c>
      <c r="R29" s="305"/>
      <c r="S29" s="305"/>
      <c r="T29" s="305"/>
      <c r="U29" s="305"/>
      <c r="V29" s="305"/>
      <c r="W29" s="305"/>
      <c r="X29" s="305"/>
      <c r="Y29" s="305"/>
      <c r="Z29" s="305"/>
    </row>
    <row r="30" spans="1:26" ht="15.75" customHeight="1">
      <c r="A30" s="949"/>
      <c r="B30" s="377" t="s">
        <v>32</v>
      </c>
      <c r="C30" s="378">
        <v>0</v>
      </c>
      <c r="D30" s="373">
        <v>0</v>
      </c>
      <c r="E30" s="383">
        <v>0</v>
      </c>
      <c r="F30" s="382"/>
      <c r="G30" s="338">
        <f t="shared" ref="G30:H30" si="45">K30-C30</f>
        <v>87373</v>
      </c>
      <c r="H30" s="338">
        <f t="shared" si="45"/>
        <v>33021</v>
      </c>
      <c r="I30" s="337">
        <f t="shared" si="41"/>
        <v>0.37793139757133209</v>
      </c>
      <c r="J30" s="327"/>
      <c r="K30" s="379">
        <v>87373</v>
      </c>
      <c r="L30" s="375">
        <v>33021</v>
      </c>
      <c r="M30" s="376">
        <f t="shared" si="44"/>
        <v>0.37793139757133209</v>
      </c>
      <c r="N30" s="309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</row>
    <row r="31" spans="1:26" ht="15.75" customHeight="1">
      <c r="A31" s="950"/>
      <c r="B31" s="357" t="s">
        <v>25</v>
      </c>
      <c r="C31" s="369">
        <f t="shared" ref="C31:D31" si="46">SUM(C27:C30)</f>
        <v>0</v>
      </c>
      <c r="D31" s="358">
        <f t="shared" si="46"/>
        <v>0</v>
      </c>
      <c r="E31" s="384">
        <v>0</v>
      </c>
      <c r="F31" s="385"/>
      <c r="G31" s="370">
        <f t="shared" ref="G31:H31" si="47">SUM(G27:G30)</f>
        <v>180020</v>
      </c>
      <c r="H31" s="369">
        <f t="shared" si="47"/>
        <v>57798</v>
      </c>
      <c r="I31" s="380">
        <f t="shared" si="41"/>
        <v>0.32106432618597935</v>
      </c>
      <c r="J31" s="327"/>
      <c r="K31" s="371">
        <f t="shared" ref="K31:L31" si="48">SUM(K27:K30)</f>
        <v>180020</v>
      </c>
      <c r="L31" s="362">
        <f t="shared" si="48"/>
        <v>57798</v>
      </c>
      <c r="M31" s="363">
        <f t="shared" si="44"/>
        <v>0.32106432618597935</v>
      </c>
      <c r="N31" s="309"/>
      <c r="O31" s="305" t="s">
        <v>147</v>
      </c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</row>
    <row r="32" spans="1:26" ht="7.5" customHeight="1">
      <c r="A32" s="985"/>
      <c r="B32" s="928"/>
      <c r="C32" s="928"/>
      <c r="D32" s="928"/>
      <c r="E32" s="928"/>
      <c r="F32" s="312"/>
      <c r="G32" s="986"/>
      <c r="H32" s="928"/>
      <c r="I32" s="928"/>
      <c r="J32" s="312"/>
      <c r="K32" s="348"/>
      <c r="L32" s="348"/>
      <c r="M32" s="349"/>
      <c r="N32" s="309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</row>
    <row r="33" spans="1:26" ht="15.75" customHeight="1">
      <c r="A33" s="987" t="s">
        <v>99</v>
      </c>
      <c r="B33" s="323" t="s">
        <v>21</v>
      </c>
      <c r="C33" s="364">
        <v>0</v>
      </c>
      <c r="D33" s="365">
        <v>0</v>
      </c>
      <c r="E33" s="326">
        <v>0</v>
      </c>
      <c r="F33" s="327"/>
      <c r="G33" s="338">
        <f t="shared" ref="G33:H33" si="49">K33-C33</f>
        <v>6167100</v>
      </c>
      <c r="H33" s="338">
        <f t="shared" si="49"/>
        <v>3077600</v>
      </c>
      <c r="I33" s="337">
        <f t="shared" ref="I33:I34" si="50">H33/G33</f>
        <v>0.49903520293168591</v>
      </c>
      <c r="J33" s="327"/>
      <c r="K33" s="366">
        <v>6167100</v>
      </c>
      <c r="L33" s="367">
        <v>3077600</v>
      </c>
      <c r="M33" s="368">
        <f t="shared" ref="M33:M34" si="51">L33/K33</f>
        <v>0.49903520293168591</v>
      </c>
      <c r="N33" s="309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</row>
    <row r="34" spans="1:26" ht="15.75" customHeight="1">
      <c r="A34" s="950"/>
      <c r="B34" s="357" t="s">
        <v>25</v>
      </c>
      <c r="C34" s="369">
        <f t="shared" ref="C34:D34" si="52">SUM(C33)</f>
        <v>0</v>
      </c>
      <c r="D34" s="358">
        <f t="shared" si="52"/>
        <v>0</v>
      </c>
      <c r="E34" s="359">
        <v>0</v>
      </c>
      <c r="F34" s="343"/>
      <c r="G34" s="370">
        <f t="shared" ref="G34:H34" si="53">SUM(G33)</f>
        <v>6167100</v>
      </c>
      <c r="H34" s="369">
        <f t="shared" si="53"/>
        <v>3077600</v>
      </c>
      <c r="I34" s="380">
        <f t="shared" si="50"/>
        <v>0.49903520293168591</v>
      </c>
      <c r="J34" s="327"/>
      <c r="K34" s="371">
        <f t="shared" ref="K34:L34" si="54">SUM(K33)</f>
        <v>6167100</v>
      </c>
      <c r="L34" s="362">
        <f t="shared" si="54"/>
        <v>3077600</v>
      </c>
      <c r="M34" s="363">
        <f t="shared" si="51"/>
        <v>0.49903520293168591</v>
      </c>
      <c r="N34" s="309"/>
      <c r="O34" s="305" t="s">
        <v>147</v>
      </c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</row>
    <row r="35" spans="1:26" ht="15.75" customHeight="1">
      <c r="A35" s="985"/>
      <c r="B35" s="928"/>
      <c r="C35" s="928"/>
      <c r="D35" s="928"/>
      <c r="E35" s="928"/>
      <c r="F35" s="312"/>
      <c r="G35" s="986"/>
      <c r="H35" s="928"/>
      <c r="I35" s="928"/>
      <c r="J35" s="312"/>
      <c r="K35" s="348"/>
      <c r="L35" s="348"/>
      <c r="M35" s="349"/>
      <c r="N35" s="309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</row>
    <row r="36" spans="1:26" ht="15.75" customHeight="1">
      <c r="A36" s="987" t="s">
        <v>101</v>
      </c>
      <c r="B36" s="386" t="s">
        <v>40</v>
      </c>
      <c r="C36" s="386">
        <v>10000</v>
      </c>
      <c r="D36" s="387">
        <v>0</v>
      </c>
      <c r="E36" s="326">
        <f>D36/C36</f>
        <v>0</v>
      </c>
      <c r="F36" s="327"/>
      <c r="G36" s="338">
        <f t="shared" ref="G36:H36" si="55">K36-C36</f>
        <v>234105</v>
      </c>
      <c r="H36" s="338">
        <f t="shared" si="55"/>
        <v>5092</v>
      </c>
      <c r="I36" s="337">
        <f>H36/G36</f>
        <v>2.1750923730804554E-2</v>
      </c>
      <c r="J36" s="327"/>
      <c r="K36" s="388">
        <v>244105</v>
      </c>
      <c r="L36" s="389">
        <v>5092</v>
      </c>
      <c r="M36" s="368">
        <f>L36/K36</f>
        <v>2.0859875873087401E-2</v>
      </c>
      <c r="N36" s="309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</row>
    <row r="37" spans="1:26" ht="15.75" customHeight="1">
      <c r="A37" s="949"/>
      <c r="B37" s="377" t="s">
        <v>32</v>
      </c>
      <c r="C37" s="377">
        <v>0</v>
      </c>
      <c r="D37" s="373">
        <v>0</v>
      </c>
      <c r="E37" s="337">
        <v>0</v>
      </c>
      <c r="F37" s="327"/>
      <c r="G37" s="338">
        <f t="shared" ref="G37:H37" si="56">K37-C37</f>
        <v>0</v>
      </c>
      <c r="H37" s="338">
        <f t="shared" si="56"/>
        <v>0</v>
      </c>
      <c r="I37" s="337">
        <v>0</v>
      </c>
      <c r="J37" s="327"/>
      <c r="K37" s="390">
        <v>0</v>
      </c>
      <c r="L37" s="375">
        <v>0</v>
      </c>
      <c r="M37" s="376">
        <v>0</v>
      </c>
      <c r="N37" s="309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305"/>
      <c r="Z37" s="305"/>
    </row>
    <row r="38" spans="1:26" ht="15.75" customHeight="1">
      <c r="A38" s="950"/>
      <c r="B38" s="357" t="s">
        <v>25</v>
      </c>
      <c r="C38" s="357">
        <f>SUM(C36:C37)</f>
        <v>10000</v>
      </c>
      <c r="D38" s="358">
        <f>SUM(D37)</f>
        <v>0</v>
      </c>
      <c r="E38" s="359">
        <v>0</v>
      </c>
      <c r="F38" s="343"/>
      <c r="G38" s="360">
        <f t="shared" ref="G38:H38" si="57">SUM(G36:G37)</f>
        <v>234105</v>
      </c>
      <c r="H38" s="357">
        <f t="shared" si="57"/>
        <v>5092</v>
      </c>
      <c r="I38" s="380">
        <f>H38/G38</f>
        <v>2.1750923730804554E-2</v>
      </c>
      <c r="J38" s="327"/>
      <c r="K38" s="361">
        <f t="shared" ref="K38:L38" si="58">SUM(K36:K37)</f>
        <v>244105</v>
      </c>
      <c r="L38" s="362">
        <f t="shared" si="58"/>
        <v>5092</v>
      </c>
      <c r="M38" s="363">
        <f>L38/K38</f>
        <v>2.0859875873087401E-2</v>
      </c>
      <c r="N38" s="309"/>
      <c r="O38" s="305" t="s">
        <v>147</v>
      </c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</row>
    <row r="39" spans="1:26" ht="15.75" customHeight="1">
      <c r="A39" s="985"/>
      <c r="B39" s="928"/>
      <c r="C39" s="928"/>
      <c r="D39" s="928"/>
      <c r="E39" s="928"/>
      <c r="F39" s="312"/>
      <c r="G39" s="986"/>
      <c r="H39" s="928"/>
      <c r="I39" s="928"/>
      <c r="J39" s="312"/>
      <c r="K39" s="348"/>
      <c r="L39" s="348"/>
      <c r="M39" s="349"/>
      <c r="N39" s="309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</row>
    <row r="40" spans="1:26" ht="15.75" customHeight="1">
      <c r="A40" s="987" t="s">
        <v>39</v>
      </c>
      <c r="B40" s="323" t="s">
        <v>40</v>
      </c>
      <c r="C40" s="364">
        <v>1281400</v>
      </c>
      <c r="D40" s="365">
        <v>279534</v>
      </c>
      <c r="E40" s="326">
        <f t="shared" ref="E40:E42" si="59">D40/C40</f>
        <v>0.21814733884813486</v>
      </c>
      <c r="F40" s="327"/>
      <c r="G40" s="338">
        <f t="shared" ref="G40:H40" si="60">K40-C40</f>
        <v>3331904</v>
      </c>
      <c r="H40" s="338">
        <f t="shared" si="60"/>
        <v>45629</v>
      </c>
      <c r="I40" s="337">
        <f t="shared" ref="I40:I42" si="61">H40/G40</f>
        <v>1.3694572232573327E-2</v>
      </c>
      <c r="J40" s="327"/>
      <c r="K40" s="366">
        <v>4613304</v>
      </c>
      <c r="L40" s="367">
        <v>325163</v>
      </c>
      <c r="M40" s="368">
        <f t="shared" ref="M40:M42" si="62">L40/K40</f>
        <v>7.0483757411174297E-2</v>
      </c>
      <c r="N40" s="309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</row>
    <row r="41" spans="1:26" ht="15.75" customHeight="1">
      <c r="A41" s="949"/>
      <c r="B41" s="377" t="s">
        <v>32</v>
      </c>
      <c r="C41" s="378">
        <v>153861</v>
      </c>
      <c r="D41" s="373">
        <v>25311</v>
      </c>
      <c r="E41" s="337">
        <f t="shared" si="59"/>
        <v>0.16450562520716752</v>
      </c>
      <c r="F41" s="327"/>
      <c r="G41" s="338">
        <f t="shared" ref="G41:H41" si="63">K41-C41</f>
        <v>482874</v>
      </c>
      <c r="H41" s="338">
        <f t="shared" si="63"/>
        <v>378778</v>
      </c>
      <c r="I41" s="337">
        <f t="shared" si="61"/>
        <v>0.78442409407008873</v>
      </c>
      <c r="J41" s="327"/>
      <c r="K41" s="379">
        <v>636735</v>
      </c>
      <c r="L41" s="375">
        <v>404089</v>
      </c>
      <c r="M41" s="376">
        <f t="shared" si="62"/>
        <v>0.63462665001923879</v>
      </c>
      <c r="N41" s="309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</row>
    <row r="42" spans="1:26" ht="15.75" customHeight="1">
      <c r="A42" s="950"/>
      <c r="B42" s="357" t="s">
        <v>25</v>
      </c>
      <c r="C42" s="369">
        <f t="shared" ref="C42:D42" si="64">SUM(C40:C41)</f>
        <v>1435261</v>
      </c>
      <c r="D42" s="369">
        <f t="shared" si="64"/>
        <v>304845</v>
      </c>
      <c r="E42" s="359">
        <f t="shared" si="59"/>
        <v>0.21239690899425262</v>
      </c>
      <c r="F42" s="343"/>
      <c r="G42" s="370">
        <f t="shared" ref="G42:H42" si="65">SUM(G40:G41)</f>
        <v>3814778</v>
      </c>
      <c r="H42" s="369">
        <f t="shared" si="65"/>
        <v>424407</v>
      </c>
      <c r="I42" s="380">
        <f t="shared" si="61"/>
        <v>0.11125339403760848</v>
      </c>
      <c r="J42" s="327"/>
      <c r="K42" s="371">
        <f t="shared" ref="K42:L42" si="66">SUM(K40:K41)</f>
        <v>5250039</v>
      </c>
      <c r="L42" s="362">
        <f t="shared" si="66"/>
        <v>729252</v>
      </c>
      <c r="M42" s="363">
        <f t="shared" si="62"/>
        <v>0.1389041109980326</v>
      </c>
      <c r="N42" s="309"/>
      <c r="O42" s="305" t="s">
        <v>147</v>
      </c>
      <c r="P42" s="305"/>
      <c r="Q42" s="305"/>
      <c r="R42" s="305"/>
      <c r="S42" s="305"/>
      <c r="T42" s="305"/>
      <c r="U42" s="305"/>
      <c r="V42" s="305"/>
      <c r="W42" s="305"/>
      <c r="X42" s="305"/>
      <c r="Y42" s="305"/>
      <c r="Z42" s="305"/>
    </row>
    <row r="43" spans="1:26" ht="15.75" customHeight="1">
      <c r="A43" s="985"/>
      <c r="B43" s="928"/>
      <c r="C43" s="928"/>
      <c r="D43" s="928"/>
      <c r="E43" s="928"/>
      <c r="F43" s="312"/>
      <c r="G43" s="986"/>
      <c r="H43" s="928"/>
      <c r="I43" s="928"/>
      <c r="J43" s="312"/>
      <c r="K43" s="348"/>
      <c r="L43" s="348"/>
      <c r="M43" s="349"/>
      <c r="N43" s="309"/>
      <c r="O43" s="305"/>
      <c r="P43" s="305"/>
      <c r="Q43" s="305"/>
      <c r="R43" s="305"/>
      <c r="S43" s="305"/>
      <c r="T43" s="305"/>
      <c r="U43" s="305"/>
      <c r="V43" s="305"/>
      <c r="W43" s="305"/>
      <c r="X43" s="305"/>
      <c r="Y43" s="305"/>
      <c r="Z43" s="305"/>
    </row>
    <row r="44" spans="1:26" ht="15.75" customHeight="1">
      <c r="A44" s="987" t="s">
        <v>41</v>
      </c>
      <c r="B44" s="391" t="s">
        <v>32</v>
      </c>
      <c r="C44" s="392">
        <v>0</v>
      </c>
      <c r="D44" s="365">
        <v>0</v>
      </c>
      <c r="E44" s="326">
        <v>0</v>
      </c>
      <c r="F44" s="327"/>
      <c r="G44" s="338">
        <f t="shared" ref="G44:H44" si="67">K44-C44</f>
        <v>6000000</v>
      </c>
      <c r="H44" s="338">
        <f t="shared" si="67"/>
        <v>3674876</v>
      </c>
      <c r="I44" s="337">
        <f t="shared" ref="I44:I45" si="68">H44/G44</f>
        <v>0.61247933333333338</v>
      </c>
      <c r="J44" s="327"/>
      <c r="K44" s="393">
        <v>6000000</v>
      </c>
      <c r="L44" s="367">
        <v>3674876</v>
      </c>
      <c r="M44" s="368">
        <f t="shared" ref="M44:M45" si="69">L44/K44</f>
        <v>0.61247933333333338</v>
      </c>
      <c r="N44" s="309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</row>
    <row r="45" spans="1:26" ht="15.75" customHeight="1">
      <c r="A45" s="950"/>
      <c r="B45" s="357" t="s">
        <v>25</v>
      </c>
      <c r="C45" s="369">
        <f t="shared" ref="C45:D45" si="70">SUM(C44)</f>
        <v>0</v>
      </c>
      <c r="D45" s="358">
        <f t="shared" si="70"/>
        <v>0</v>
      </c>
      <c r="E45" s="359">
        <v>0</v>
      </c>
      <c r="F45" s="343"/>
      <c r="G45" s="370">
        <f t="shared" ref="G45:H45" si="71">SUM(G44)</f>
        <v>6000000</v>
      </c>
      <c r="H45" s="369">
        <f t="shared" si="71"/>
        <v>3674876</v>
      </c>
      <c r="I45" s="380">
        <f t="shared" si="68"/>
        <v>0.61247933333333338</v>
      </c>
      <c r="J45" s="327"/>
      <c r="K45" s="371">
        <f t="shared" ref="K45:L45" si="72">SUM(K44)</f>
        <v>6000000</v>
      </c>
      <c r="L45" s="362">
        <f t="shared" si="72"/>
        <v>3674876</v>
      </c>
      <c r="M45" s="363">
        <f t="shared" si="69"/>
        <v>0.61247933333333338</v>
      </c>
      <c r="N45" s="309"/>
      <c r="O45" s="305" t="s">
        <v>147</v>
      </c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</row>
    <row r="46" spans="1:26" ht="15.75" customHeight="1">
      <c r="A46" s="985"/>
      <c r="B46" s="928"/>
      <c r="C46" s="928"/>
      <c r="D46" s="928"/>
      <c r="E46" s="928"/>
      <c r="F46" s="312"/>
      <c r="G46" s="986"/>
      <c r="H46" s="928"/>
      <c r="I46" s="928"/>
      <c r="J46" s="312"/>
      <c r="K46" s="348"/>
      <c r="L46" s="348"/>
      <c r="M46" s="349"/>
      <c r="N46" s="309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</row>
    <row r="47" spans="1:26" ht="15.75" customHeight="1">
      <c r="A47" s="987" t="s">
        <v>42</v>
      </c>
      <c r="B47" s="323" t="s">
        <v>21</v>
      </c>
      <c r="C47" s="364">
        <v>0</v>
      </c>
      <c r="D47" s="365">
        <v>0</v>
      </c>
      <c r="E47" s="326">
        <v>0</v>
      </c>
      <c r="F47" s="327"/>
      <c r="G47" s="338">
        <f t="shared" ref="G47:H47" si="73">K47-C47</f>
        <v>4500</v>
      </c>
      <c r="H47" s="338">
        <f t="shared" si="73"/>
        <v>0</v>
      </c>
      <c r="I47" s="337">
        <f>H47/G47</f>
        <v>0</v>
      </c>
      <c r="J47" s="327"/>
      <c r="K47" s="366">
        <v>4500</v>
      </c>
      <c r="L47" s="367">
        <v>0</v>
      </c>
      <c r="M47" s="368">
        <f>L47/K47</f>
        <v>0</v>
      </c>
      <c r="N47" s="309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</row>
    <row r="48" spans="1:26" ht="15.75" customHeight="1">
      <c r="A48" s="949"/>
      <c r="B48" s="334" t="s">
        <v>28</v>
      </c>
      <c r="C48" s="372">
        <v>0</v>
      </c>
      <c r="D48" s="373">
        <v>0</v>
      </c>
      <c r="E48" s="337">
        <v>0</v>
      </c>
      <c r="F48" s="327"/>
      <c r="G48" s="338">
        <f t="shared" ref="G48:H48" si="74">K48-C48</f>
        <v>0</v>
      </c>
      <c r="H48" s="338">
        <f t="shared" si="74"/>
        <v>4957</v>
      </c>
      <c r="I48" s="337">
        <v>0</v>
      </c>
      <c r="J48" s="327"/>
      <c r="K48" s="374">
        <v>0</v>
      </c>
      <c r="L48" s="375">
        <v>4957</v>
      </c>
      <c r="M48" s="376">
        <v>0</v>
      </c>
      <c r="N48" s="309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</row>
    <row r="49" spans="1:26" ht="15.75" customHeight="1">
      <c r="A49" s="949"/>
      <c r="B49" s="377" t="s">
        <v>32</v>
      </c>
      <c r="C49" s="378">
        <v>2</v>
      </c>
      <c r="D49" s="373">
        <v>0</v>
      </c>
      <c r="E49" s="337">
        <f t="shared" ref="E49:E50" si="75">D49/C49</f>
        <v>0</v>
      </c>
      <c r="F49" s="327"/>
      <c r="G49" s="338">
        <f t="shared" ref="G49:H49" si="76">K49-C49</f>
        <v>145498</v>
      </c>
      <c r="H49" s="338">
        <f t="shared" si="76"/>
        <v>52957</v>
      </c>
      <c r="I49" s="337">
        <f t="shared" ref="I49:I50" si="77">H49/G49</f>
        <v>0.36397063877166697</v>
      </c>
      <c r="J49" s="327"/>
      <c r="K49" s="379">
        <v>145500</v>
      </c>
      <c r="L49" s="375">
        <v>52957</v>
      </c>
      <c r="M49" s="376">
        <f t="shared" ref="M49:M50" si="78">L49/K49</f>
        <v>0.36396563573883162</v>
      </c>
      <c r="N49" s="309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</row>
    <row r="50" spans="1:26" ht="15.75" customHeight="1">
      <c r="A50" s="950"/>
      <c r="B50" s="357" t="s">
        <v>25</v>
      </c>
      <c r="C50" s="369">
        <f t="shared" ref="C50:D50" si="79">SUM(C47:C49)</f>
        <v>2</v>
      </c>
      <c r="D50" s="358">
        <f t="shared" si="79"/>
        <v>0</v>
      </c>
      <c r="E50" s="359">
        <f t="shared" si="75"/>
        <v>0</v>
      </c>
      <c r="F50" s="343"/>
      <c r="G50" s="370">
        <f t="shared" ref="G50:H50" si="80">SUM(G47:G49)</f>
        <v>149998</v>
      </c>
      <c r="H50" s="369">
        <f t="shared" si="80"/>
        <v>57914</v>
      </c>
      <c r="I50" s="380">
        <f t="shared" si="77"/>
        <v>0.38609848131308416</v>
      </c>
      <c r="J50" s="327"/>
      <c r="K50" s="371">
        <f t="shared" ref="K50:L50" si="81">SUM(K47:K49)</f>
        <v>150000</v>
      </c>
      <c r="L50" s="362">
        <f t="shared" si="81"/>
        <v>57914</v>
      </c>
      <c r="M50" s="363">
        <f t="shared" si="78"/>
        <v>0.38609333333333334</v>
      </c>
      <c r="N50" s="309"/>
      <c r="O50" s="305" t="s">
        <v>147</v>
      </c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</row>
    <row r="51" spans="1:26" ht="15.75" customHeight="1">
      <c r="A51" s="985"/>
      <c r="B51" s="928"/>
      <c r="C51" s="928"/>
      <c r="D51" s="928"/>
      <c r="E51" s="928"/>
      <c r="F51" s="312"/>
      <c r="G51" s="986"/>
      <c r="H51" s="928"/>
      <c r="I51" s="928"/>
      <c r="J51" s="312"/>
      <c r="K51" s="348"/>
      <c r="L51" s="348"/>
      <c r="M51" s="349"/>
      <c r="N51" s="309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</row>
    <row r="52" spans="1:26" ht="15.75" customHeight="1">
      <c r="A52" s="987" t="s">
        <v>43</v>
      </c>
      <c r="B52" s="323" t="s">
        <v>21</v>
      </c>
      <c r="C52" s="364">
        <v>330003</v>
      </c>
      <c r="D52" s="394">
        <v>17895</v>
      </c>
      <c r="E52" s="395">
        <v>0</v>
      </c>
      <c r="F52" s="327"/>
      <c r="G52" s="338">
        <f t="shared" ref="G52:H52" si="82">K52-C52</f>
        <v>189981</v>
      </c>
      <c r="H52" s="338">
        <f t="shared" si="82"/>
        <v>7692</v>
      </c>
      <c r="I52" s="337">
        <f t="shared" ref="I52:I54" si="83">H52/G52</f>
        <v>4.0488259352251012E-2</v>
      </c>
      <c r="J52" s="327"/>
      <c r="K52" s="366">
        <v>519984</v>
      </c>
      <c r="L52" s="367">
        <v>25587</v>
      </c>
      <c r="M52" s="368">
        <f t="shared" ref="M52:M54" si="84">L52/K52</f>
        <v>4.9207283301024647E-2</v>
      </c>
      <c r="N52" s="309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</row>
    <row r="53" spans="1:26" ht="15.75" customHeight="1">
      <c r="A53" s="949"/>
      <c r="B53" s="377" t="s">
        <v>32</v>
      </c>
      <c r="C53" s="378">
        <f>1004+1070009</f>
        <v>1071013</v>
      </c>
      <c r="D53" s="396">
        <f>13860+511090</f>
        <v>524950</v>
      </c>
      <c r="E53" s="329">
        <f t="shared" ref="E53:E54" si="85">D53/C53</f>
        <v>0.49014344363700535</v>
      </c>
      <c r="F53" s="327"/>
      <c r="G53" s="338">
        <f t="shared" ref="G53:H53" si="86">K53-C53</f>
        <v>1462426</v>
      </c>
      <c r="H53" s="338">
        <f t="shared" si="86"/>
        <v>426613</v>
      </c>
      <c r="I53" s="337">
        <f t="shared" si="83"/>
        <v>0.29171595690995644</v>
      </c>
      <c r="J53" s="327"/>
      <c r="K53" s="379">
        <v>2533439</v>
      </c>
      <c r="L53" s="375">
        <v>951563</v>
      </c>
      <c r="M53" s="376">
        <f t="shared" si="84"/>
        <v>0.37560130715600415</v>
      </c>
      <c r="N53" s="309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305"/>
      <c r="Z53" s="305"/>
    </row>
    <row r="54" spans="1:26" ht="15.75" customHeight="1">
      <c r="A54" s="950"/>
      <c r="B54" s="357" t="s">
        <v>25</v>
      </c>
      <c r="C54" s="369">
        <f t="shared" ref="C54:D54" si="87">SUM(C52:C53)</f>
        <v>1401016</v>
      </c>
      <c r="D54" s="357">
        <f t="shared" si="87"/>
        <v>542845</v>
      </c>
      <c r="E54" s="397">
        <f t="shared" si="85"/>
        <v>0.3874652395118971</v>
      </c>
      <c r="F54" s="343"/>
      <c r="G54" s="370">
        <f t="shared" ref="G54:H54" si="88">SUM(G52:G53)</f>
        <v>1652407</v>
      </c>
      <c r="H54" s="369">
        <f t="shared" si="88"/>
        <v>434305</v>
      </c>
      <c r="I54" s="380">
        <f t="shared" si="83"/>
        <v>0.26283173576485697</v>
      </c>
      <c r="J54" s="327"/>
      <c r="K54" s="371">
        <f t="shared" ref="K54:L54" si="89">SUM(K52:K53)</f>
        <v>3053423</v>
      </c>
      <c r="L54" s="362">
        <f t="shared" si="89"/>
        <v>977150</v>
      </c>
      <c r="M54" s="363">
        <f t="shared" si="84"/>
        <v>0.32001789467099712</v>
      </c>
      <c r="N54" s="309"/>
      <c r="O54" s="305" t="s">
        <v>147</v>
      </c>
      <c r="P54" s="305"/>
      <c r="Q54" s="305"/>
      <c r="R54" s="305"/>
      <c r="S54" s="305"/>
      <c r="T54" s="305"/>
      <c r="U54" s="305"/>
      <c r="V54" s="305"/>
      <c r="W54" s="305"/>
      <c r="X54" s="305"/>
      <c r="Y54" s="305"/>
      <c r="Z54" s="305"/>
    </row>
    <row r="55" spans="1:26" ht="15.75" customHeight="1">
      <c r="A55" s="985"/>
      <c r="B55" s="928"/>
      <c r="C55" s="928"/>
      <c r="D55" s="928"/>
      <c r="E55" s="928"/>
      <c r="F55" s="312"/>
      <c r="G55" s="986"/>
      <c r="H55" s="928"/>
      <c r="I55" s="928"/>
      <c r="J55" s="312"/>
      <c r="K55" s="348"/>
      <c r="L55" s="348"/>
      <c r="M55" s="349"/>
      <c r="N55" s="309"/>
      <c r="O55" s="305"/>
      <c r="P55" s="305"/>
      <c r="Q55" s="305"/>
      <c r="R55" s="305"/>
      <c r="S55" s="305"/>
      <c r="T55" s="305"/>
      <c r="U55" s="305"/>
      <c r="V55" s="305"/>
      <c r="W55" s="305"/>
      <c r="X55" s="305"/>
      <c r="Y55" s="305"/>
      <c r="Z55" s="305"/>
    </row>
    <row r="56" spans="1:26" ht="15.75" customHeight="1">
      <c r="A56" s="987" t="s">
        <v>44</v>
      </c>
      <c r="B56" s="323" t="s">
        <v>21</v>
      </c>
      <c r="C56" s="364">
        <v>350210</v>
      </c>
      <c r="D56" s="365">
        <v>62828</v>
      </c>
      <c r="E56" s="326">
        <f>D56/C56</f>
        <v>0.17940093087004941</v>
      </c>
      <c r="F56" s="327"/>
      <c r="G56" s="338">
        <f t="shared" ref="G56:H56" si="90">K56-C56</f>
        <v>18111</v>
      </c>
      <c r="H56" s="338">
        <f t="shared" si="90"/>
        <v>9511</v>
      </c>
      <c r="I56" s="337">
        <f t="shared" ref="I56:I60" si="91">H56/G56</f>
        <v>0.52515046104577334</v>
      </c>
      <c r="J56" s="327"/>
      <c r="K56" s="366">
        <v>368321</v>
      </c>
      <c r="L56" s="367">
        <v>72339</v>
      </c>
      <c r="M56" s="368">
        <f t="shared" ref="M56:M60" si="92">L56/K56</f>
        <v>0.19640205147140674</v>
      </c>
      <c r="N56" s="309"/>
      <c r="O56" s="305"/>
      <c r="P56" s="305"/>
      <c r="Q56" s="305"/>
      <c r="R56" s="305"/>
      <c r="S56" s="305"/>
      <c r="T56" s="305"/>
      <c r="U56" s="305"/>
      <c r="V56" s="305"/>
      <c r="W56" s="305"/>
      <c r="X56" s="305"/>
      <c r="Y56" s="305"/>
      <c r="Z56" s="305"/>
    </row>
    <row r="57" spans="1:26" ht="15.75" customHeight="1">
      <c r="A57" s="949"/>
      <c r="B57" s="334" t="s">
        <v>28</v>
      </c>
      <c r="C57" s="372">
        <v>0</v>
      </c>
      <c r="D57" s="373">
        <v>0</v>
      </c>
      <c r="E57" s="337">
        <v>0</v>
      </c>
      <c r="F57" s="327"/>
      <c r="G57" s="338">
        <f t="shared" ref="G57:H57" si="93">K57-C57</f>
        <v>33979</v>
      </c>
      <c r="H57" s="338">
        <f t="shared" si="93"/>
        <v>92</v>
      </c>
      <c r="I57" s="337">
        <f t="shared" si="91"/>
        <v>2.7075546661173076E-3</v>
      </c>
      <c r="J57" s="327"/>
      <c r="K57" s="374">
        <v>33979</v>
      </c>
      <c r="L57" s="375">
        <v>92</v>
      </c>
      <c r="M57" s="376">
        <f t="shared" si="92"/>
        <v>2.7075546661173076E-3</v>
      </c>
      <c r="N57" s="309"/>
      <c r="O57" s="305"/>
      <c r="P57" s="305"/>
      <c r="Q57" s="305"/>
      <c r="R57" s="305"/>
      <c r="S57" s="305"/>
      <c r="T57" s="305"/>
      <c r="U57" s="305"/>
      <c r="V57" s="305"/>
      <c r="W57" s="305"/>
      <c r="X57" s="305"/>
      <c r="Y57" s="305"/>
      <c r="Z57" s="305"/>
    </row>
    <row r="58" spans="1:26" ht="15.75" customHeight="1">
      <c r="A58" s="949"/>
      <c r="B58" s="334" t="s">
        <v>31</v>
      </c>
      <c r="C58" s="372">
        <v>84000</v>
      </c>
      <c r="D58" s="373">
        <v>72911</v>
      </c>
      <c r="E58" s="337">
        <f t="shared" ref="E58:E60" si="94">D58/C58</f>
        <v>0.86798809523809528</v>
      </c>
      <c r="F58" s="327"/>
      <c r="G58" s="338">
        <f t="shared" ref="G58:H58" si="95">K58-C58</f>
        <v>20631</v>
      </c>
      <c r="H58" s="338">
        <f t="shared" si="95"/>
        <v>1522</v>
      </c>
      <c r="I58" s="337">
        <f t="shared" si="91"/>
        <v>7.377247830934032E-2</v>
      </c>
      <c r="J58" s="327"/>
      <c r="K58" s="374">
        <v>104631</v>
      </c>
      <c r="L58" s="375">
        <v>74433</v>
      </c>
      <c r="M58" s="376">
        <f t="shared" si="92"/>
        <v>0.71138572698339875</v>
      </c>
      <c r="N58" s="309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305"/>
      <c r="Z58" s="305"/>
    </row>
    <row r="59" spans="1:26" ht="15.75" customHeight="1">
      <c r="A59" s="949"/>
      <c r="B59" s="377" t="s">
        <v>32</v>
      </c>
      <c r="C59" s="378">
        <v>76700</v>
      </c>
      <c r="D59" s="373">
        <v>8927</v>
      </c>
      <c r="E59" s="337">
        <f t="shared" si="94"/>
        <v>0.11638852672750978</v>
      </c>
      <c r="F59" s="327"/>
      <c r="G59" s="338">
        <f t="shared" ref="G59:H59" si="96">K59-C59</f>
        <v>418722</v>
      </c>
      <c r="H59" s="338">
        <f t="shared" si="96"/>
        <v>92333</v>
      </c>
      <c r="I59" s="337">
        <f t="shared" si="91"/>
        <v>0.22051146106485925</v>
      </c>
      <c r="J59" s="327"/>
      <c r="K59" s="379">
        <v>495422</v>
      </c>
      <c r="L59" s="375">
        <v>101260</v>
      </c>
      <c r="M59" s="376">
        <f t="shared" si="92"/>
        <v>0.20439140772916828</v>
      </c>
      <c r="N59" s="309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05"/>
      <c r="Z59" s="305"/>
    </row>
    <row r="60" spans="1:26" ht="15.75" customHeight="1">
      <c r="A60" s="950"/>
      <c r="B60" s="357" t="s">
        <v>25</v>
      </c>
      <c r="C60" s="369">
        <f t="shared" ref="C60:D60" si="97">SUM(C56:C59)</f>
        <v>510910</v>
      </c>
      <c r="D60" s="369">
        <f t="shared" si="97"/>
        <v>144666</v>
      </c>
      <c r="E60" s="359">
        <f t="shared" si="94"/>
        <v>0.28315358869468205</v>
      </c>
      <c r="F60" s="343"/>
      <c r="G60" s="370">
        <f t="shared" ref="G60:H60" si="98">SUM(G56:G59)</f>
        <v>491443</v>
      </c>
      <c r="H60" s="369">
        <f t="shared" si="98"/>
        <v>103458</v>
      </c>
      <c r="I60" s="380">
        <f t="shared" si="91"/>
        <v>0.21051881906955638</v>
      </c>
      <c r="J60" s="327"/>
      <c r="K60" s="371">
        <f t="shared" ref="K60:L60" si="99">SUM(K56:K59)</f>
        <v>1002353</v>
      </c>
      <c r="L60" s="362">
        <f t="shared" si="99"/>
        <v>248124</v>
      </c>
      <c r="M60" s="363">
        <f t="shared" si="92"/>
        <v>0.24754153476868929</v>
      </c>
      <c r="N60" s="309"/>
      <c r="O60" s="305" t="s">
        <v>147</v>
      </c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5"/>
    </row>
    <row r="61" spans="1:26" ht="15.75" customHeight="1">
      <c r="A61" s="985"/>
      <c r="B61" s="928"/>
      <c r="C61" s="928"/>
      <c r="D61" s="928"/>
      <c r="E61" s="928"/>
      <c r="F61" s="312"/>
      <c r="G61" s="986"/>
      <c r="H61" s="928"/>
      <c r="I61" s="928"/>
      <c r="J61" s="312"/>
      <c r="K61" s="348"/>
      <c r="L61" s="348"/>
      <c r="M61" s="349"/>
      <c r="N61" s="309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305"/>
      <c r="Z61" s="305"/>
    </row>
    <row r="62" spans="1:26" ht="15.75" customHeight="1">
      <c r="A62" s="987" t="s">
        <v>45</v>
      </c>
      <c r="B62" s="323" t="s">
        <v>21</v>
      </c>
      <c r="C62" s="364">
        <v>0</v>
      </c>
      <c r="D62" s="365">
        <v>0</v>
      </c>
      <c r="E62" s="381">
        <v>0</v>
      </c>
      <c r="F62" s="382"/>
      <c r="G62" s="338">
        <f t="shared" ref="G62:H62" si="100">K62-C62</f>
        <v>83415</v>
      </c>
      <c r="H62" s="338">
        <f t="shared" si="100"/>
        <v>64311</v>
      </c>
      <c r="I62" s="337">
        <f t="shared" ref="I62:I66" si="101">H62/G62</f>
        <v>0.77097644308577595</v>
      </c>
      <c r="J62" s="327"/>
      <c r="K62" s="366">
        <v>83415</v>
      </c>
      <c r="L62" s="367">
        <v>64311</v>
      </c>
      <c r="M62" s="368">
        <f t="shared" ref="M62:M66" si="102">L62/K62</f>
        <v>0.77097644308577595</v>
      </c>
      <c r="N62" s="309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05"/>
      <c r="Z62" s="305"/>
    </row>
    <row r="63" spans="1:26" ht="15.75" customHeight="1">
      <c r="A63" s="949"/>
      <c r="B63" s="334" t="s">
        <v>28</v>
      </c>
      <c r="C63" s="372">
        <v>0</v>
      </c>
      <c r="D63" s="373">
        <v>0</v>
      </c>
      <c r="E63" s="383">
        <v>0</v>
      </c>
      <c r="F63" s="382"/>
      <c r="G63" s="338">
        <f t="shared" ref="G63:H63" si="103">K63-C63</f>
        <v>19235</v>
      </c>
      <c r="H63" s="338">
        <f t="shared" si="103"/>
        <v>148872</v>
      </c>
      <c r="I63" s="337">
        <f t="shared" si="101"/>
        <v>7.7396412789186382</v>
      </c>
      <c r="J63" s="327"/>
      <c r="K63" s="374">
        <v>19235</v>
      </c>
      <c r="L63" s="375">
        <v>148872</v>
      </c>
      <c r="M63" s="376">
        <f t="shared" si="102"/>
        <v>7.7396412789186382</v>
      </c>
      <c r="N63" s="309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5"/>
    </row>
    <row r="64" spans="1:26" ht="15.75" customHeight="1">
      <c r="A64" s="949"/>
      <c r="B64" s="334" t="s">
        <v>31</v>
      </c>
      <c r="C64" s="372">
        <v>0</v>
      </c>
      <c r="D64" s="373">
        <v>0</v>
      </c>
      <c r="E64" s="383">
        <v>0</v>
      </c>
      <c r="F64" s="382"/>
      <c r="G64" s="338">
        <f t="shared" ref="G64:H64" si="104">K64-C64</f>
        <v>40499</v>
      </c>
      <c r="H64" s="338">
        <f t="shared" si="104"/>
        <v>21072</v>
      </c>
      <c r="I64" s="337">
        <f t="shared" si="101"/>
        <v>0.52030914343564039</v>
      </c>
      <c r="J64" s="327"/>
      <c r="K64" s="374">
        <v>40499</v>
      </c>
      <c r="L64" s="375">
        <v>21072</v>
      </c>
      <c r="M64" s="376">
        <f t="shared" si="102"/>
        <v>0.52030914343564039</v>
      </c>
      <c r="N64" s="309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5"/>
    </row>
    <row r="65" spans="1:26" ht="15.75" customHeight="1">
      <c r="A65" s="949"/>
      <c r="B65" s="377" t="s">
        <v>32</v>
      </c>
      <c r="C65" s="378">
        <v>0</v>
      </c>
      <c r="D65" s="373">
        <v>0</v>
      </c>
      <c r="E65" s="383">
        <v>0</v>
      </c>
      <c r="F65" s="382"/>
      <c r="G65" s="338">
        <f t="shared" ref="G65:H65" si="105">K65-C65</f>
        <v>184800</v>
      </c>
      <c r="H65" s="338">
        <f t="shared" si="105"/>
        <v>3323</v>
      </c>
      <c r="I65" s="337">
        <f t="shared" si="101"/>
        <v>1.798160173160173E-2</v>
      </c>
      <c r="J65" s="327"/>
      <c r="K65" s="379">
        <v>184800</v>
      </c>
      <c r="L65" s="375">
        <v>3323</v>
      </c>
      <c r="M65" s="376">
        <f t="shared" si="102"/>
        <v>1.798160173160173E-2</v>
      </c>
      <c r="N65" s="309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5"/>
    </row>
    <row r="66" spans="1:26" ht="15.75" customHeight="1">
      <c r="A66" s="950"/>
      <c r="B66" s="357" t="s">
        <v>25</v>
      </c>
      <c r="C66" s="369">
        <f t="shared" ref="C66:D66" si="106">SUM(C62:C65)</f>
        <v>0</v>
      </c>
      <c r="D66" s="358">
        <f t="shared" si="106"/>
        <v>0</v>
      </c>
      <c r="E66" s="384">
        <v>0</v>
      </c>
      <c r="F66" s="385"/>
      <c r="G66" s="370">
        <f t="shared" ref="G66:H66" si="107">SUM(G62:G65)</f>
        <v>327949</v>
      </c>
      <c r="H66" s="369">
        <f t="shared" si="107"/>
        <v>237578</v>
      </c>
      <c r="I66" s="380">
        <f t="shared" si="101"/>
        <v>0.72443581166583826</v>
      </c>
      <c r="J66" s="327"/>
      <c r="K66" s="371">
        <f t="shared" ref="K66:L66" si="108">SUM(K62:K65)</f>
        <v>327949</v>
      </c>
      <c r="L66" s="362">
        <f t="shared" si="108"/>
        <v>237578</v>
      </c>
      <c r="M66" s="363">
        <f t="shared" si="102"/>
        <v>0.72443581166583826</v>
      </c>
      <c r="N66" s="309"/>
      <c r="O66" s="305" t="s">
        <v>147</v>
      </c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5"/>
    </row>
    <row r="67" spans="1:26" ht="15.75" customHeight="1">
      <c r="A67" s="985"/>
      <c r="B67" s="928"/>
      <c r="C67" s="928"/>
      <c r="D67" s="928"/>
      <c r="E67" s="928"/>
      <c r="F67" s="312"/>
      <c r="G67" s="986"/>
      <c r="H67" s="928"/>
      <c r="I67" s="928"/>
      <c r="J67" s="312"/>
      <c r="K67" s="348"/>
      <c r="L67" s="348"/>
      <c r="M67" s="349"/>
      <c r="N67" s="309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5"/>
    </row>
    <row r="68" spans="1:26" ht="15.75" customHeight="1">
      <c r="A68" s="987" t="s">
        <v>47</v>
      </c>
      <c r="B68" s="323" t="s">
        <v>21</v>
      </c>
      <c r="C68" s="364">
        <v>100000</v>
      </c>
      <c r="D68" s="365">
        <f>0+100000</f>
        <v>100000</v>
      </c>
      <c r="E68" s="326">
        <f t="shared" ref="E68:E70" si="109">D68/C68</f>
        <v>1</v>
      </c>
      <c r="F68" s="327"/>
      <c r="G68" s="328">
        <f t="shared" ref="G68:H68" si="110">K68-C68</f>
        <v>676580</v>
      </c>
      <c r="H68" s="323">
        <f t="shared" si="110"/>
        <v>90216</v>
      </c>
      <c r="I68" s="337">
        <f t="shared" ref="I68:I72" si="111">H68/G68</f>
        <v>0.13334121611634989</v>
      </c>
      <c r="J68" s="327"/>
      <c r="K68" s="366">
        <f>286580+490000</f>
        <v>776580</v>
      </c>
      <c r="L68" s="367">
        <v>190216</v>
      </c>
      <c r="M68" s="368">
        <f t="shared" ref="M68:M72" si="112">L68/K68</f>
        <v>0.24494063715264364</v>
      </c>
      <c r="N68" s="309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5"/>
    </row>
    <row r="69" spans="1:26" ht="15.75" customHeight="1">
      <c r="A69" s="949"/>
      <c r="B69" s="334" t="s">
        <v>28</v>
      </c>
      <c r="C69" s="372">
        <v>57500</v>
      </c>
      <c r="D69" s="373">
        <v>2641</v>
      </c>
      <c r="E69" s="337">
        <f t="shared" si="109"/>
        <v>4.5930434782608692E-2</v>
      </c>
      <c r="F69" s="327"/>
      <c r="G69" s="338">
        <f t="shared" ref="G69:H69" si="113">K69-C69</f>
        <v>33500</v>
      </c>
      <c r="H69" s="334">
        <f t="shared" si="113"/>
        <v>1374</v>
      </c>
      <c r="I69" s="337">
        <f t="shared" si="111"/>
        <v>4.101492537313433E-2</v>
      </c>
      <c r="J69" s="327"/>
      <c r="K69" s="374">
        <v>91000</v>
      </c>
      <c r="L69" s="375">
        <v>4015</v>
      </c>
      <c r="M69" s="376">
        <f t="shared" si="112"/>
        <v>4.4120879120879121E-2</v>
      </c>
      <c r="N69" s="309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5"/>
    </row>
    <row r="70" spans="1:26" ht="15.75" customHeight="1">
      <c r="A70" s="949"/>
      <c r="B70" s="334" t="s">
        <v>31</v>
      </c>
      <c r="C70" s="372">
        <v>34006</v>
      </c>
      <c r="D70" s="373">
        <v>45336</v>
      </c>
      <c r="E70" s="337">
        <f t="shared" si="109"/>
        <v>1.3331764982650121</v>
      </c>
      <c r="F70" s="327"/>
      <c r="G70" s="338">
        <f t="shared" ref="G70:H70" si="114">K70-C70</f>
        <v>47000</v>
      </c>
      <c r="H70" s="334">
        <f t="shared" si="114"/>
        <v>18989</v>
      </c>
      <c r="I70" s="337">
        <f t="shared" si="111"/>
        <v>0.40402127659574466</v>
      </c>
      <c r="J70" s="327"/>
      <c r="K70" s="374">
        <v>81006</v>
      </c>
      <c r="L70" s="375">
        <v>64325</v>
      </c>
      <c r="M70" s="376">
        <f t="shared" si="112"/>
        <v>0.7940769819519542</v>
      </c>
      <c r="N70" s="309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5"/>
    </row>
    <row r="71" spans="1:26" ht="15.75" customHeight="1">
      <c r="A71" s="949"/>
      <c r="B71" s="377" t="s">
        <v>32</v>
      </c>
      <c r="C71" s="378">
        <v>0</v>
      </c>
      <c r="D71" s="373">
        <v>0</v>
      </c>
      <c r="E71" s="337">
        <v>0</v>
      </c>
      <c r="F71" s="327"/>
      <c r="G71" s="338">
        <f t="shared" ref="G71:H71" si="115">K71-C71</f>
        <v>125000</v>
      </c>
      <c r="H71" s="334">
        <f t="shared" si="115"/>
        <v>18359</v>
      </c>
      <c r="I71" s="337">
        <f t="shared" si="111"/>
        <v>0.146872</v>
      </c>
      <c r="J71" s="327"/>
      <c r="K71" s="379">
        <v>125000</v>
      </c>
      <c r="L71" s="375">
        <v>18359</v>
      </c>
      <c r="M71" s="376">
        <f t="shared" si="112"/>
        <v>0.146872</v>
      </c>
      <c r="N71" s="309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5"/>
    </row>
    <row r="72" spans="1:26" ht="15.75" customHeight="1">
      <c r="A72" s="950"/>
      <c r="B72" s="357" t="s">
        <v>25</v>
      </c>
      <c r="C72" s="369">
        <f t="shared" ref="C72:D72" si="116">SUM(C68:C71)</f>
        <v>191506</v>
      </c>
      <c r="D72" s="358">
        <f t="shared" si="116"/>
        <v>147977</v>
      </c>
      <c r="E72" s="359">
        <f>D72/C72</f>
        <v>0.77270163859095797</v>
      </c>
      <c r="F72" s="343"/>
      <c r="G72" s="360">
        <f t="shared" ref="G72:H72" si="117">SUM(G68:G71)</f>
        <v>882080</v>
      </c>
      <c r="H72" s="357">
        <f t="shared" si="117"/>
        <v>128938</v>
      </c>
      <c r="I72" s="380">
        <f t="shared" si="111"/>
        <v>0.14617495011790313</v>
      </c>
      <c r="J72" s="327"/>
      <c r="K72" s="371">
        <f t="shared" ref="K72:L72" si="118">SUM(K68:K71)</f>
        <v>1073586</v>
      </c>
      <c r="L72" s="362">
        <f t="shared" si="118"/>
        <v>276915</v>
      </c>
      <c r="M72" s="363">
        <f t="shared" si="112"/>
        <v>0.25793462284344243</v>
      </c>
      <c r="N72" s="309"/>
      <c r="O72" s="305" t="s">
        <v>147</v>
      </c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5"/>
    </row>
    <row r="73" spans="1:26" ht="15.75" customHeight="1">
      <c r="A73" s="985"/>
      <c r="B73" s="928"/>
      <c r="C73" s="928"/>
      <c r="D73" s="928"/>
      <c r="E73" s="928"/>
      <c r="F73" s="312"/>
      <c r="G73" s="986"/>
      <c r="H73" s="928"/>
      <c r="I73" s="928"/>
      <c r="J73" s="312"/>
      <c r="K73" s="348"/>
      <c r="L73" s="348"/>
      <c r="M73" s="349"/>
      <c r="N73" s="309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5"/>
    </row>
    <row r="74" spans="1:26" ht="15.75" customHeight="1">
      <c r="A74" s="987" t="s">
        <v>52</v>
      </c>
      <c r="B74" s="323" t="s">
        <v>21</v>
      </c>
      <c r="C74" s="364">
        <v>102</v>
      </c>
      <c r="D74" s="365">
        <v>6594</v>
      </c>
      <c r="E74" s="326">
        <f t="shared" ref="E74:E77" si="119">D74/C74</f>
        <v>64.647058823529406</v>
      </c>
      <c r="F74" s="327"/>
      <c r="G74" s="323">
        <f t="shared" ref="G74:H74" si="120">K74-C74</f>
        <v>71000</v>
      </c>
      <c r="H74" s="323">
        <f t="shared" si="120"/>
        <v>3165</v>
      </c>
      <c r="I74" s="381">
        <f t="shared" ref="I74:I77" si="121">H74/G74</f>
        <v>4.4577464788732396E-2</v>
      </c>
      <c r="J74" s="327"/>
      <c r="K74" s="366">
        <v>71102</v>
      </c>
      <c r="L74" s="367">
        <v>9759</v>
      </c>
      <c r="M74" s="368">
        <f t="shared" ref="M74:M77" si="122">L74/K74</f>
        <v>0.13725352310764816</v>
      </c>
      <c r="N74" s="309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</row>
    <row r="75" spans="1:26" ht="15.75" customHeight="1">
      <c r="A75" s="949"/>
      <c r="B75" s="334" t="s">
        <v>102</v>
      </c>
      <c r="C75" s="372">
        <v>87509</v>
      </c>
      <c r="D75" s="373">
        <v>37867</v>
      </c>
      <c r="E75" s="337">
        <f t="shared" si="119"/>
        <v>0.43272120581883006</v>
      </c>
      <c r="F75" s="327"/>
      <c r="G75" s="334">
        <f t="shared" ref="G75:H75" si="123">K75-C75</f>
        <v>108507</v>
      </c>
      <c r="H75" s="334">
        <f t="shared" si="123"/>
        <v>34677</v>
      </c>
      <c r="I75" s="383">
        <f t="shared" si="121"/>
        <v>0.319583068373469</v>
      </c>
      <c r="J75" s="327"/>
      <c r="K75" s="374">
        <v>196016</v>
      </c>
      <c r="L75" s="375">
        <v>72544</v>
      </c>
      <c r="M75" s="376">
        <f t="shared" si="122"/>
        <v>0.3700922373683781</v>
      </c>
      <c r="N75" s="309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05"/>
      <c r="Z75" s="305"/>
    </row>
    <row r="76" spans="1:26" ht="15.75" customHeight="1">
      <c r="A76" s="949"/>
      <c r="B76" s="334" t="s">
        <v>31</v>
      </c>
      <c r="C76" s="372">
        <v>203</v>
      </c>
      <c r="D76" s="373">
        <v>0</v>
      </c>
      <c r="E76" s="337">
        <f t="shared" si="119"/>
        <v>0</v>
      </c>
      <c r="F76" s="327"/>
      <c r="G76" s="334">
        <f t="shared" ref="G76:H76" si="124">K76-C76</f>
        <v>42822</v>
      </c>
      <c r="H76" s="334">
        <f t="shared" si="124"/>
        <v>524</v>
      </c>
      <c r="I76" s="383">
        <f t="shared" si="121"/>
        <v>1.2236700761290926E-2</v>
      </c>
      <c r="J76" s="327"/>
      <c r="K76" s="374">
        <v>43025</v>
      </c>
      <c r="L76" s="375">
        <v>524</v>
      </c>
      <c r="M76" s="376">
        <f t="shared" si="122"/>
        <v>1.2178965717606042E-2</v>
      </c>
      <c r="N76" s="309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5"/>
    </row>
    <row r="77" spans="1:26" ht="15.75" customHeight="1">
      <c r="A77" s="950"/>
      <c r="B77" s="357" t="s">
        <v>25</v>
      </c>
      <c r="C77" s="369">
        <f t="shared" ref="C77:D77" si="125">SUM(C74:C76)</f>
        <v>87814</v>
      </c>
      <c r="D77" s="358">
        <f t="shared" si="125"/>
        <v>44461</v>
      </c>
      <c r="E77" s="359">
        <f t="shared" si="119"/>
        <v>0.50630878903136178</v>
      </c>
      <c r="F77" s="343"/>
      <c r="G77" s="357">
        <f t="shared" ref="G77:H77" si="126">SUM(G74:G76)</f>
        <v>222329</v>
      </c>
      <c r="H77" s="357">
        <f t="shared" si="126"/>
        <v>38366</v>
      </c>
      <c r="I77" s="384">
        <f t="shared" si="121"/>
        <v>0.1725640829581386</v>
      </c>
      <c r="J77" s="327"/>
      <c r="K77" s="371">
        <f t="shared" ref="K77:L77" si="127">SUM(K74:K76)</f>
        <v>310143</v>
      </c>
      <c r="L77" s="362">
        <f t="shared" si="127"/>
        <v>82827</v>
      </c>
      <c r="M77" s="363">
        <f t="shared" si="122"/>
        <v>0.26706067846122594</v>
      </c>
      <c r="N77" s="309"/>
      <c r="O77" s="305" t="s">
        <v>147</v>
      </c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5"/>
    </row>
    <row r="78" spans="1:26" ht="15.75" customHeight="1">
      <c r="A78" s="985"/>
      <c r="B78" s="928"/>
      <c r="C78" s="928"/>
      <c r="D78" s="928"/>
      <c r="E78" s="928"/>
      <c r="F78" s="312"/>
      <c r="G78" s="986"/>
      <c r="H78" s="928"/>
      <c r="I78" s="928"/>
      <c r="J78" s="312"/>
      <c r="K78" s="348"/>
      <c r="L78" s="348"/>
      <c r="M78" s="349"/>
      <c r="N78" s="309"/>
      <c r="O78" s="305"/>
      <c r="P78" s="305"/>
      <c r="Q78" s="305"/>
      <c r="R78" s="305"/>
      <c r="S78" s="305"/>
      <c r="T78" s="305"/>
      <c r="U78" s="305"/>
      <c r="V78" s="305"/>
      <c r="W78" s="305"/>
      <c r="X78" s="305"/>
      <c r="Y78" s="305"/>
      <c r="Z78" s="305"/>
    </row>
    <row r="79" spans="1:26" ht="15.75" customHeight="1">
      <c r="A79" s="987" t="s">
        <v>54</v>
      </c>
      <c r="B79" s="323" t="s">
        <v>21</v>
      </c>
      <c r="C79" s="364">
        <v>0</v>
      </c>
      <c r="D79" s="365">
        <v>0</v>
      </c>
      <c r="E79" s="326">
        <v>0</v>
      </c>
      <c r="F79" s="327"/>
      <c r="G79" s="338">
        <f t="shared" ref="G79:H79" si="128">K79-C79</f>
        <v>482000</v>
      </c>
      <c r="H79" s="338">
        <f t="shared" si="128"/>
        <v>64707</v>
      </c>
      <c r="I79" s="337">
        <f t="shared" ref="I79:I83" si="129">H79/G79</f>
        <v>0.13424688796680498</v>
      </c>
      <c r="J79" s="327"/>
      <c r="K79" s="366">
        <v>482000</v>
      </c>
      <c r="L79" s="367">
        <v>64707</v>
      </c>
      <c r="M79" s="368">
        <f t="shared" ref="M79:M83" si="130">L79/K79</f>
        <v>0.13424688796680498</v>
      </c>
      <c r="N79" s="309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305"/>
      <c r="Z79" s="305"/>
    </row>
    <row r="80" spans="1:26" ht="15.75" customHeight="1">
      <c r="A80" s="949"/>
      <c r="B80" s="334" t="s">
        <v>28</v>
      </c>
      <c r="C80" s="372">
        <v>0</v>
      </c>
      <c r="D80" s="373">
        <v>0</v>
      </c>
      <c r="E80" s="337">
        <v>0</v>
      </c>
      <c r="F80" s="327"/>
      <c r="G80" s="338">
        <f t="shared" ref="G80:H80" si="131">K80-C80</f>
        <v>141003</v>
      </c>
      <c r="H80" s="338">
        <f t="shared" si="131"/>
        <v>8476</v>
      </c>
      <c r="I80" s="337">
        <f t="shared" si="129"/>
        <v>6.0112196194407212E-2</v>
      </c>
      <c r="J80" s="327"/>
      <c r="K80" s="374">
        <v>141003</v>
      </c>
      <c r="L80" s="375">
        <v>8476</v>
      </c>
      <c r="M80" s="376">
        <f t="shared" si="130"/>
        <v>6.0112196194407212E-2</v>
      </c>
      <c r="N80" s="309"/>
      <c r="O80" s="305"/>
      <c r="P80" s="305"/>
      <c r="Q80" s="305"/>
      <c r="R80" s="305"/>
      <c r="S80" s="305"/>
      <c r="T80" s="305"/>
      <c r="U80" s="305"/>
      <c r="V80" s="305"/>
      <c r="W80" s="305"/>
      <c r="X80" s="305"/>
      <c r="Y80" s="305"/>
      <c r="Z80" s="305"/>
    </row>
    <row r="81" spans="1:26" ht="15.75" customHeight="1">
      <c r="A81" s="949"/>
      <c r="B81" s="334" t="s">
        <v>31</v>
      </c>
      <c r="C81" s="372">
        <v>163102</v>
      </c>
      <c r="D81" s="373">
        <v>52317</v>
      </c>
      <c r="E81" s="337">
        <f t="shared" ref="E81:E83" si="132">D81/C81</f>
        <v>0.32076246765827521</v>
      </c>
      <c r="F81" s="327"/>
      <c r="G81" s="338">
        <f t="shared" ref="G81:H81" si="133">K81-C81</f>
        <v>272414</v>
      </c>
      <c r="H81" s="338">
        <f t="shared" si="133"/>
        <v>81949</v>
      </c>
      <c r="I81" s="337">
        <f t="shared" si="129"/>
        <v>0.30082521456312816</v>
      </c>
      <c r="J81" s="327"/>
      <c r="K81" s="374">
        <v>435516</v>
      </c>
      <c r="L81" s="375">
        <v>134266</v>
      </c>
      <c r="M81" s="376">
        <f t="shared" si="130"/>
        <v>0.30829177343656722</v>
      </c>
      <c r="N81" s="309"/>
      <c r="O81" s="305"/>
      <c r="P81" s="305"/>
      <c r="Q81" s="305"/>
      <c r="R81" s="305"/>
      <c r="S81" s="305"/>
      <c r="T81" s="305"/>
      <c r="U81" s="305"/>
      <c r="V81" s="305"/>
      <c r="W81" s="305"/>
      <c r="X81" s="305"/>
      <c r="Y81" s="305"/>
      <c r="Z81" s="305"/>
    </row>
    <row r="82" spans="1:26" ht="15.75" customHeight="1">
      <c r="A82" s="949"/>
      <c r="B82" s="377" t="s">
        <v>32</v>
      </c>
      <c r="C82" s="378">
        <v>1</v>
      </c>
      <c r="D82" s="373">
        <v>0</v>
      </c>
      <c r="E82" s="337">
        <f t="shared" si="132"/>
        <v>0</v>
      </c>
      <c r="F82" s="327"/>
      <c r="G82" s="338">
        <f t="shared" ref="G82:H82" si="134">K82-C82</f>
        <v>707810</v>
      </c>
      <c r="H82" s="338">
        <f t="shared" si="134"/>
        <v>225463</v>
      </c>
      <c r="I82" s="337">
        <f t="shared" si="129"/>
        <v>0.31853604780944039</v>
      </c>
      <c r="J82" s="327"/>
      <c r="K82" s="379">
        <v>707811</v>
      </c>
      <c r="L82" s="375">
        <v>225463</v>
      </c>
      <c r="M82" s="376">
        <f t="shared" si="130"/>
        <v>0.31853559777963325</v>
      </c>
      <c r="N82" s="309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305"/>
      <c r="Z82" s="305"/>
    </row>
    <row r="83" spans="1:26" ht="15.75" customHeight="1">
      <c r="A83" s="950"/>
      <c r="B83" s="357" t="s">
        <v>25</v>
      </c>
      <c r="C83" s="369">
        <f t="shared" ref="C83:D83" si="135">SUM(C79:C82)</f>
        <v>163103</v>
      </c>
      <c r="D83" s="358">
        <f t="shared" si="135"/>
        <v>52317</v>
      </c>
      <c r="E83" s="359">
        <f t="shared" si="132"/>
        <v>0.32076050103308951</v>
      </c>
      <c r="F83" s="343"/>
      <c r="G83" s="370">
        <f t="shared" ref="G83:H83" si="136">SUM(G79:G82)</f>
        <v>1603227</v>
      </c>
      <c r="H83" s="398">
        <f t="shared" si="136"/>
        <v>380595</v>
      </c>
      <c r="I83" s="380">
        <f t="shared" si="129"/>
        <v>0.23739308282607516</v>
      </c>
      <c r="J83" s="327"/>
      <c r="K83" s="371">
        <f t="shared" ref="K83:L83" si="137">SUM(K79:K82)</f>
        <v>1766330</v>
      </c>
      <c r="L83" s="362">
        <f t="shared" si="137"/>
        <v>432912</v>
      </c>
      <c r="M83" s="363">
        <f t="shared" si="130"/>
        <v>0.24509123436730396</v>
      </c>
      <c r="N83" s="309"/>
      <c r="O83" s="305" t="s">
        <v>147</v>
      </c>
      <c r="P83" s="305"/>
      <c r="Q83" s="305"/>
      <c r="R83" s="305"/>
      <c r="S83" s="305"/>
      <c r="T83" s="305"/>
      <c r="U83" s="305"/>
      <c r="V83" s="305"/>
      <c r="W83" s="305"/>
      <c r="X83" s="305"/>
      <c r="Y83" s="305"/>
      <c r="Z83" s="305"/>
    </row>
    <row r="84" spans="1:26" ht="15.75" customHeight="1">
      <c r="A84" s="985"/>
      <c r="B84" s="928"/>
      <c r="C84" s="928"/>
      <c r="D84" s="928"/>
      <c r="E84" s="928"/>
      <c r="F84" s="312"/>
      <c r="G84" s="986"/>
      <c r="H84" s="928"/>
      <c r="I84" s="928"/>
      <c r="J84" s="312"/>
      <c r="K84" s="348"/>
      <c r="L84" s="348"/>
      <c r="M84" s="349"/>
      <c r="N84" s="309"/>
      <c r="O84" s="305"/>
      <c r="P84" s="305"/>
      <c r="Q84" s="305"/>
      <c r="R84" s="305"/>
      <c r="S84" s="305"/>
      <c r="T84" s="305"/>
      <c r="U84" s="305"/>
      <c r="V84" s="305"/>
      <c r="W84" s="305"/>
      <c r="X84" s="305"/>
      <c r="Y84" s="305"/>
      <c r="Z84" s="305"/>
    </row>
    <row r="85" spans="1:26" ht="15.75" customHeight="1">
      <c r="A85" s="987" t="s">
        <v>56</v>
      </c>
      <c r="B85" s="323" t="s">
        <v>21</v>
      </c>
      <c r="C85" s="364">
        <v>441</v>
      </c>
      <c r="D85" s="365">
        <v>0</v>
      </c>
      <c r="E85" s="326">
        <f t="shared" ref="E85:E87" si="138">D85/C85</f>
        <v>0</v>
      </c>
      <c r="F85" s="327"/>
      <c r="G85" s="338">
        <f t="shared" ref="G85:H85" si="139">K85-C85</f>
        <v>31100</v>
      </c>
      <c r="H85" s="338">
        <f t="shared" si="139"/>
        <v>445</v>
      </c>
      <c r="I85" s="337">
        <f t="shared" ref="I85:I89" si="140">H85/G85</f>
        <v>1.4308681672025723E-2</v>
      </c>
      <c r="J85" s="327"/>
      <c r="K85" s="366">
        <v>31541</v>
      </c>
      <c r="L85" s="367">
        <v>445</v>
      </c>
      <c r="M85" s="368">
        <f t="shared" ref="M85:M89" si="141">L85/K85</f>
        <v>1.4108620525665007E-2</v>
      </c>
      <c r="N85" s="309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</row>
    <row r="86" spans="1:26" ht="15.75" customHeight="1">
      <c r="A86" s="949"/>
      <c r="B86" s="334" t="s">
        <v>28</v>
      </c>
      <c r="C86" s="372">
        <v>1</v>
      </c>
      <c r="D86" s="373">
        <v>0</v>
      </c>
      <c r="E86" s="337">
        <f t="shared" si="138"/>
        <v>0</v>
      </c>
      <c r="F86" s="327"/>
      <c r="G86" s="338">
        <f t="shared" ref="G86:H86" si="142">K86-C86</f>
        <v>9730</v>
      </c>
      <c r="H86" s="338">
        <f t="shared" si="142"/>
        <v>3012</v>
      </c>
      <c r="I86" s="337">
        <f t="shared" si="140"/>
        <v>0.30955806783144912</v>
      </c>
      <c r="J86" s="327"/>
      <c r="K86" s="374">
        <v>9731</v>
      </c>
      <c r="L86" s="375">
        <v>3012</v>
      </c>
      <c r="M86" s="376">
        <f t="shared" si="141"/>
        <v>0.30952625629431713</v>
      </c>
      <c r="N86" s="309"/>
      <c r="O86" s="305"/>
      <c r="P86" s="305"/>
      <c r="Q86" s="305"/>
      <c r="R86" s="305"/>
      <c r="S86" s="305"/>
      <c r="T86" s="305"/>
      <c r="U86" s="305"/>
      <c r="V86" s="305"/>
      <c r="W86" s="305"/>
      <c r="X86" s="305"/>
      <c r="Y86" s="305"/>
      <c r="Z86" s="305"/>
    </row>
    <row r="87" spans="1:26" ht="15.75" customHeight="1">
      <c r="A87" s="949"/>
      <c r="B87" s="334" t="s">
        <v>103</v>
      </c>
      <c r="C87" s="372">
        <v>1519</v>
      </c>
      <c r="D87" s="373">
        <v>0</v>
      </c>
      <c r="E87" s="337">
        <f t="shared" si="138"/>
        <v>0</v>
      </c>
      <c r="F87" s="327"/>
      <c r="G87" s="338">
        <f t="shared" ref="G87:H87" si="143">K87-C87</f>
        <v>23084</v>
      </c>
      <c r="H87" s="338">
        <f t="shared" si="143"/>
        <v>69701</v>
      </c>
      <c r="I87" s="337">
        <f t="shared" si="140"/>
        <v>3.0194507017847858</v>
      </c>
      <c r="J87" s="327"/>
      <c r="K87" s="374">
        <v>24603</v>
      </c>
      <c r="L87" s="375">
        <v>69701</v>
      </c>
      <c r="M87" s="376">
        <f t="shared" si="141"/>
        <v>2.8330284924602691</v>
      </c>
      <c r="N87" s="309"/>
      <c r="O87" s="305"/>
      <c r="P87" s="305"/>
      <c r="Q87" s="305"/>
      <c r="R87" s="305"/>
      <c r="S87" s="305"/>
      <c r="T87" s="305"/>
      <c r="U87" s="305"/>
      <c r="V87" s="305"/>
      <c r="W87" s="305"/>
      <c r="X87" s="305"/>
      <c r="Y87" s="305"/>
      <c r="Z87" s="305"/>
    </row>
    <row r="88" spans="1:26" ht="15.75" customHeight="1">
      <c r="A88" s="949"/>
      <c r="B88" s="377" t="s">
        <v>32</v>
      </c>
      <c r="C88" s="378">
        <v>0</v>
      </c>
      <c r="D88" s="373">
        <v>0</v>
      </c>
      <c r="E88" s="337">
        <v>0</v>
      </c>
      <c r="F88" s="327"/>
      <c r="G88" s="338">
        <f t="shared" ref="G88:H88" si="144">K88-C88</f>
        <v>334764</v>
      </c>
      <c r="H88" s="338">
        <f t="shared" si="144"/>
        <v>100600</v>
      </c>
      <c r="I88" s="337">
        <f t="shared" si="140"/>
        <v>0.3005102101779164</v>
      </c>
      <c r="J88" s="327"/>
      <c r="K88" s="379">
        <v>334764</v>
      </c>
      <c r="L88" s="375">
        <v>100600</v>
      </c>
      <c r="M88" s="376">
        <f t="shared" si="141"/>
        <v>0.3005102101779164</v>
      </c>
      <c r="N88" s="309"/>
      <c r="O88" s="305"/>
      <c r="P88" s="305"/>
      <c r="Q88" s="305"/>
      <c r="R88" s="305"/>
      <c r="S88" s="305"/>
      <c r="T88" s="305"/>
      <c r="U88" s="305"/>
      <c r="V88" s="305"/>
      <c r="W88" s="305"/>
      <c r="X88" s="305"/>
      <c r="Y88" s="305"/>
      <c r="Z88" s="305"/>
    </row>
    <row r="89" spans="1:26" ht="15.75" customHeight="1">
      <c r="A89" s="950"/>
      <c r="B89" s="357" t="s">
        <v>25</v>
      </c>
      <c r="C89" s="369">
        <f t="shared" ref="C89:D89" si="145">SUM(C85:C88)</f>
        <v>1961</v>
      </c>
      <c r="D89" s="358">
        <f t="shared" si="145"/>
        <v>0</v>
      </c>
      <c r="E89" s="359">
        <f>D89/C89</f>
        <v>0</v>
      </c>
      <c r="F89" s="343"/>
      <c r="G89" s="370">
        <f t="shared" ref="G89:H89" si="146">SUM(G85:G88)</f>
        <v>398678</v>
      </c>
      <c r="H89" s="398">
        <f t="shared" si="146"/>
        <v>173758</v>
      </c>
      <c r="I89" s="380">
        <f t="shared" si="140"/>
        <v>0.43583543611636461</v>
      </c>
      <c r="J89" s="327"/>
      <c r="K89" s="371">
        <f t="shared" ref="K89:L89" si="147">SUM(K85:K88)</f>
        <v>400639</v>
      </c>
      <c r="L89" s="362">
        <f t="shared" si="147"/>
        <v>173758</v>
      </c>
      <c r="M89" s="363">
        <f t="shared" si="141"/>
        <v>0.43370216079812501</v>
      </c>
      <c r="N89" s="309"/>
      <c r="O89" s="305" t="s">
        <v>147</v>
      </c>
      <c r="P89" s="305"/>
      <c r="Q89" s="305"/>
      <c r="R89" s="305"/>
      <c r="S89" s="305"/>
      <c r="T89" s="305"/>
      <c r="U89" s="305"/>
      <c r="V89" s="305"/>
      <c r="W89" s="305"/>
      <c r="X89" s="305"/>
      <c r="Y89" s="305"/>
      <c r="Z89" s="305"/>
    </row>
    <row r="90" spans="1:26" ht="15.75" customHeight="1">
      <c r="A90" s="985"/>
      <c r="B90" s="928"/>
      <c r="C90" s="928"/>
      <c r="D90" s="928"/>
      <c r="E90" s="928"/>
      <c r="F90" s="312"/>
      <c r="G90" s="986"/>
      <c r="H90" s="928"/>
      <c r="I90" s="928"/>
      <c r="J90" s="312"/>
      <c r="K90" s="348"/>
      <c r="L90" s="348"/>
      <c r="M90" s="349"/>
      <c r="N90" s="309"/>
      <c r="O90" s="305"/>
      <c r="P90" s="305"/>
      <c r="Q90" s="305"/>
      <c r="R90" s="305"/>
      <c r="S90" s="305"/>
      <c r="T90" s="305"/>
      <c r="U90" s="305"/>
      <c r="V90" s="305"/>
      <c r="W90" s="305"/>
      <c r="X90" s="305"/>
      <c r="Y90" s="305"/>
      <c r="Z90" s="305"/>
    </row>
    <row r="91" spans="1:26" ht="15.75" customHeight="1">
      <c r="A91" s="987" t="s">
        <v>59</v>
      </c>
      <c r="B91" s="323" t="s">
        <v>21</v>
      </c>
      <c r="C91" s="364">
        <v>0</v>
      </c>
      <c r="D91" s="365">
        <v>0</v>
      </c>
      <c r="E91" s="381" t="e">
        <f t="shared" ref="E91:E92" si="148">D91/C91</f>
        <v>#DIV/0!</v>
      </c>
      <c r="F91" s="327"/>
      <c r="G91" s="338">
        <f t="shared" ref="G91:H91" si="149">K91-C91</f>
        <v>5000</v>
      </c>
      <c r="H91" s="338">
        <f t="shared" si="149"/>
        <v>0</v>
      </c>
      <c r="I91" s="337">
        <f t="shared" ref="I91:I94" si="150">H91/G91</f>
        <v>0</v>
      </c>
      <c r="J91" s="327"/>
      <c r="K91" s="366">
        <v>5000</v>
      </c>
      <c r="L91" s="367">
        <v>0</v>
      </c>
      <c r="M91" s="368">
        <f t="shared" ref="M91:M94" si="151">L91/K91</f>
        <v>0</v>
      </c>
      <c r="N91" s="309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</row>
    <row r="92" spans="1:26" ht="15.75" customHeight="1">
      <c r="A92" s="949"/>
      <c r="B92" s="399" t="s">
        <v>31</v>
      </c>
      <c r="C92" s="400">
        <v>1</v>
      </c>
      <c r="D92" s="401">
        <v>0</v>
      </c>
      <c r="E92" s="383">
        <f t="shared" si="148"/>
        <v>0</v>
      </c>
      <c r="F92" s="327"/>
      <c r="G92" s="338">
        <f t="shared" ref="G92:H92" si="152">K92-C92</f>
        <v>7001</v>
      </c>
      <c r="H92" s="338">
        <f t="shared" si="152"/>
        <v>876</v>
      </c>
      <c r="I92" s="337">
        <f t="shared" si="150"/>
        <v>0.12512498214540779</v>
      </c>
      <c r="J92" s="327"/>
      <c r="K92" s="402">
        <v>7002</v>
      </c>
      <c r="L92" s="403">
        <v>876</v>
      </c>
      <c r="M92" s="376">
        <f t="shared" si="151"/>
        <v>0.12510711225364182</v>
      </c>
      <c r="N92" s="309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</row>
    <row r="93" spans="1:26" ht="15.75" customHeight="1">
      <c r="A93" s="949"/>
      <c r="B93" s="334" t="s">
        <v>32</v>
      </c>
      <c r="C93" s="372">
        <v>0</v>
      </c>
      <c r="D93" s="373">
        <v>0</v>
      </c>
      <c r="E93" s="383">
        <v>0</v>
      </c>
      <c r="F93" s="327"/>
      <c r="G93" s="338">
        <f t="shared" ref="G93:H93" si="153">K93-C93</f>
        <v>19000</v>
      </c>
      <c r="H93" s="338">
        <f t="shared" si="153"/>
        <v>361</v>
      </c>
      <c r="I93" s="337">
        <f t="shared" si="150"/>
        <v>1.9E-2</v>
      </c>
      <c r="J93" s="327"/>
      <c r="K93" s="374">
        <v>19000</v>
      </c>
      <c r="L93" s="375">
        <v>361</v>
      </c>
      <c r="M93" s="376">
        <f t="shared" si="151"/>
        <v>1.9E-2</v>
      </c>
      <c r="N93" s="309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5"/>
    </row>
    <row r="94" spans="1:26" ht="15.75" customHeight="1">
      <c r="A94" s="1000"/>
      <c r="B94" s="183" t="s">
        <v>25</v>
      </c>
      <c r="C94" s="341">
        <f t="shared" ref="C94:D94" si="154">SUM(C91:C93)</f>
        <v>1</v>
      </c>
      <c r="D94" s="341">
        <f t="shared" si="154"/>
        <v>0</v>
      </c>
      <c r="E94" s="384">
        <f>D94/C94</f>
        <v>0</v>
      </c>
      <c r="F94" s="343"/>
      <c r="G94" s="184">
        <f t="shared" ref="G94:H94" si="155">SUM(G91:G93)</f>
        <v>31001</v>
      </c>
      <c r="H94" s="404">
        <f t="shared" si="155"/>
        <v>1237</v>
      </c>
      <c r="I94" s="342">
        <f t="shared" si="150"/>
        <v>3.9901938647140416E-2</v>
      </c>
      <c r="J94" s="327"/>
      <c r="K94" s="405">
        <f t="shared" ref="K94:L94" si="156">SUM(K91:K93)</f>
        <v>31002</v>
      </c>
      <c r="L94" s="406">
        <f t="shared" si="156"/>
        <v>1237</v>
      </c>
      <c r="M94" s="407">
        <f t="shared" si="151"/>
        <v>3.9900651570866398E-2</v>
      </c>
      <c r="N94" s="309"/>
      <c r="O94" s="305" t="s">
        <v>147</v>
      </c>
      <c r="P94" s="305"/>
      <c r="Q94" s="305"/>
      <c r="R94" s="305"/>
      <c r="S94" s="305"/>
      <c r="T94" s="305"/>
      <c r="U94" s="305"/>
      <c r="V94" s="305"/>
      <c r="W94" s="305"/>
      <c r="X94" s="305"/>
      <c r="Y94" s="305"/>
      <c r="Z94" s="305"/>
    </row>
    <row r="95" spans="1:26" ht="15.75" customHeight="1">
      <c r="A95" s="985"/>
      <c r="B95" s="928"/>
      <c r="C95" s="928"/>
      <c r="D95" s="928"/>
      <c r="E95" s="928"/>
      <c r="F95" s="312"/>
      <c r="G95" s="986"/>
      <c r="H95" s="928"/>
      <c r="I95" s="928"/>
      <c r="J95" s="312"/>
      <c r="K95" s="348"/>
      <c r="L95" s="348"/>
      <c r="M95" s="349"/>
      <c r="N95" s="408"/>
      <c r="O95" s="305"/>
      <c r="P95" s="305"/>
      <c r="Q95" s="305"/>
      <c r="R95" s="305"/>
      <c r="S95" s="305"/>
      <c r="T95" s="305"/>
      <c r="U95" s="305"/>
      <c r="V95" s="305"/>
      <c r="W95" s="305"/>
      <c r="X95" s="305"/>
      <c r="Y95" s="305"/>
      <c r="Z95" s="305"/>
    </row>
    <row r="96" spans="1:26" ht="15.75" customHeight="1">
      <c r="A96" s="994" t="s">
        <v>60</v>
      </c>
      <c r="B96" s="174" t="s">
        <v>21</v>
      </c>
      <c r="C96" s="409">
        <f t="shared" ref="C96:D96" si="157">C5+C10+C13+C16+C22+C27+C33+C47+C52+C56+C62+C68+C74+C79+C85+C91</f>
        <v>15124062</v>
      </c>
      <c r="D96" s="409">
        <f t="shared" si="157"/>
        <v>1905418</v>
      </c>
      <c r="E96" s="410">
        <f>D96/C96</f>
        <v>0.12598586279268095</v>
      </c>
      <c r="F96" s="411"/>
      <c r="G96" s="174">
        <f>G5+G10+G13+G16+G22+G27+G33+G47+G52+G56+G62+G68+G74+G79+G85+G91</f>
        <v>8051487</v>
      </c>
      <c r="H96" s="174">
        <f>H5+H10+H13+H16+H22+H27+H33+H47+H52+H56+H62+H68+H74+H79+H85</f>
        <v>3411050</v>
      </c>
      <c r="I96" s="412">
        <f>H96/G96</f>
        <v>0.42365466155506432</v>
      </c>
      <c r="J96" s="413"/>
      <c r="K96" s="409">
        <f t="shared" ref="K96:L96" si="158">K5+K10+K13+K16+K22+K27+K33+K47+K52+K56+K62+K68+K74+K79+K85+K91</f>
        <v>23175549</v>
      </c>
      <c r="L96" s="409">
        <f t="shared" si="158"/>
        <v>5316468</v>
      </c>
      <c r="M96" s="410">
        <f>L96/K96</f>
        <v>0.22939987311627441</v>
      </c>
      <c r="N96" s="414"/>
      <c r="O96" s="305"/>
      <c r="P96" s="305"/>
      <c r="Q96" s="305"/>
      <c r="R96" s="305"/>
      <c r="S96" s="305"/>
      <c r="T96" s="305"/>
      <c r="U96" s="305"/>
      <c r="V96" s="305"/>
      <c r="W96" s="305"/>
      <c r="X96" s="305"/>
      <c r="Y96" s="305"/>
      <c r="Z96" s="305"/>
    </row>
    <row r="97" spans="1:26" ht="15.75" customHeight="1">
      <c r="A97" s="949"/>
      <c r="B97" s="178" t="s">
        <v>22</v>
      </c>
      <c r="C97" s="415">
        <f t="shared" ref="C97:D97" si="159">C6</f>
        <v>0</v>
      </c>
      <c r="D97" s="415">
        <f t="shared" si="159"/>
        <v>0</v>
      </c>
      <c r="E97" s="416">
        <v>0</v>
      </c>
      <c r="F97" s="417"/>
      <c r="G97" s="178">
        <f t="shared" ref="G97:H97" si="160">G6</f>
        <v>0</v>
      </c>
      <c r="H97" s="178">
        <f t="shared" si="160"/>
        <v>0</v>
      </c>
      <c r="I97" s="418">
        <v>0</v>
      </c>
      <c r="J97" s="419"/>
      <c r="K97" s="415">
        <f t="shared" ref="K97:L97" si="161">K6</f>
        <v>0</v>
      </c>
      <c r="L97" s="415">
        <f t="shared" si="161"/>
        <v>0</v>
      </c>
      <c r="M97" s="416">
        <v>0</v>
      </c>
      <c r="N97" s="333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305"/>
      <c r="Z97" s="305"/>
    </row>
    <row r="98" spans="1:26" ht="15.75" customHeight="1">
      <c r="A98" s="949"/>
      <c r="B98" s="178" t="s">
        <v>28</v>
      </c>
      <c r="C98" s="415">
        <f t="shared" ref="C98:D98" si="162">C17+C23+C28+C48+C57+C63+C69+C75+C80+C86</f>
        <v>145010</v>
      </c>
      <c r="D98" s="415">
        <f t="shared" si="162"/>
        <v>40508</v>
      </c>
      <c r="E98" s="416">
        <f t="shared" ref="E98:E102" si="163">D98/C98</f>
        <v>0.27934625198262186</v>
      </c>
      <c r="F98" s="417"/>
      <c r="G98" s="178">
        <f t="shared" ref="G98:H98" si="164">G17+G23+G28+G48+G57+G63+G69+G75+G80+G86</f>
        <v>375954</v>
      </c>
      <c r="H98" s="178">
        <f t="shared" si="164"/>
        <v>202885</v>
      </c>
      <c r="I98" s="418">
        <f t="shared" ref="I98:I102" si="165">H98/G98</f>
        <v>0.5396537874314411</v>
      </c>
      <c r="J98" s="419"/>
      <c r="K98" s="415">
        <f t="shared" ref="K98:L98" si="166">K17+K23+K28+K48+K57+K63+K69+K75+K80+K86</f>
        <v>520964</v>
      </c>
      <c r="L98" s="415">
        <f t="shared" si="166"/>
        <v>243393</v>
      </c>
      <c r="M98" s="416">
        <f t="shared" ref="M98:M102" si="167">L98/K98</f>
        <v>0.4671973495289502</v>
      </c>
      <c r="N98" s="333"/>
      <c r="O98" s="305"/>
      <c r="P98" s="305"/>
      <c r="Q98" s="305"/>
      <c r="R98" s="305"/>
      <c r="S98" s="305"/>
      <c r="T98" s="305"/>
      <c r="U98" s="305"/>
      <c r="V98" s="305"/>
      <c r="W98" s="305"/>
      <c r="X98" s="305"/>
      <c r="Y98" s="305"/>
      <c r="Z98" s="305"/>
    </row>
    <row r="99" spans="1:26" ht="15.75" customHeight="1">
      <c r="A99" s="949"/>
      <c r="B99" s="178" t="s">
        <v>31</v>
      </c>
      <c r="C99" s="415">
        <f t="shared" ref="C99:D99" si="168">C18+C24+C29+C58+C64+C70+C76+C81+C87+C92</f>
        <v>382858</v>
      </c>
      <c r="D99" s="415">
        <f t="shared" si="168"/>
        <v>248336</v>
      </c>
      <c r="E99" s="416">
        <f t="shared" si="163"/>
        <v>0.64863735379696907</v>
      </c>
      <c r="F99" s="417"/>
      <c r="G99" s="178">
        <f t="shared" ref="G99:H99" si="169">G18+G24+G29+G58+G64+G70+G76+G81+G87+G92</f>
        <v>529213</v>
      </c>
      <c r="H99" s="178">
        <f t="shared" si="169"/>
        <v>217121</v>
      </c>
      <c r="I99" s="418">
        <f t="shared" si="165"/>
        <v>0.41027147859179575</v>
      </c>
      <c r="J99" s="419"/>
      <c r="K99" s="415">
        <f t="shared" ref="K99:L99" si="170">K18+K24+K29+K58+K64+K70+K76+K81+K87+K92</f>
        <v>912071</v>
      </c>
      <c r="L99" s="415">
        <f t="shared" si="170"/>
        <v>465457</v>
      </c>
      <c r="M99" s="416">
        <f t="shared" si="167"/>
        <v>0.51032978792221217</v>
      </c>
      <c r="N99" s="333"/>
      <c r="O99" s="305"/>
      <c r="P99" s="305"/>
      <c r="Q99" s="305"/>
      <c r="R99" s="305"/>
      <c r="S99" s="305"/>
      <c r="T99" s="305"/>
      <c r="U99" s="305"/>
      <c r="V99" s="305"/>
      <c r="W99" s="305"/>
      <c r="X99" s="305"/>
      <c r="Y99" s="305"/>
      <c r="Z99" s="305"/>
    </row>
    <row r="100" spans="1:26" ht="15.75" customHeight="1">
      <c r="A100" s="949"/>
      <c r="B100" s="178" t="s">
        <v>40</v>
      </c>
      <c r="C100" s="415">
        <f t="shared" ref="C100:D100" si="171">C36+C40+C7</f>
        <v>1291402</v>
      </c>
      <c r="D100" s="415">
        <f t="shared" si="171"/>
        <v>280003</v>
      </c>
      <c r="E100" s="416">
        <f t="shared" si="163"/>
        <v>0.21682094343976546</v>
      </c>
      <c r="F100" s="417"/>
      <c r="G100" s="178">
        <f t="shared" ref="G100:H100" si="172">G36+G40</f>
        <v>3566009</v>
      </c>
      <c r="H100" s="178">
        <f t="shared" si="172"/>
        <v>50721</v>
      </c>
      <c r="I100" s="418">
        <f t="shared" si="165"/>
        <v>1.4223463821880427E-2</v>
      </c>
      <c r="J100" s="419"/>
      <c r="K100" s="415">
        <f t="shared" ref="K100:L100" si="173">K36+K40+K7</f>
        <v>4857411</v>
      </c>
      <c r="L100" s="415">
        <f t="shared" si="173"/>
        <v>330724</v>
      </c>
      <c r="M100" s="416">
        <f t="shared" si="167"/>
        <v>6.8086476520105049E-2</v>
      </c>
      <c r="N100" s="333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  <c r="Y100" s="305"/>
      <c r="Z100" s="305"/>
    </row>
    <row r="101" spans="1:26" ht="15.75" customHeight="1">
      <c r="A101" s="949"/>
      <c r="B101" s="420" t="s">
        <v>32</v>
      </c>
      <c r="C101" s="415">
        <f t="shared" ref="C101:D101" si="174">C19+C30++C37+C41+C44+C49+C53+C59+C65+C71+C82+C88+C93</f>
        <v>1301579</v>
      </c>
      <c r="D101" s="415">
        <f t="shared" si="174"/>
        <v>559188</v>
      </c>
      <c r="E101" s="416">
        <f t="shared" si="163"/>
        <v>0.42962278893559286</v>
      </c>
      <c r="F101" s="417"/>
      <c r="G101" s="178">
        <f t="shared" ref="G101:H101" si="175">G19+G30++G37+G41+G44+G49+G53+G59+G65+G71+G82+G88+G93</f>
        <v>9968267</v>
      </c>
      <c r="H101" s="178">
        <f t="shared" si="175"/>
        <v>5019945</v>
      </c>
      <c r="I101" s="418">
        <f t="shared" si="165"/>
        <v>0.50359255023967553</v>
      </c>
      <c r="J101" s="419"/>
      <c r="K101" s="415">
        <f t="shared" ref="K101:L101" si="176">K19+K30++K37+K41+K44+K49+K53+K59+K65+K71+K82+K88+K93</f>
        <v>11269846</v>
      </c>
      <c r="L101" s="415">
        <f t="shared" si="176"/>
        <v>5579133</v>
      </c>
      <c r="M101" s="416">
        <f t="shared" si="167"/>
        <v>0.49504962179607426</v>
      </c>
      <c r="N101" s="333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  <c r="Y101" s="305"/>
      <c r="Z101" s="305"/>
    </row>
    <row r="102" spans="1:26" ht="15.75" customHeight="1">
      <c r="A102" s="950"/>
      <c r="B102" s="357" t="s">
        <v>25</v>
      </c>
      <c r="C102" s="346">
        <f t="shared" ref="C102:D102" si="177">C96+C97+C98+C99+C100+C101</f>
        <v>18244911</v>
      </c>
      <c r="D102" s="346">
        <f t="shared" si="177"/>
        <v>3033453</v>
      </c>
      <c r="E102" s="363">
        <f t="shared" si="163"/>
        <v>0.16626296505365248</v>
      </c>
      <c r="F102" s="421"/>
      <c r="G102" s="357">
        <f t="shared" ref="G102:H102" si="178">SUM(G96:G101)</f>
        <v>22490930</v>
      </c>
      <c r="H102" s="357">
        <f t="shared" si="178"/>
        <v>8901722</v>
      </c>
      <c r="I102" s="384">
        <f t="shared" si="165"/>
        <v>0.39579163689540631</v>
      </c>
      <c r="J102" s="397"/>
      <c r="K102" s="346">
        <f t="shared" ref="K102:L102" si="179">K96+K97+K98+K99+K100+K101</f>
        <v>40735841</v>
      </c>
      <c r="L102" s="346">
        <f t="shared" si="179"/>
        <v>11935175</v>
      </c>
      <c r="M102" s="363">
        <f t="shared" si="167"/>
        <v>0.29298953224017149</v>
      </c>
      <c r="N102" s="422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  <c r="Y102" s="305"/>
      <c r="Z102" s="305"/>
    </row>
    <row r="103" spans="1:26" ht="15.75" customHeight="1">
      <c r="A103" s="985"/>
      <c r="B103" s="928"/>
      <c r="C103" s="928"/>
      <c r="D103" s="928"/>
      <c r="E103" s="928"/>
      <c r="F103" s="312"/>
      <c r="G103" s="986"/>
      <c r="H103" s="928"/>
      <c r="I103" s="928"/>
      <c r="J103" s="312"/>
      <c r="K103" s="348"/>
      <c r="L103" s="348"/>
      <c r="M103" s="349"/>
      <c r="N103" s="305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  <c r="Y103" s="305"/>
      <c r="Z103" s="305"/>
    </row>
    <row r="104" spans="1:26" ht="15.75" customHeight="1">
      <c r="A104" s="1001">
        <v>1500</v>
      </c>
      <c r="B104" s="423" t="s">
        <v>29</v>
      </c>
      <c r="C104" s="424">
        <f>6920014+5000001-1800000</f>
        <v>10120015</v>
      </c>
      <c r="D104" s="425">
        <f>1105466+3200000</f>
        <v>4305466</v>
      </c>
      <c r="E104" s="426">
        <f t="shared" ref="E104:E105" si="180">D104/C104</f>
        <v>0.42544067375394207</v>
      </c>
      <c r="F104" s="427"/>
      <c r="G104" s="424">
        <f t="shared" ref="G104:H104" si="181">K104-C104</f>
        <v>100000</v>
      </c>
      <c r="H104" s="424">
        <f t="shared" si="181"/>
        <v>6011</v>
      </c>
      <c r="I104" s="426">
        <f t="shared" ref="I104:I112" si="182">H104/G104</f>
        <v>6.0109999999999997E-2</v>
      </c>
      <c r="J104" s="427"/>
      <c r="K104" s="323">
        <f>12020015-1800000</f>
        <v>10220015</v>
      </c>
      <c r="L104" s="394">
        <v>4311477</v>
      </c>
      <c r="M104" s="381">
        <f t="shared" ref="M104:M112" si="183">L104/K104</f>
        <v>0.42186601487375508</v>
      </c>
      <c r="N104" s="305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  <c r="Y104" s="305"/>
      <c r="Z104" s="305"/>
    </row>
    <row r="105" spans="1:26" ht="15.75" customHeight="1">
      <c r="A105" s="1000"/>
      <c r="B105" s="428" t="s">
        <v>25</v>
      </c>
      <c r="C105" s="297">
        <f t="shared" ref="C105:D105" si="184">SUM(C104)</f>
        <v>10120015</v>
      </c>
      <c r="D105" s="429">
        <f t="shared" si="184"/>
        <v>4305466</v>
      </c>
      <c r="E105" s="430">
        <f t="shared" si="180"/>
        <v>0.42544067375394207</v>
      </c>
      <c r="F105" s="417"/>
      <c r="G105" s="297">
        <f t="shared" ref="G105:H105" si="185">SUM(G104)</f>
        <v>100000</v>
      </c>
      <c r="H105" s="297">
        <f t="shared" si="185"/>
        <v>6011</v>
      </c>
      <c r="I105" s="430">
        <f t="shared" si="182"/>
        <v>6.0109999999999997E-2</v>
      </c>
      <c r="J105" s="417"/>
      <c r="K105" s="178">
        <f t="shared" ref="K105:L105" si="186">SUM(K104)</f>
        <v>10220015</v>
      </c>
      <c r="L105" s="431">
        <f t="shared" si="186"/>
        <v>4311477</v>
      </c>
      <c r="M105" s="418">
        <f t="shared" si="183"/>
        <v>0.42186601487375508</v>
      </c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  <c r="Y105" s="305"/>
      <c r="Z105" s="305"/>
    </row>
    <row r="106" spans="1:26" ht="15.75" customHeight="1">
      <c r="A106" s="1002">
        <v>1600</v>
      </c>
      <c r="B106" s="432" t="s">
        <v>29</v>
      </c>
      <c r="C106" s="433">
        <v>0</v>
      </c>
      <c r="D106" s="434">
        <v>0</v>
      </c>
      <c r="E106" s="435">
        <v>0</v>
      </c>
      <c r="F106" s="436"/>
      <c r="G106" s="299">
        <f t="shared" ref="G106:H106" si="187">K106-C106</f>
        <v>13416785</v>
      </c>
      <c r="H106" s="299">
        <f t="shared" si="187"/>
        <v>566548</v>
      </c>
      <c r="I106" s="435">
        <f t="shared" si="182"/>
        <v>4.2226807689025349E-2</v>
      </c>
      <c r="J106" s="436"/>
      <c r="K106" s="377">
        <v>13416785</v>
      </c>
      <c r="L106" s="396">
        <v>566548</v>
      </c>
      <c r="M106" s="383">
        <f t="shared" si="183"/>
        <v>4.2226807689025349E-2</v>
      </c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  <c r="Y106" s="305"/>
      <c r="Z106" s="305"/>
    </row>
    <row r="107" spans="1:26" ht="15.75" customHeight="1">
      <c r="A107" s="1000"/>
      <c r="B107" s="428" t="s">
        <v>25</v>
      </c>
      <c r="C107" s="297">
        <f t="shared" ref="C107:D107" si="188">SUM(C106)</f>
        <v>0</v>
      </c>
      <c r="D107" s="429">
        <f t="shared" si="188"/>
        <v>0</v>
      </c>
      <c r="E107" s="430">
        <v>0</v>
      </c>
      <c r="F107" s="417"/>
      <c r="G107" s="297">
        <f t="shared" ref="G107:H107" si="189">SUM(G106)</f>
        <v>13416785</v>
      </c>
      <c r="H107" s="297">
        <f t="shared" si="189"/>
        <v>566548</v>
      </c>
      <c r="I107" s="430">
        <f t="shared" si="182"/>
        <v>4.2226807689025349E-2</v>
      </c>
      <c r="J107" s="417"/>
      <c r="K107" s="178">
        <f t="shared" ref="K107:L107" si="190">SUM(K106)</f>
        <v>13416785</v>
      </c>
      <c r="L107" s="431">
        <f t="shared" si="190"/>
        <v>566548</v>
      </c>
      <c r="M107" s="418">
        <f t="shared" si="183"/>
        <v>4.2226807689025349E-2</v>
      </c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  <c r="Y107" s="305"/>
      <c r="Z107" s="305"/>
    </row>
    <row r="108" spans="1:26" ht="15.75" customHeight="1">
      <c r="A108" s="999">
        <v>3300</v>
      </c>
      <c r="B108" s="432" t="s">
        <v>29</v>
      </c>
      <c r="C108" s="433">
        <v>0</v>
      </c>
      <c r="D108" s="434">
        <v>0</v>
      </c>
      <c r="E108" s="435">
        <v>0</v>
      </c>
      <c r="F108" s="436"/>
      <c r="G108" s="299">
        <f t="shared" ref="G108:H108" si="191">K108-C108</f>
        <v>1</v>
      </c>
      <c r="H108" s="299">
        <f t="shared" si="191"/>
        <v>0</v>
      </c>
      <c r="I108" s="435">
        <f t="shared" si="182"/>
        <v>0</v>
      </c>
      <c r="J108" s="436"/>
      <c r="K108" s="377">
        <v>1</v>
      </c>
      <c r="L108" s="396">
        <v>0</v>
      </c>
      <c r="M108" s="383">
        <f t="shared" si="183"/>
        <v>0</v>
      </c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  <c r="Y108" s="305"/>
      <c r="Z108" s="305"/>
    </row>
    <row r="109" spans="1:26" ht="15.75" customHeight="1">
      <c r="A109" s="1000"/>
      <c r="B109" s="428" t="s">
        <v>25</v>
      </c>
      <c r="C109" s="297">
        <f t="shared" ref="C109:D109" si="192">SUM(C108)</f>
        <v>0</v>
      </c>
      <c r="D109" s="429">
        <f t="shared" si="192"/>
        <v>0</v>
      </c>
      <c r="E109" s="430">
        <v>0</v>
      </c>
      <c r="F109" s="417"/>
      <c r="G109" s="297">
        <f t="shared" ref="G109:H109" si="193">SUM(G108)</f>
        <v>1</v>
      </c>
      <c r="H109" s="297">
        <f t="shared" si="193"/>
        <v>0</v>
      </c>
      <c r="I109" s="430">
        <f t="shared" si="182"/>
        <v>0</v>
      </c>
      <c r="J109" s="417"/>
      <c r="K109" s="178">
        <f t="shared" ref="K109:L109" si="194">SUM(K108)</f>
        <v>1</v>
      </c>
      <c r="L109" s="431">
        <f t="shared" si="194"/>
        <v>0</v>
      </c>
      <c r="M109" s="418">
        <f t="shared" si="183"/>
        <v>0</v>
      </c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  <c r="Y109" s="305"/>
      <c r="Z109" s="305"/>
    </row>
    <row r="110" spans="1:26" ht="15.75" customHeight="1">
      <c r="A110" s="999">
        <v>4200</v>
      </c>
      <c r="B110" s="432" t="s">
        <v>29</v>
      </c>
      <c r="C110" s="433">
        <v>0</v>
      </c>
      <c r="D110" s="434">
        <v>0</v>
      </c>
      <c r="E110" s="435">
        <v>0</v>
      </c>
      <c r="F110" s="436"/>
      <c r="G110" s="299">
        <f t="shared" ref="G110:H110" si="195">K110-C110</f>
        <v>10000</v>
      </c>
      <c r="H110" s="299">
        <f t="shared" si="195"/>
        <v>0</v>
      </c>
      <c r="I110" s="435">
        <f t="shared" si="182"/>
        <v>0</v>
      </c>
      <c r="J110" s="436"/>
      <c r="K110" s="377">
        <v>10000</v>
      </c>
      <c r="L110" s="396">
        <v>0</v>
      </c>
      <c r="M110" s="383">
        <f t="shared" si="183"/>
        <v>0</v>
      </c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  <c r="Y110" s="305"/>
      <c r="Z110" s="305"/>
    </row>
    <row r="111" spans="1:26" ht="15.75" customHeight="1">
      <c r="A111" s="1000"/>
      <c r="B111" s="437" t="s">
        <v>25</v>
      </c>
      <c r="C111" s="438">
        <f t="shared" ref="C111:D111" si="196">SUM(C110)</f>
        <v>0</v>
      </c>
      <c r="D111" s="439">
        <f t="shared" si="196"/>
        <v>0</v>
      </c>
      <c r="E111" s="440">
        <v>0</v>
      </c>
      <c r="F111" s="441"/>
      <c r="G111" s="438">
        <f t="shared" ref="G111:H111" si="197">SUM(G110)</f>
        <v>10000</v>
      </c>
      <c r="H111" s="438">
        <f t="shared" si="197"/>
        <v>0</v>
      </c>
      <c r="I111" s="430">
        <f t="shared" si="182"/>
        <v>0</v>
      </c>
      <c r="J111" s="417"/>
      <c r="K111" s="357">
        <f t="shared" ref="K111:L111" si="198">SUM(K110)</f>
        <v>10000</v>
      </c>
      <c r="L111" s="398">
        <f t="shared" si="198"/>
        <v>0</v>
      </c>
      <c r="M111" s="384">
        <f t="shared" si="183"/>
        <v>0</v>
      </c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  <c r="Y111" s="305"/>
      <c r="Z111" s="305"/>
    </row>
    <row r="112" spans="1:26" ht="15.75" customHeight="1">
      <c r="A112" s="442"/>
      <c r="B112" s="443" t="s">
        <v>120</v>
      </c>
      <c r="C112" s="444">
        <f t="shared" ref="C112:D112" si="199">C105+C107+C109+C111</f>
        <v>10120015</v>
      </c>
      <c r="D112" s="444">
        <f t="shared" si="199"/>
        <v>4305466</v>
      </c>
      <c r="E112" s="445">
        <f>D112/C112</f>
        <v>0.42544067375394207</v>
      </c>
      <c r="F112" s="446"/>
      <c r="G112" s="444">
        <f t="shared" ref="G112:H112" si="200">G105+G107+G109+G111</f>
        <v>13526786</v>
      </c>
      <c r="H112" s="444">
        <f t="shared" si="200"/>
        <v>572559</v>
      </c>
      <c r="I112" s="445">
        <f t="shared" si="182"/>
        <v>4.2327793165353546E-2</v>
      </c>
      <c r="J112" s="421"/>
      <c r="K112" s="447">
        <f t="shared" ref="K112:L112" si="201">K105+K107+K109+K111</f>
        <v>23646801</v>
      </c>
      <c r="L112" s="198">
        <f t="shared" si="201"/>
        <v>4878025</v>
      </c>
      <c r="M112" s="448">
        <f t="shared" si="183"/>
        <v>0.2062868884463484</v>
      </c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  <c r="Y112" s="305"/>
      <c r="Z112" s="305"/>
    </row>
    <row r="113" spans="1:26" ht="15.75" customHeight="1">
      <c r="A113" s="985"/>
      <c r="B113" s="928"/>
      <c r="C113" s="928"/>
      <c r="D113" s="928"/>
      <c r="E113" s="928"/>
      <c r="F113" s="312"/>
      <c r="G113" s="986"/>
      <c r="H113" s="928"/>
      <c r="I113" s="928"/>
      <c r="J113" s="312"/>
      <c r="K113" s="348"/>
      <c r="L113" s="348"/>
      <c r="M113" s="349"/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  <c r="Y113" s="305"/>
      <c r="Z113" s="305"/>
    </row>
    <row r="114" spans="1:26" ht="15.75" customHeight="1">
      <c r="A114" s="449" t="s">
        <v>23</v>
      </c>
      <c r="B114" s="450" t="s">
        <v>7</v>
      </c>
      <c r="C114" s="168" t="s">
        <v>148</v>
      </c>
      <c r="D114" s="169" t="s">
        <v>149</v>
      </c>
      <c r="E114" s="450" t="s">
        <v>150</v>
      </c>
      <c r="F114" s="386"/>
      <c r="G114" s="305"/>
      <c r="H114" s="305"/>
      <c r="I114" s="305"/>
      <c r="J114" s="386"/>
      <c r="K114" s="305"/>
      <c r="L114" s="305"/>
      <c r="M114" s="305"/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  <c r="Y114" s="305"/>
      <c r="Z114" s="305"/>
    </row>
    <row r="115" spans="1:26" ht="15.75" customHeight="1">
      <c r="A115" s="451">
        <v>3000</v>
      </c>
      <c r="B115" s="452" t="s">
        <v>23</v>
      </c>
      <c r="C115" s="323">
        <v>1093000</v>
      </c>
      <c r="D115" s="394">
        <v>0</v>
      </c>
      <c r="E115" s="453">
        <f t="shared" ref="E115:E119" si="202">D115/C115</f>
        <v>0</v>
      </c>
      <c r="F115" s="327"/>
      <c r="G115" s="305"/>
      <c r="H115" s="305"/>
      <c r="I115" s="246"/>
      <c r="J115" s="201"/>
      <c r="K115" s="454" t="s">
        <v>151</v>
      </c>
      <c r="L115" s="455" t="s">
        <v>152</v>
      </c>
      <c r="M115" s="450" t="s">
        <v>150</v>
      </c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</row>
    <row r="116" spans="1:26" ht="15.75" customHeight="1">
      <c r="A116" s="451"/>
      <c r="B116" s="456" t="s">
        <v>25</v>
      </c>
      <c r="C116" s="178">
        <f t="shared" ref="C116:D116" si="203">SUM(C115)</f>
        <v>1093000</v>
      </c>
      <c r="D116" s="431">
        <f t="shared" si="203"/>
        <v>0</v>
      </c>
      <c r="E116" s="457">
        <f t="shared" si="202"/>
        <v>0</v>
      </c>
      <c r="F116" s="343"/>
      <c r="G116" s="305"/>
      <c r="H116" s="198" t="s">
        <v>153</v>
      </c>
      <c r="I116" s="458"/>
      <c r="J116" s="201"/>
      <c r="K116" s="459">
        <f t="shared" ref="K116:L116" si="204">K102+K112+C119</f>
        <v>68635642</v>
      </c>
      <c r="L116" s="460">
        <f t="shared" si="204"/>
        <v>16813200</v>
      </c>
      <c r="M116" s="448">
        <f>L116/K116</f>
        <v>0.24496310532070203</v>
      </c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  <c r="Y116" s="305"/>
      <c r="Z116" s="305"/>
    </row>
    <row r="117" spans="1:26" ht="15.75" customHeight="1">
      <c r="A117" s="451">
        <v>5300</v>
      </c>
      <c r="B117" s="456" t="s">
        <v>23</v>
      </c>
      <c r="C117" s="334">
        <v>3160000</v>
      </c>
      <c r="D117" s="396">
        <v>0</v>
      </c>
      <c r="E117" s="461">
        <f t="shared" si="202"/>
        <v>0</v>
      </c>
      <c r="F117" s="327"/>
      <c r="G117" s="305"/>
      <c r="H117" s="305"/>
      <c r="I117" s="305"/>
      <c r="J117" s="350"/>
      <c r="K117" s="305"/>
      <c r="L117" s="305"/>
      <c r="M117" s="305"/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  <c r="Y117" s="305"/>
      <c r="Z117" s="305"/>
    </row>
    <row r="118" spans="1:26" ht="15.75" customHeight="1">
      <c r="A118" s="462"/>
      <c r="B118" s="463" t="s">
        <v>25</v>
      </c>
      <c r="C118" s="183">
        <f t="shared" ref="C118:D118" si="205">SUM(C117)</f>
        <v>3160000</v>
      </c>
      <c r="D118" s="404">
        <f t="shared" si="205"/>
        <v>0</v>
      </c>
      <c r="E118" s="464">
        <f t="shared" si="202"/>
        <v>0</v>
      </c>
      <c r="F118" s="343"/>
      <c r="G118" s="305"/>
      <c r="H118" s="305"/>
      <c r="I118" s="305"/>
      <c r="J118" s="350"/>
      <c r="K118" s="305"/>
      <c r="L118" s="305"/>
      <c r="M118" s="305"/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  <c r="Y118" s="305"/>
      <c r="Z118" s="305"/>
    </row>
    <row r="119" spans="1:26" ht="15.75" customHeight="1">
      <c r="A119" s="465"/>
      <c r="B119" s="466" t="s">
        <v>121</v>
      </c>
      <c r="C119" s="198">
        <f t="shared" ref="C119:D119" si="206">C115+C118</f>
        <v>4253000</v>
      </c>
      <c r="D119" s="198">
        <f t="shared" si="206"/>
        <v>0</v>
      </c>
      <c r="E119" s="237">
        <f t="shared" si="202"/>
        <v>0</v>
      </c>
      <c r="F119" s="467"/>
      <c r="G119" s="458"/>
      <c r="H119" s="458"/>
      <c r="I119" s="458"/>
      <c r="J119" s="468"/>
      <c r="K119" s="458"/>
      <c r="L119" s="458"/>
      <c r="M119" s="469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  <c r="Y119" s="305"/>
      <c r="Z119" s="305"/>
    </row>
    <row r="120" spans="1:26" ht="15.75" customHeight="1">
      <c r="A120" s="985"/>
      <c r="B120" s="928"/>
      <c r="C120" s="928"/>
      <c r="D120" s="928"/>
      <c r="E120" s="928"/>
      <c r="F120" s="312"/>
      <c r="G120" s="986"/>
      <c r="H120" s="928"/>
      <c r="I120" s="928"/>
      <c r="J120" s="312"/>
      <c r="K120" s="348"/>
      <c r="L120" s="348"/>
      <c r="M120" s="349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  <c r="Y120" s="305"/>
      <c r="Z120" s="305"/>
    </row>
    <row r="121" spans="1:26" ht="15.75" customHeight="1">
      <c r="A121" s="245"/>
      <c r="B121" s="246"/>
      <c r="C121" s="305"/>
      <c r="D121" s="305"/>
      <c r="E121" s="305"/>
      <c r="F121" s="305"/>
      <c r="G121" s="305"/>
      <c r="H121" s="305"/>
      <c r="I121" s="305"/>
      <c r="J121" s="305"/>
      <c r="K121" s="246"/>
      <c r="L121" s="246"/>
      <c r="M121" s="470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  <c r="Y121" s="305"/>
      <c r="Z121" s="305"/>
    </row>
    <row r="122" spans="1:26" ht="15.75" customHeight="1">
      <c r="A122" s="471" t="s">
        <v>154</v>
      </c>
      <c r="B122" s="472" t="s">
        <v>7</v>
      </c>
      <c r="C122" s="473" t="s">
        <v>105</v>
      </c>
      <c r="D122" s="474" t="s">
        <v>142</v>
      </c>
      <c r="E122" s="305"/>
      <c r="F122" s="305"/>
      <c r="G122" s="305"/>
      <c r="H122" s="305"/>
      <c r="I122" s="305"/>
      <c r="J122" s="305"/>
      <c r="K122" s="305"/>
      <c r="L122" s="305"/>
      <c r="M122" s="305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  <c r="Y122" s="305"/>
      <c r="Z122" s="305"/>
    </row>
    <row r="123" spans="1:26" ht="15.75" customHeight="1">
      <c r="A123" s="475"/>
      <c r="B123" s="476"/>
      <c r="C123" s="477" t="s">
        <v>19</v>
      </c>
      <c r="D123" s="477" t="s">
        <v>19</v>
      </c>
      <c r="E123" s="305"/>
      <c r="F123" s="305"/>
      <c r="G123" s="305"/>
      <c r="H123" s="305"/>
      <c r="I123" s="305"/>
      <c r="J123" s="305"/>
      <c r="K123" s="305"/>
      <c r="L123" s="305"/>
      <c r="M123" s="305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  <c r="Y123" s="305"/>
      <c r="Z123" s="305"/>
    </row>
    <row r="124" spans="1:26" ht="15.75" customHeight="1">
      <c r="A124" s="478" t="s">
        <v>109</v>
      </c>
      <c r="B124" s="179" t="s">
        <v>21</v>
      </c>
      <c r="C124" s="178">
        <v>9819593</v>
      </c>
      <c r="D124" s="178">
        <v>1566307</v>
      </c>
      <c r="E124" s="305"/>
      <c r="F124" s="305"/>
      <c r="G124" s="305"/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  <c r="Y124" s="305"/>
      <c r="Z124" s="305"/>
    </row>
    <row r="125" spans="1:26" ht="15.75" customHeight="1">
      <c r="A125" s="178" t="s">
        <v>110</v>
      </c>
      <c r="B125" s="179" t="s">
        <v>21</v>
      </c>
      <c r="C125" s="178">
        <v>6871037</v>
      </c>
      <c r="D125" s="178">
        <v>2372523</v>
      </c>
      <c r="E125" s="305"/>
      <c r="F125" s="305"/>
      <c r="G125" s="305"/>
      <c r="H125" s="305"/>
      <c r="I125" s="305"/>
      <c r="J125" s="305"/>
      <c r="K125" s="305"/>
      <c r="L125" s="305"/>
      <c r="M125" s="305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  <c r="Y125" s="305"/>
      <c r="Z125" s="305"/>
    </row>
    <row r="126" spans="1:26" ht="15.75" customHeight="1">
      <c r="A126" s="178" t="s">
        <v>111</v>
      </c>
      <c r="B126" s="179" t="s">
        <v>21</v>
      </c>
      <c r="C126" s="178">
        <v>20000</v>
      </c>
      <c r="D126" s="178">
        <v>97521</v>
      </c>
      <c r="E126" s="246"/>
      <c r="F126" s="246"/>
      <c r="G126" s="305"/>
      <c r="H126" s="305"/>
      <c r="I126" s="305"/>
      <c r="J126" s="305"/>
      <c r="K126" s="305"/>
      <c r="L126" s="305"/>
      <c r="M126" s="305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  <c r="Y126" s="305"/>
      <c r="Z126" s="305"/>
    </row>
    <row r="127" spans="1:26" ht="15.75" customHeight="1">
      <c r="A127" s="478"/>
      <c r="B127" s="479" t="s">
        <v>25</v>
      </c>
      <c r="C127" s="178">
        <f t="shared" ref="C127:D127" si="207">SUM(C124:C126)</f>
        <v>16710630</v>
      </c>
      <c r="D127" s="178">
        <f t="shared" si="207"/>
        <v>4036351</v>
      </c>
      <c r="E127" s="246"/>
      <c r="F127" s="246"/>
      <c r="G127" s="305"/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  <c r="Y127" s="305"/>
      <c r="Z127" s="305"/>
    </row>
    <row r="128" spans="1:26" ht="15.75" customHeight="1">
      <c r="A128" s="478" t="s">
        <v>79</v>
      </c>
      <c r="B128" s="479"/>
      <c r="C128" s="334"/>
      <c r="D128" s="334"/>
      <c r="E128" s="246"/>
      <c r="F128" s="246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  <c r="Y128" s="305"/>
      <c r="Z128" s="305"/>
    </row>
    <row r="129" spans="1:26" ht="15.75" customHeight="1">
      <c r="A129" s="478" t="s">
        <v>109</v>
      </c>
      <c r="B129" s="179" t="s">
        <v>21</v>
      </c>
      <c r="C129" s="178">
        <v>9905586</v>
      </c>
      <c r="D129" s="178">
        <v>1621883</v>
      </c>
      <c r="E129" s="246"/>
      <c r="F129" s="246"/>
      <c r="G129" s="305"/>
      <c r="H129" s="305"/>
      <c r="I129" s="305"/>
      <c r="J129" s="305"/>
      <c r="K129" s="305"/>
      <c r="L129" s="305"/>
      <c r="M129" s="305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  <c r="Y129" s="305"/>
      <c r="Z129" s="305"/>
    </row>
    <row r="130" spans="1:26" ht="15.75" customHeight="1">
      <c r="A130" s="178" t="s">
        <v>110</v>
      </c>
      <c r="B130" s="179" t="s">
        <v>21</v>
      </c>
      <c r="C130" s="178">
        <v>6941037</v>
      </c>
      <c r="D130" s="178">
        <v>2099607</v>
      </c>
      <c r="E130" s="246"/>
      <c r="F130" s="246"/>
      <c r="G130" s="305"/>
      <c r="H130" s="305"/>
      <c r="I130" s="305"/>
      <c r="J130" s="305"/>
      <c r="K130" s="305"/>
      <c r="L130" s="305"/>
      <c r="M130" s="305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  <c r="Y130" s="305"/>
      <c r="Z130" s="305"/>
    </row>
    <row r="131" spans="1:26" ht="15.75" customHeight="1">
      <c r="A131" s="178" t="s">
        <v>111</v>
      </c>
      <c r="B131" s="179" t="s">
        <v>21</v>
      </c>
      <c r="C131" s="178">
        <v>20000</v>
      </c>
      <c r="D131" s="178">
        <v>0</v>
      </c>
      <c r="E131" s="480"/>
      <c r="F131" s="480"/>
      <c r="G131" s="305"/>
      <c r="H131" s="305"/>
      <c r="I131" s="305"/>
      <c r="J131" s="305"/>
      <c r="K131" s="305"/>
      <c r="L131" s="305"/>
      <c r="M131" s="305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  <c r="Y131" s="305"/>
      <c r="Z131" s="305"/>
    </row>
    <row r="132" spans="1:26" ht="15.75" customHeight="1">
      <c r="A132" s="478"/>
      <c r="B132" s="479" t="s">
        <v>25</v>
      </c>
      <c r="C132" s="178">
        <f t="shared" ref="C132:D132" si="208">SUM(C129:C131)</f>
        <v>16866623</v>
      </c>
      <c r="D132" s="178">
        <f t="shared" si="208"/>
        <v>3721490</v>
      </c>
      <c r="E132" s="480"/>
      <c r="F132" s="480"/>
      <c r="G132" s="305"/>
      <c r="H132" s="305"/>
      <c r="I132" s="305"/>
      <c r="J132" s="305"/>
      <c r="K132" s="305"/>
      <c r="L132" s="305"/>
      <c r="M132" s="305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  <c r="Y132" s="305"/>
      <c r="Z132" s="305"/>
    </row>
    <row r="133" spans="1:26" ht="15.75" customHeight="1">
      <c r="A133" s="478"/>
      <c r="B133" s="479" t="s">
        <v>83</v>
      </c>
      <c r="C133" s="334">
        <f t="shared" ref="C133:D133" si="209">C127-C132</f>
        <v>-155993</v>
      </c>
      <c r="D133" s="334">
        <f t="shared" si="209"/>
        <v>314861</v>
      </c>
      <c r="E133" s="246"/>
      <c r="F133" s="246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</row>
    <row r="134" spans="1:26" ht="15.75" customHeight="1">
      <c r="A134" s="481"/>
      <c r="B134" s="482"/>
      <c r="C134" s="483"/>
      <c r="D134" s="483"/>
      <c r="E134" s="305"/>
      <c r="F134" s="305"/>
      <c r="G134" s="305"/>
      <c r="H134" s="305"/>
      <c r="I134" s="305"/>
      <c r="J134" s="305"/>
      <c r="K134" s="305"/>
      <c r="L134" s="305"/>
      <c r="M134" s="305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</row>
    <row r="135" spans="1:26" ht="15.75" customHeight="1">
      <c r="A135" s="478" t="s">
        <v>118</v>
      </c>
      <c r="B135" s="484" t="s">
        <v>28</v>
      </c>
      <c r="C135" s="178">
        <v>0</v>
      </c>
      <c r="D135" s="178">
        <v>54929</v>
      </c>
      <c r="E135" s="305"/>
      <c r="F135" s="305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</row>
    <row r="136" spans="1:26" ht="15.75" customHeight="1">
      <c r="A136" s="478" t="s">
        <v>112</v>
      </c>
      <c r="B136" s="484" t="s">
        <v>32</v>
      </c>
      <c r="C136" s="178">
        <v>293605</v>
      </c>
      <c r="D136" s="178">
        <v>234399</v>
      </c>
      <c r="E136" s="305"/>
      <c r="F136" s="305"/>
      <c r="G136" s="305"/>
      <c r="H136" s="305"/>
      <c r="I136" s="305"/>
      <c r="J136" s="305"/>
      <c r="K136" s="305"/>
      <c r="L136" s="305"/>
      <c r="M136" s="305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</row>
    <row r="137" spans="1:26" ht="15.75" customHeight="1">
      <c r="A137" s="478"/>
      <c r="B137" s="485" t="s">
        <v>143</v>
      </c>
      <c r="C137" s="178">
        <v>0</v>
      </c>
      <c r="D137" s="178">
        <v>5217</v>
      </c>
      <c r="E137" s="305"/>
      <c r="F137" s="305"/>
      <c r="G137" s="305"/>
      <c r="H137" s="305"/>
      <c r="I137" s="305"/>
      <c r="J137" s="305"/>
      <c r="K137" s="305"/>
      <c r="L137" s="305"/>
      <c r="M137" s="305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</row>
    <row r="138" spans="1:26" ht="15.75" customHeight="1">
      <c r="A138" s="206"/>
      <c r="B138" s="485" t="s">
        <v>144</v>
      </c>
      <c r="C138" s="178">
        <v>0</v>
      </c>
      <c r="D138" s="178">
        <v>190</v>
      </c>
      <c r="E138" s="305"/>
      <c r="F138" s="305"/>
      <c r="G138" s="305"/>
      <c r="H138" s="305"/>
      <c r="I138" s="305"/>
      <c r="J138" s="305"/>
      <c r="K138" s="305"/>
      <c r="L138" s="305"/>
      <c r="M138" s="305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</row>
    <row r="139" spans="1:26" ht="15.75" customHeight="1">
      <c r="A139" s="305"/>
      <c r="B139" s="305"/>
      <c r="C139" s="357">
        <f t="shared" ref="C139:D139" si="210">SUM(C135:C138)</f>
        <v>293605</v>
      </c>
      <c r="D139" s="357">
        <f t="shared" si="210"/>
        <v>294735</v>
      </c>
      <c r="E139" s="305"/>
      <c r="F139" s="305"/>
      <c r="G139" s="305"/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</row>
    <row r="140" spans="1:26" ht="15.75" customHeight="1">
      <c r="A140" s="305"/>
      <c r="B140" s="305"/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</row>
    <row r="141" spans="1:26" ht="15.75" customHeight="1">
      <c r="A141" s="305"/>
      <c r="B141" s="305"/>
      <c r="C141" s="305"/>
      <c r="D141" s="305"/>
      <c r="E141" s="305"/>
      <c r="F141" s="305"/>
      <c r="G141" s="305"/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</row>
    <row r="142" spans="1:26" ht="15.75" customHeight="1">
      <c r="A142" s="305"/>
      <c r="B142" s="305"/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</row>
    <row r="143" spans="1:26" ht="15.75" customHeight="1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305"/>
      <c r="L143" s="305"/>
      <c r="M143" s="305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</row>
    <row r="144" spans="1:26" ht="15.75" customHeight="1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305"/>
      <c r="L144" s="305"/>
      <c r="M144" s="305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</row>
    <row r="145" spans="1:26" ht="15.75" customHeight="1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</row>
    <row r="146" spans="1:26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</row>
    <row r="147" spans="1:26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</row>
    <row r="148" spans="1:26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</row>
    <row r="149" spans="1:26" ht="15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</row>
    <row r="150" spans="1:26" ht="15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</row>
    <row r="151" spans="1:26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</row>
    <row r="152" spans="1:26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</row>
    <row r="153" spans="1:26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</row>
    <row r="154" spans="1:26" ht="15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</row>
    <row r="155" spans="1:26" ht="15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</row>
    <row r="156" spans="1:26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</row>
    <row r="157" spans="1:26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</row>
    <row r="158" spans="1:26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</row>
    <row r="159" spans="1:26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</row>
    <row r="160" spans="1:26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</row>
    <row r="161" spans="1:26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</row>
    <row r="162" spans="1:26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</row>
    <row r="163" spans="1:26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</row>
    <row r="164" spans="1:26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</row>
    <row r="165" spans="1:26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</row>
    <row r="166" spans="1:26" ht="15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</row>
    <row r="167" spans="1:26" ht="15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</row>
    <row r="168" spans="1:26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</row>
    <row r="169" spans="1:26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</row>
    <row r="170" spans="1:26" ht="15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</row>
    <row r="171" spans="1:26" ht="15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</row>
    <row r="172" spans="1:26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</row>
    <row r="173" spans="1:26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</row>
    <row r="174" spans="1:26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</row>
    <row r="175" spans="1:26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</row>
    <row r="176" spans="1:26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</row>
    <row r="177" spans="1:26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</row>
    <row r="178" spans="1:26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</row>
    <row r="179" spans="1:26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</row>
    <row r="180" spans="1:26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</row>
    <row r="181" spans="1:26" ht="15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</row>
    <row r="182" spans="1:26" ht="15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</row>
    <row r="183" spans="1:26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</row>
    <row r="184" spans="1:26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</row>
    <row r="185" spans="1:26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</row>
    <row r="186" spans="1:26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</row>
    <row r="187" spans="1:26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</row>
    <row r="188" spans="1:26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</row>
    <row r="189" spans="1:26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</row>
    <row r="190" spans="1:26" ht="15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</row>
    <row r="191" spans="1:26" ht="15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</row>
    <row r="192" spans="1:26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</row>
    <row r="193" spans="1:26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</row>
    <row r="194" spans="1:26" ht="15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</row>
    <row r="195" spans="1:26" ht="15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</row>
    <row r="196" spans="1:26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</row>
    <row r="197" spans="1:26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</row>
    <row r="198" spans="1:26" ht="15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</row>
    <row r="199" spans="1:26" ht="15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</row>
    <row r="200" spans="1:26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</row>
    <row r="201" spans="1:26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</row>
    <row r="202" spans="1:26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  <c r="Y202" s="305"/>
      <c r="Z202" s="305"/>
    </row>
    <row r="203" spans="1:26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  <c r="Y203" s="305"/>
      <c r="Z203" s="305"/>
    </row>
    <row r="204" spans="1:26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  <c r="Y204" s="305"/>
      <c r="Z204" s="305"/>
    </row>
    <row r="205" spans="1:26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  <c r="Y205" s="305"/>
      <c r="Z205" s="305"/>
    </row>
    <row r="206" spans="1:26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</row>
    <row r="207" spans="1:26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</row>
    <row r="208" spans="1:26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  <c r="Y208" s="305"/>
      <c r="Z208" s="305"/>
    </row>
    <row r="209" spans="1:26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  <c r="Y209" s="305"/>
      <c r="Z209" s="305"/>
    </row>
    <row r="210" spans="1:26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  <c r="Y210" s="305"/>
      <c r="Z210" s="305"/>
    </row>
    <row r="211" spans="1:26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  <c r="Y211" s="305"/>
      <c r="Z211" s="305"/>
    </row>
    <row r="212" spans="1:26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  <c r="Y212" s="305"/>
      <c r="Z212" s="305"/>
    </row>
    <row r="213" spans="1:26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  <c r="Y213" s="305"/>
      <c r="Z213" s="305"/>
    </row>
    <row r="214" spans="1:26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  <c r="Y214" s="305"/>
      <c r="Z214" s="305"/>
    </row>
    <row r="215" spans="1:26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  <c r="Y215" s="305"/>
      <c r="Z215" s="305"/>
    </row>
    <row r="216" spans="1:26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  <c r="Y216" s="305"/>
      <c r="Z216" s="305"/>
    </row>
    <row r="217" spans="1:26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  <c r="Y217" s="305"/>
      <c r="Z217" s="305"/>
    </row>
    <row r="218" spans="1:26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  <c r="Y218" s="305"/>
      <c r="Z218" s="305"/>
    </row>
    <row r="219" spans="1:26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  <c r="Y219" s="305"/>
      <c r="Z219" s="305"/>
    </row>
    <row r="220" spans="1:26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  <c r="Y220" s="305"/>
      <c r="Z220" s="305"/>
    </row>
    <row r="221" spans="1:26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  <c r="Y221" s="305"/>
      <c r="Z221" s="305"/>
    </row>
    <row r="222" spans="1:26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  <c r="Y222" s="305"/>
      <c r="Z222" s="305"/>
    </row>
    <row r="223" spans="1:26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  <c r="Y223" s="305"/>
      <c r="Z223" s="305"/>
    </row>
    <row r="224" spans="1:26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  <c r="Y224" s="305"/>
      <c r="Z224" s="305"/>
    </row>
    <row r="225" spans="1:26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  <c r="Y225" s="305"/>
      <c r="Z225" s="305"/>
    </row>
    <row r="226" spans="1:26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  <c r="Y226" s="305"/>
      <c r="Z226" s="305"/>
    </row>
    <row r="227" spans="1:26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  <c r="Y227" s="305"/>
      <c r="Z227" s="305"/>
    </row>
    <row r="228" spans="1:26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  <c r="Y228" s="305"/>
      <c r="Z228" s="305"/>
    </row>
    <row r="229" spans="1:26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  <c r="Y229" s="305"/>
      <c r="Z229" s="305"/>
    </row>
    <row r="230" spans="1:26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  <c r="Y230" s="305"/>
      <c r="Z230" s="305"/>
    </row>
    <row r="231" spans="1:26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  <c r="Y231" s="305"/>
      <c r="Z231" s="305"/>
    </row>
    <row r="232" spans="1:26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  <c r="Y232" s="305"/>
      <c r="Z232" s="305"/>
    </row>
    <row r="233" spans="1:26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  <c r="Y233" s="305"/>
      <c r="Z233" s="305"/>
    </row>
    <row r="234" spans="1:26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  <c r="Y234" s="305"/>
      <c r="Z234" s="305"/>
    </row>
    <row r="235" spans="1:26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  <c r="Y235" s="305"/>
      <c r="Z235" s="305"/>
    </row>
    <row r="236" spans="1:26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  <c r="Y236" s="305"/>
      <c r="Z236" s="305"/>
    </row>
    <row r="237" spans="1:26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  <c r="Y237" s="305"/>
      <c r="Z237" s="305"/>
    </row>
    <row r="238" spans="1:26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  <c r="Y238" s="305"/>
      <c r="Z238" s="305"/>
    </row>
    <row r="239" spans="1:26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  <c r="Y239" s="305"/>
      <c r="Z239" s="305"/>
    </row>
    <row r="240" spans="1:26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  <c r="Y240" s="305"/>
      <c r="Z240" s="305"/>
    </row>
    <row r="241" spans="1:26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  <c r="Y241" s="305"/>
      <c r="Z241" s="305"/>
    </row>
    <row r="242" spans="1:26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  <c r="Y242" s="305"/>
      <c r="Z242" s="305"/>
    </row>
    <row r="243" spans="1:26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  <c r="Y243" s="305"/>
      <c r="Z243" s="305"/>
    </row>
    <row r="244" spans="1:26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  <c r="Y244" s="305"/>
      <c r="Z244" s="305"/>
    </row>
    <row r="245" spans="1:26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  <c r="Y245" s="305"/>
      <c r="Z245" s="305"/>
    </row>
    <row r="246" spans="1:26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  <c r="Y246" s="305"/>
      <c r="Z246" s="305"/>
    </row>
    <row r="247" spans="1:26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  <c r="Y247" s="305"/>
      <c r="Z247" s="305"/>
    </row>
    <row r="248" spans="1:26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  <c r="Y248" s="305"/>
      <c r="Z248" s="305"/>
    </row>
    <row r="249" spans="1:26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  <c r="Y249" s="305"/>
      <c r="Z249" s="305"/>
    </row>
    <row r="250" spans="1:26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  <c r="Y250" s="305"/>
      <c r="Z250" s="305"/>
    </row>
    <row r="251" spans="1:26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  <c r="Y251" s="305"/>
      <c r="Z251" s="305"/>
    </row>
    <row r="252" spans="1:26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  <c r="Y252" s="305"/>
      <c r="Z252" s="305"/>
    </row>
    <row r="253" spans="1:26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  <c r="Y253" s="305"/>
      <c r="Z253" s="305"/>
    </row>
    <row r="254" spans="1:26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  <c r="Y254" s="305"/>
      <c r="Z254" s="305"/>
    </row>
    <row r="255" spans="1:26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  <c r="Y255" s="305"/>
      <c r="Z255" s="305"/>
    </row>
    <row r="256" spans="1:26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  <c r="Y256" s="305"/>
      <c r="Z256" s="305"/>
    </row>
    <row r="257" spans="1:26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  <c r="Y257" s="305"/>
      <c r="Z257" s="305"/>
    </row>
    <row r="258" spans="1:26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  <c r="Y258" s="305"/>
      <c r="Z258" s="305"/>
    </row>
    <row r="259" spans="1:26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  <c r="Y259" s="305"/>
      <c r="Z259" s="305"/>
    </row>
    <row r="260" spans="1:26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  <c r="Y260" s="305"/>
      <c r="Z260" s="305"/>
    </row>
    <row r="261" spans="1:26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  <c r="Y261" s="305"/>
      <c r="Z261" s="305"/>
    </row>
    <row r="262" spans="1:26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  <c r="Y262" s="305"/>
      <c r="Z262" s="305"/>
    </row>
    <row r="263" spans="1:26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  <c r="Y263" s="305"/>
      <c r="Z263" s="305"/>
    </row>
    <row r="264" spans="1:26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  <c r="Y264" s="305"/>
      <c r="Z264" s="305"/>
    </row>
    <row r="265" spans="1:26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  <c r="Y265" s="305"/>
      <c r="Z265" s="305"/>
    </row>
    <row r="266" spans="1:26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  <c r="Y266" s="305"/>
      <c r="Z266" s="305"/>
    </row>
    <row r="267" spans="1:26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  <c r="Y267" s="305"/>
      <c r="Z267" s="305"/>
    </row>
    <row r="268" spans="1:26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  <c r="Y268" s="305"/>
      <c r="Z268" s="305"/>
    </row>
    <row r="269" spans="1:26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  <c r="Y269" s="305"/>
      <c r="Z269" s="305"/>
    </row>
    <row r="270" spans="1:26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  <c r="Y270" s="305"/>
      <c r="Z270" s="305"/>
    </row>
    <row r="271" spans="1:26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  <c r="Y271" s="305"/>
      <c r="Z271" s="305"/>
    </row>
    <row r="272" spans="1:26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  <c r="Y272" s="305"/>
      <c r="Z272" s="305"/>
    </row>
    <row r="273" spans="1:26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  <c r="Y273" s="305"/>
      <c r="Z273" s="305"/>
    </row>
    <row r="274" spans="1:26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  <c r="Y274" s="305"/>
      <c r="Z274" s="305"/>
    </row>
    <row r="275" spans="1:26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  <c r="Y275" s="305"/>
      <c r="Z275" s="305"/>
    </row>
    <row r="276" spans="1:26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  <c r="Y276" s="305"/>
      <c r="Z276" s="305"/>
    </row>
    <row r="277" spans="1:26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  <c r="Y277" s="305"/>
      <c r="Z277" s="305"/>
    </row>
    <row r="278" spans="1:26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  <c r="Y278" s="305"/>
      <c r="Z278" s="305"/>
    </row>
    <row r="279" spans="1:26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  <c r="Y279" s="305"/>
      <c r="Z279" s="305"/>
    </row>
    <row r="280" spans="1:26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  <c r="Y280" s="305"/>
      <c r="Z280" s="305"/>
    </row>
    <row r="281" spans="1:26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  <c r="Y281" s="305"/>
      <c r="Z281" s="305"/>
    </row>
    <row r="282" spans="1:26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  <c r="Y282" s="305"/>
      <c r="Z282" s="305"/>
    </row>
    <row r="283" spans="1:26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  <c r="Y283" s="305"/>
      <c r="Z283" s="305"/>
    </row>
    <row r="284" spans="1:26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  <c r="Y284" s="305"/>
      <c r="Z284" s="305"/>
    </row>
    <row r="285" spans="1:26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  <c r="Y285" s="305"/>
      <c r="Z285" s="305"/>
    </row>
    <row r="286" spans="1:26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  <c r="Y286" s="305"/>
      <c r="Z286" s="305"/>
    </row>
    <row r="287" spans="1:26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  <c r="Y287" s="305"/>
      <c r="Z287" s="305"/>
    </row>
    <row r="288" spans="1:26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  <c r="Y288" s="305"/>
      <c r="Z288" s="305"/>
    </row>
    <row r="289" spans="1:26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  <c r="Y289" s="305"/>
      <c r="Z289" s="305"/>
    </row>
    <row r="290" spans="1:26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  <c r="Y290" s="305"/>
      <c r="Z290" s="305"/>
    </row>
    <row r="291" spans="1:26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  <c r="Y291" s="305"/>
      <c r="Z291" s="305"/>
    </row>
    <row r="292" spans="1:26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  <c r="Y292" s="305"/>
      <c r="Z292" s="305"/>
    </row>
    <row r="293" spans="1:26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  <c r="Y293" s="305"/>
      <c r="Z293" s="305"/>
    </row>
    <row r="294" spans="1:26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  <c r="Y294" s="305"/>
      <c r="Z294" s="305"/>
    </row>
    <row r="295" spans="1:26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  <c r="Y295" s="305"/>
      <c r="Z295" s="305"/>
    </row>
    <row r="296" spans="1:26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  <c r="Y296" s="305"/>
      <c r="Z296" s="305"/>
    </row>
    <row r="297" spans="1:26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  <c r="Y297" s="305"/>
      <c r="Z297" s="305"/>
    </row>
    <row r="298" spans="1:26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  <c r="Y298" s="305"/>
      <c r="Z298" s="305"/>
    </row>
    <row r="299" spans="1:26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  <c r="Y299" s="305"/>
      <c r="Z299" s="305"/>
    </row>
    <row r="300" spans="1:26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  <c r="Y300" s="305"/>
      <c r="Z300" s="305"/>
    </row>
    <row r="301" spans="1:26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  <c r="Y301" s="305"/>
      <c r="Z301" s="305"/>
    </row>
    <row r="302" spans="1:26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  <c r="Y302" s="305"/>
      <c r="Z302" s="305"/>
    </row>
    <row r="303" spans="1:26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  <c r="Y303" s="305"/>
      <c r="Z303" s="305"/>
    </row>
    <row r="304" spans="1:26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  <c r="Y304" s="305"/>
      <c r="Z304" s="305"/>
    </row>
    <row r="305" spans="1:26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  <c r="Y305" s="305"/>
      <c r="Z305" s="305"/>
    </row>
    <row r="306" spans="1:26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</row>
    <row r="307" spans="1:26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  <c r="Y307" s="305"/>
      <c r="Z307" s="305"/>
    </row>
    <row r="308" spans="1:26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  <c r="Y308" s="305"/>
      <c r="Z308" s="305"/>
    </row>
    <row r="309" spans="1:26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  <c r="Y309" s="305"/>
      <c r="Z309" s="305"/>
    </row>
    <row r="310" spans="1:26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  <c r="Y310" s="305"/>
      <c r="Z310" s="305"/>
    </row>
    <row r="311" spans="1:26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  <c r="Y311" s="305"/>
      <c r="Z311" s="305"/>
    </row>
    <row r="312" spans="1:26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  <c r="Y312" s="305"/>
      <c r="Z312" s="305"/>
    </row>
    <row r="313" spans="1:26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</row>
    <row r="314" spans="1:26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</row>
    <row r="315" spans="1:26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</row>
    <row r="316" spans="1:26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</row>
    <row r="317" spans="1:26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</row>
    <row r="318" spans="1:26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</row>
    <row r="319" spans="1:26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</row>
    <row r="320" spans="1:26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</row>
    <row r="321" spans="1:26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</row>
    <row r="322" spans="1:26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</row>
    <row r="323" spans="1:26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</row>
    <row r="324" spans="1:26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Y324" s="305"/>
      <c r="Z324" s="305"/>
    </row>
    <row r="325" spans="1:26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  <c r="Y325" s="305"/>
      <c r="Z325" s="305"/>
    </row>
    <row r="326" spans="1:26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</row>
    <row r="327" spans="1:26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</row>
    <row r="328" spans="1:26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</row>
    <row r="329" spans="1:26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</row>
    <row r="330" spans="1:26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</row>
    <row r="331" spans="1:26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</row>
    <row r="332" spans="1:26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  <c r="Y332" s="305"/>
      <c r="Z332" s="305"/>
    </row>
    <row r="333" spans="1:26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  <c r="Y333" s="305"/>
      <c r="Z333" s="305"/>
    </row>
    <row r="334" spans="1:26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</row>
    <row r="335" spans="1:26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</row>
    <row r="336" spans="1:26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  <c r="Y336" s="305"/>
      <c r="Z336" s="305"/>
    </row>
    <row r="337" spans="1:26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  <c r="Y337" s="305"/>
      <c r="Z337" s="305"/>
    </row>
    <row r="338" spans="1:26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</row>
    <row r="339" spans="1:26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  <c r="Y339" s="305"/>
      <c r="Z339" s="305"/>
    </row>
    <row r="340" spans="1:26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  <c r="Y340" s="305"/>
      <c r="Z340" s="305"/>
    </row>
    <row r="341" spans="1:26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  <c r="Y341" s="305"/>
      <c r="Z341" s="305"/>
    </row>
    <row r="342" spans="1:26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  <c r="Y342" s="305"/>
      <c r="Z342" s="305"/>
    </row>
    <row r="343" spans="1:26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  <c r="Y343" s="305"/>
      <c r="Z343" s="305"/>
    </row>
    <row r="344" spans="1:26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  <c r="Y344" s="305"/>
      <c r="Z344" s="305"/>
    </row>
    <row r="345" spans="1:26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  <c r="Y345" s="305"/>
      <c r="Z345" s="305"/>
    </row>
    <row r="346" spans="1:26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  <c r="Y346" s="305"/>
      <c r="Z346" s="305"/>
    </row>
    <row r="347" spans="1:26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  <c r="Y347" s="305"/>
      <c r="Z347" s="305"/>
    </row>
    <row r="348" spans="1:26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  <c r="Y348" s="305"/>
      <c r="Z348" s="305"/>
    </row>
    <row r="349" spans="1:26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  <c r="Y349" s="305"/>
      <c r="Z349" s="305"/>
    </row>
    <row r="350" spans="1:26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  <c r="Y350" s="305"/>
      <c r="Z350" s="305"/>
    </row>
    <row r="351" spans="1:26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  <c r="Y351" s="305"/>
      <c r="Z351" s="305"/>
    </row>
    <row r="352" spans="1:26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  <c r="Y352" s="305"/>
      <c r="Z352" s="305"/>
    </row>
    <row r="353" spans="1:26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  <c r="Y353" s="305"/>
      <c r="Z353" s="305"/>
    </row>
    <row r="354" spans="1:26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  <c r="Y354" s="305"/>
      <c r="Z354" s="305"/>
    </row>
    <row r="355" spans="1:26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  <c r="Y355" s="305"/>
      <c r="Z355" s="305"/>
    </row>
    <row r="356" spans="1:26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  <c r="Y356" s="305"/>
      <c r="Z356" s="305"/>
    </row>
    <row r="357" spans="1:26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  <c r="Y357" s="305"/>
      <c r="Z357" s="305"/>
    </row>
    <row r="358" spans="1:26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  <c r="Y358" s="305"/>
      <c r="Z358" s="305"/>
    </row>
    <row r="359" spans="1:26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  <c r="Y359" s="305"/>
      <c r="Z359" s="305"/>
    </row>
    <row r="360" spans="1:26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  <c r="Y360" s="305"/>
      <c r="Z360" s="305"/>
    </row>
    <row r="361" spans="1:26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  <c r="Y361" s="305"/>
      <c r="Z361" s="305"/>
    </row>
    <row r="362" spans="1:26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  <c r="Y362" s="305"/>
      <c r="Z362" s="305"/>
    </row>
    <row r="363" spans="1:26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  <c r="Y363" s="305"/>
      <c r="Z363" s="305"/>
    </row>
    <row r="364" spans="1:26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  <c r="Y364" s="305"/>
      <c r="Z364" s="305"/>
    </row>
    <row r="365" spans="1:26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  <c r="Y365" s="305"/>
      <c r="Z365" s="305"/>
    </row>
    <row r="366" spans="1:26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  <c r="Y366" s="305"/>
      <c r="Z366" s="305"/>
    </row>
    <row r="367" spans="1:26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  <c r="Y367" s="305"/>
      <c r="Z367" s="305"/>
    </row>
    <row r="368" spans="1:26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  <c r="Y368" s="305"/>
      <c r="Z368" s="305"/>
    </row>
    <row r="369" spans="1:26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  <c r="Y369" s="305"/>
      <c r="Z369" s="305"/>
    </row>
    <row r="370" spans="1:26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  <c r="Y370" s="305"/>
      <c r="Z370" s="305"/>
    </row>
    <row r="371" spans="1:26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  <c r="Y371" s="305"/>
      <c r="Z371" s="305"/>
    </row>
    <row r="372" spans="1:26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  <c r="Y372" s="305"/>
      <c r="Z372" s="305"/>
    </row>
    <row r="373" spans="1:26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</row>
    <row r="374" spans="1:26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  <c r="Y374" s="305"/>
      <c r="Z374" s="305"/>
    </row>
    <row r="375" spans="1:26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  <c r="Y375" s="305"/>
      <c r="Z375" s="305"/>
    </row>
    <row r="376" spans="1:26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  <c r="Y376" s="305"/>
      <c r="Z376" s="305"/>
    </row>
    <row r="377" spans="1:26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  <c r="Y377" s="305"/>
      <c r="Z377" s="305"/>
    </row>
    <row r="378" spans="1:26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  <c r="Y378" s="305"/>
      <c r="Z378" s="305"/>
    </row>
    <row r="379" spans="1:26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  <c r="Y379" s="305"/>
      <c r="Z379" s="305"/>
    </row>
    <row r="380" spans="1:26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  <c r="Y380" s="305"/>
      <c r="Z380" s="305"/>
    </row>
    <row r="381" spans="1:26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  <c r="Y381" s="305"/>
      <c r="Z381" s="305"/>
    </row>
    <row r="382" spans="1:26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  <c r="Y382" s="305"/>
      <c r="Z382" s="305"/>
    </row>
    <row r="383" spans="1:26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  <c r="Y383" s="305"/>
      <c r="Z383" s="305"/>
    </row>
    <row r="384" spans="1:26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  <c r="Y384" s="305"/>
      <c r="Z384" s="305"/>
    </row>
    <row r="385" spans="1:26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  <c r="Y385" s="305"/>
      <c r="Z385" s="305"/>
    </row>
    <row r="386" spans="1:26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  <c r="Y386" s="305"/>
      <c r="Z386" s="305"/>
    </row>
    <row r="387" spans="1:26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  <c r="Y387" s="305"/>
      <c r="Z387" s="305"/>
    </row>
    <row r="388" spans="1:26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  <c r="Y388" s="305"/>
      <c r="Z388" s="305"/>
    </row>
    <row r="389" spans="1:26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  <c r="Y389" s="305"/>
      <c r="Z389" s="305"/>
    </row>
    <row r="390" spans="1:26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  <c r="Y390" s="305"/>
      <c r="Z390" s="305"/>
    </row>
    <row r="391" spans="1:26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  <c r="Y391" s="305"/>
      <c r="Z391" s="305"/>
    </row>
    <row r="392" spans="1:26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  <c r="Y392" s="305"/>
      <c r="Z392" s="305"/>
    </row>
    <row r="393" spans="1:26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  <c r="Y393" s="305"/>
      <c r="Z393" s="305"/>
    </row>
    <row r="394" spans="1:26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</row>
    <row r="395" spans="1:26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  <c r="Y395" s="305"/>
      <c r="Z395" s="305"/>
    </row>
    <row r="396" spans="1:26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  <c r="Y396" s="305"/>
      <c r="Z396" s="305"/>
    </row>
    <row r="397" spans="1:26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  <c r="Y397" s="305"/>
      <c r="Z397" s="305"/>
    </row>
    <row r="398" spans="1:26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  <c r="Y398" s="305"/>
      <c r="Z398" s="305"/>
    </row>
    <row r="399" spans="1:26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  <c r="Y399" s="305"/>
      <c r="Z399" s="305"/>
    </row>
    <row r="400" spans="1:26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  <c r="Y400" s="305"/>
      <c r="Z400" s="305"/>
    </row>
    <row r="401" spans="1:26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  <c r="Y401" s="305"/>
      <c r="Z401" s="305"/>
    </row>
    <row r="402" spans="1:26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  <c r="Y402" s="305"/>
      <c r="Z402" s="305"/>
    </row>
    <row r="403" spans="1:26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  <c r="Y403" s="305"/>
      <c r="Z403" s="305"/>
    </row>
    <row r="404" spans="1:26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  <c r="Y404" s="305"/>
      <c r="Z404" s="305"/>
    </row>
    <row r="405" spans="1:26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  <c r="Y405" s="305"/>
      <c r="Z405" s="305"/>
    </row>
    <row r="406" spans="1:26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  <c r="Y406" s="305"/>
      <c r="Z406" s="305"/>
    </row>
    <row r="407" spans="1:26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  <c r="Y407" s="305"/>
      <c r="Z407" s="305"/>
    </row>
    <row r="408" spans="1:26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  <c r="Y408" s="305"/>
      <c r="Z408" s="305"/>
    </row>
    <row r="409" spans="1:26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  <c r="Y409" s="305"/>
      <c r="Z409" s="305"/>
    </row>
    <row r="410" spans="1:26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  <c r="Y410" s="305"/>
      <c r="Z410" s="305"/>
    </row>
    <row r="411" spans="1:26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  <c r="Y411" s="305"/>
      <c r="Z411" s="305"/>
    </row>
    <row r="412" spans="1:26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  <c r="Y412" s="305"/>
      <c r="Z412" s="305"/>
    </row>
    <row r="413" spans="1:26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  <c r="Y413" s="305"/>
      <c r="Z413" s="305"/>
    </row>
    <row r="414" spans="1:26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  <c r="Y414" s="305"/>
      <c r="Z414" s="305"/>
    </row>
    <row r="415" spans="1:26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  <c r="Y415" s="305"/>
      <c r="Z415" s="305"/>
    </row>
    <row r="416" spans="1:26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  <c r="Y416" s="305"/>
      <c r="Z416" s="305"/>
    </row>
    <row r="417" spans="1:26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  <c r="Y417" s="305"/>
      <c r="Z417" s="305"/>
    </row>
    <row r="418" spans="1:26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  <c r="Y418" s="305"/>
      <c r="Z418" s="305"/>
    </row>
    <row r="419" spans="1:26" ht="15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  <c r="Y419" s="305"/>
      <c r="Z419" s="305"/>
    </row>
    <row r="420" spans="1:26" ht="15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  <c r="Y420" s="305"/>
      <c r="Z420" s="305"/>
    </row>
    <row r="421" spans="1:26" ht="15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  <c r="Y421" s="305"/>
      <c r="Z421" s="305"/>
    </row>
    <row r="422" spans="1:26" ht="15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  <c r="Y422" s="305"/>
      <c r="Z422" s="305"/>
    </row>
    <row r="423" spans="1:26" ht="15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  <c r="Y423" s="305"/>
      <c r="Z423" s="305"/>
    </row>
    <row r="424" spans="1:26" ht="15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  <c r="Y424" s="305"/>
      <c r="Z424" s="305"/>
    </row>
    <row r="425" spans="1:26" ht="15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  <c r="Y425" s="305"/>
      <c r="Z425" s="305"/>
    </row>
    <row r="426" spans="1:26" ht="15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  <c r="Y426" s="305"/>
      <c r="Z426" s="305"/>
    </row>
    <row r="427" spans="1:26" ht="15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  <c r="Y427" s="305"/>
      <c r="Z427" s="305"/>
    </row>
    <row r="428" spans="1:26" ht="15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  <c r="Y428" s="305"/>
      <c r="Z428" s="305"/>
    </row>
    <row r="429" spans="1:26" ht="15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  <c r="Y429" s="305"/>
      <c r="Z429" s="305"/>
    </row>
    <row r="430" spans="1:26" ht="15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  <c r="Y430" s="305"/>
      <c r="Z430" s="305"/>
    </row>
    <row r="431" spans="1:26" ht="15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  <c r="Y431" s="305"/>
      <c r="Z431" s="305"/>
    </row>
    <row r="432" spans="1:26" ht="15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  <c r="Y432" s="305"/>
      <c r="Z432" s="305"/>
    </row>
    <row r="433" spans="1:26" ht="15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  <c r="Y433" s="305"/>
      <c r="Z433" s="305"/>
    </row>
    <row r="434" spans="1:26" ht="15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  <c r="Y434" s="305"/>
      <c r="Z434" s="305"/>
    </row>
    <row r="435" spans="1:26" ht="15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  <c r="Y435" s="305"/>
      <c r="Z435" s="305"/>
    </row>
    <row r="436" spans="1:26" ht="15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  <c r="Y436" s="305"/>
      <c r="Z436" s="305"/>
    </row>
    <row r="437" spans="1:26" ht="15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  <c r="Y437" s="305"/>
      <c r="Z437" s="305"/>
    </row>
    <row r="438" spans="1:26" ht="15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  <c r="Y438" s="305"/>
      <c r="Z438" s="305"/>
    </row>
    <row r="439" spans="1:26" ht="15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  <c r="Y439" s="305"/>
      <c r="Z439" s="305"/>
    </row>
    <row r="440" spans="1:26" ht="15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  <c r="Y440" s="305"/>
      <c r="Z440" s="305"/>
    </row>
    <row r="441" spans="1:26" ht="15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  <c r="Y441" s="305"/>
      <c r="Z441" s="305"/>
    </row>
    <row r="442" spans="1:26" ht="15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  <c r="Y442" s="305"/>
      <c r="Z442" s="305"/>
    </row>
    <row r="443" spans="1:26" ht="15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  <c r="Y443" s="305"/>
      <c r="Z443" s="305"/>
    </row>
    <row r="444" spans="1:26" ht="15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  <c r="Y444" s="305"/>
      <c r="Z444" s="305"/>
    </row>
    <row r="445" spans="1:26" ht="15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  <c r="Y445" s="305"/>
      <c r="Z445" s="305"/>
    </row>
    <row r="446" spans="1:26" ht="15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  <c r="Y446" s="305"/>
      <c r="Z446" s="305"/>
    </row>
    <row r="447" spans="1:26" ht="15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  <c r="Y447" s="305"/>
      <c r="Z447" s="305"/>
    </row>
    <row r="448" spans="1:26" ht="15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  <c r="Y448" s="305"/>
      <c r="Z448" s="305"/>
    </row>
    <row r="449" spans="1:26" ht="15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  <c r="Y449" s="305"/>
      <c r="Z449" s="305"/>
    </row>
    <row r="450" spans="1:26" ht="15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  <c r="Y450" s="305"/>
      <c r="Z450" s="305"/>
    </row>
    <row r="451" spans="1:26" ht="15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  <c r="Y451" s="305"/>
      <c r="Z451" s="305"/>
    </row>
    <row r="452" spans="1:26" ht="15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  <c r="Y452" s="305"/>
      <c r="Z452" s="305"/>
    </row>
    <row r="453" spans="1:26" ht="15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  <c r="Y453" s="305"/>
      <c r="Z453" s="305"/>
    </row>
    <row r="454" spans="1:26" ht="15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  <c r="Y454" s="305"/>
      <c r="Z454" s="305"/>
    </row>
    <row r="455" spans="1:26" ht="15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  <c r="Y455" s="305"/>
      <c r="Z455" s="305"/>
    </row>
    <row r="456" spans="1:26" ht="15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  <c r="Y456" s="305"/>
      <c r="Z456" s="305"/>
    </row>
    <row r="457" spans="1:26" ht="15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  <c r="Y457" s="305"/>
      <c r="Z457" s="305"/>
    </row>
    <row r="458" spans="1:26" ht="15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  <c r="Y458" s="305"/>
      <c r="Z458" s="305"/>
    </row>
    <row r="459" spans="1:26" ht="15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  <c r="Y459" s="305"/>
      <c r="Z459" s="305"/>
    </row>
    <row r="460" spans="1:26" ht="15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  <c r="Y460" s="305"/>
      <c r="Z460" s="305"/>
    </row>
    <row r="461" spans="1:26" ht="15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  <c r="Y461" s="305"/>
      <c r="Z461" s="305"/>
    </row>
    <row r="462" spans="1:26" ht="15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  <c r="Y462" s="305"/>
      <c r="Z462" s="305"/>
    </row>
    <row r="463" spans="1:26" ht="15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  <c r="Y463" s="305"/>
      <c r="Z463" s="305"/>
    </row>
    <row r="464" spans="1:26" ht="15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  <c r="Y464" s="305"/>
      <c r="Z464" s="305"/>
    </row>
    <row r="465" spans="1:26" ht="15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  <c r="Y465" s="305"/>
      <c r="Z465" s="305"/>
    </row>
    <row r="466" spans="1:26" ht="15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  <c r="Y466" s="305"/>
      <c r="Z466" s="305"/>
    </row>
    <row r="467" spans="1:26" ht="15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  <c r="Z467" s="305"/>
    </row>
    <row r="468" spans="1:26" ht="15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  <c r="Y468" s="305"/>
      <c r="Z468" s="305"/>
    </row>
    <row r="469" spans="1:26" ht="15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  <c r="Y469" s="305"/>
      <c r="Z469" s="305"/>
    </row>
    <row r="470" spans="1:26" ht="15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  <c r="Y470" s="305"/>
      <c r="Z470" s="305"/>
    </row>
    <row r="471" spans="1:26" ht="15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  <c r="Y471" s="305"/>
      <c r="Z471" s="305"/>
    </row>
    <row r="472" spans="1:26" ht="15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  <c r="Y472" s="305"/>
      <c r="Z472" s="305"/>
    </row>
    <row r="473" spans="1:26" ht="15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  <c r="Y473" s="305"/>
      <c r="Z473" s="305"/>
    </row>
    <row r="474" spans="1:26" ht="15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  <c r="Y474" s="305"/>
      <c r="Z474" s="305"/>
    </row>
    <row r="475" spans="1:26" ht="15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  <c r="Y475" s="305"/>
      <c r="Z475" s="305"/>
    </row>
    <row r="476" spans="1:26" ht="15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  <c r="Y476" s="305"/>
      <c r="Z476" s="305"/>
    </row>
    <row r="477" spans="1:26" ht="15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  <c r="Y477" s="305"/>
      <c r="Z477" s="305"/>
    </row>
    <row r="478" spans="1:26" ht="15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  <c r="Y478" s="305"/>
      <c r="Z478" s="305"/>
    </row>
    <row r="479" spans="1:26" ht="15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  <c r="Y479" s="305"/>
      <c r="Z479" s="305"/>
    </row>
    <row r="480" spans="1:26" ht="15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  <c r="Y480" s="305"/>
      <c r="Z480" s="305"/>
    </row>
    <row r="481" spans="1:26" ht="15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  <c r="Y481" s="305"/>
      <c r="Z481" s="305"/>
    </row>
    <row r="482" spans="1:26" ht="15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  <c r="Y482" s="305"/>
      <c r="Z482" s="305"/>
    </row>
    <row r="483" spans="1:26" ht="15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  <c r="Y483" s="305"/>
      <c r="Z483" s="305"/>
    </row>
    <row r="484" spans="1:26" ht="15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  <c r="Y484" s="305"/>
      <c r="Z484" s="305"/>
    </row>
    <row r="485" spans="1:26" ht="15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  <c r="Y485" s="305"/>
      <c r="Z485" s="305"/>
    </row>
    <row r="486" spans="1:26" ht="15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  <c r="Y486" s="305"/>
      <c r="Z486" s="305"/>
    </row>
    <row r="487" spans="1:26" ht="15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  <c r="Y487" s="305"/>
      <c r="Z487" s="305"/>
    </row>
    <row r="488" spans="1:26" ht="15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  <c r="Y488" s="305"/>
      <c r="Z488" s="305"/>
    </row>
    <row r="489" spans="1:26" ht="15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  <c r="Y489" s="305"/>
      <c r="Z489" s="305"/>
    </row>
    <row r="490" spans="1:26" ht="15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  <c r="Y490" s="305"/>
      <c r="Z490" s="305"/>
    </row>
    <row r="491" spans="1:26" ht="15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  <c r="Y491" s="305"/>
      <c r="Z491" s="305"/>
    </row>
    <row r="492" spans="1:26" ht="15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  <c r="Y492" s="305"/>
      <c r="Z492" s="305"/>
    </row>
    <row r="493" spans="1:26" ht="15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  <c r="Y493" s="305"/>
      <c r="Z493" s="305"/>
    </row>
    <row r="494" spans="1:26" ht="15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  <c r="Y494" s="305"/>
      <c r="Z494" s="305"/>
    </row>
    <row r="495" spans="1:26" ht="15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  <c r="Y495" s="305"/>
      <c r="Z495" s="305"/>
    </row>
    <row r="496" spans="1:26" ht="15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  <c r="Y496" s="305"/>
      <c r="Z496" s="305"/>
    </row>
    <row r="497" spans="1:26" ht="15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  <c r="Y497" s="305"/>
      <c r="Z497" s="305"/>
    </row>
    <row r="498" spans="1:26" ht="15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  <c r="Y498" s="305"/>
      <c r="Z498" s="305"/>
    </row>
    <row r="499" spans="1:26" ht="15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  <c r="Y499" s="305"/>
      <c r="Z499" s="305"/>
    </row>
    <row r="500" spans="1:26" ht="15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  <c r="Y500" s="305"/>
      <c r="Z500" s="305"/>
    </row>
    <row r="501" spans="1:26" ht="15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  <c r="Y501" s="305"/>
      <c r="Z501" s="305"/>
    </row>
    <row r="502" spans="1:26" ht="15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  <c r="Y502" s="305"/>
      <c r="Z502" s="305"/>
    </row>
    <row r="503" spans="1:26" ht="15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  <c r="Y503" s="305"/>
      <c r="Z503" s="305"/>
    </row>
    <row r="504" spans="1:26" ht="15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  <c r="Y504" s="305"/>
      <c r="Z504" s="305"/>
    </row>
    <row r="505" spans="1:26" ht="15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  <c r="Y505" s="305"/>
      <c r="Z505" s="305"/>
    </row>
    <row r="506" spans="1:26" ht="15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  <c r="Y506" s="305"/>
      <c r="Z506" s="305"/>
    </row>
    <row r="507" spans="1:26" ht="15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  <c r="Y507" s="305"/>
      <c r="Z507" s="305"/>
    </row>
    <row r="508" spans="1:26" ht="15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  <c r="Y508" s="305"/>
      <c r="Z508" s="305"/>
    </row>
    <row r="509" spans="1:26" ht="15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  <c r="Y509" s="305"/>
      <c r="Z509" s="305"/>
    </row>
    <row r="510" spans="1:26" ht="15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  <c r="Y510" s="305"/>
      <c r="Z510" s="305"/>
    </row>
    <row r="511" spans="1:26" ht="15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  <c r="Y511" s="305"/>
      <c r="Z511" s="305"/>
    </row>
    <row r="512" spans="1:26" ht="15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  <c r="Y512" s="305"/>
      <c r="Z512" s="305"/>
    </row>
    <row r="513" spans="1:26" ht="15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  <c r="Y513" s="305"/>
      <c r="Z513" s="305"/>
    </row>
    <row r="514" spans="1:26" ht="15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  <c r="Y514" s="305"/>
      <c r="Z514" s="305"/>
    </row>
    <row r="515" spans="1:26" ht="15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  <c r="Y515" s="305"/>
      <c r="Z515" s="305"/>
    </row>
    <row r="516" spans="1:26" ht="15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  <c r="Y516" s="305"/>
      <c r="Z516" s="305"/>
    </row>
    <row r="517" spans="1:26" ht="15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  <c r="Y517" s="305"/>
      <c r="Z517" s="305"/>
    </row>
    <row r="518" spans="1:26" ht="15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  <c r="Y518" s="305"/>
      <c r="Z518" s="305"/>
    </row>
    <row r="519" spans="1:26" ht="15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  <c r="Y519" s="305"/>
      <c r="Z519" s="305"/>
    </row>
    <row r="520" spans="1:26" ht="15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  <c r="Y520" s="305"/>
      <c r="Z520" s="305"/>
    </row>
    <row r="521" spans="1:26" ht="15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  <c r="Y521" s="305"/>
      <c r="Z521" s="305"/>
    </row>
    <row r="522" spans="1:26" ht="15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  <c r="Y522" s="305"/>
      <c r="Z522" s="305"/>
    </row>
    <row r="523" spans="1:26" ht="15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</row>
    <row r="524" spans="1:26" ht="15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  <c r="Y524" s="305"/>
      <c r="Z524" s="305"/>
    </row>
    <row r="525" spans="1:26" ht="15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  <c r="Y525" s="305"/>
      <c r="Z525" s="305"/>
    </row>
    <row r="526" spans="1:26" ht="15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  <c r="Y526" s="305"/>
      <c r="Z526" s="305"/>
    </row>
    <row r="527" spans="1:26" ht="15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  <c r="Y527" s="305"/>
      <c r="Z527" s="305"/>
    </row>
    <row r="528" spans="1:26" ht="15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  <c r="Y528" s="305"/>
      <c r="Z528" s="305"/>
    </row>
    <row r="529" spans="1:26" ht="15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  <c r="Y529" s="305"/>
      <c r="Z529" s="305"/>
    </row>
    <row r="530" spans="1:26" ht="15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  <c r="Y530" s="305"/>
      <c r="Z530" s="305"/>
    </row>
    <row r="531" spans="1:26" ht="15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  <c r="Y531" s="305"/>
      <c r="Z531" s="305"/>
    </row>
    <row r="532" spans="1:26" ht="15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  <c r="Y532" s="305"/>
      <c r="Z532" s="305"/>
    </row>
    <row r="533" spans="1:26" ht="15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  <c r="Y533" s="305"/>
      <c r="Z533" s="305"/>
    </row>
    <row r="534" spans="1:26" ht="15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  <c r="Y534" s="305"/>
      <c r="Z534" s="305"/>
    </row>
    <row r="535" spans="1:26" ht="15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  <c r="Y535" s="305"/>
      <c r="Z535" s="305"/>
    </row>
    <row r="536" spans="1:26" ht="15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  <c r="Y536" s="305"/>
      <c r="Z536" s="305"/>
    </row>
    <row r="537" spans="1:26" ht="15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  <c r="Y537" s="305"/>
      <c r="Z537" s="305"/>
    </row>
    <row r="538" spans="1:26" ht="15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  <c r="Y538" s="305"/>
      <c r="Z538" s="305"/>
    </row>
    <row r="539" spans="1:26" ht="15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  <c r="Y539" s="305"/>
      <c r="Z539" s="305"/>
    </row>
    <row r="540" spans="1:26" ht="15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  <c r="Y540" s="305"/>
      <c r="Z540" s="305"/>
    </row>
    <row r="541" spans="1:26" ht="15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  <c r="Y541" s="305"/>
      <c r="Z541" s="305"/>
    </row>
    <row r="542" spans="1:26" ht="15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  <c r="Y542" s="305"/>
      <c r="Z542" s="305"/>
    </row>
    <row r="543" spans="1:26" ht="15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</row>
    <row r="544" spans="1:26" ht="15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</row>
    <row r="545" spans="1:26" ht="15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  <c r="Y545" s="305"/>
      <c r="Z545" s="305"/>
    </row>
    <row r="546" spans="1:26" ht="15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  <c r="Y546" s="305"/>
      <c r="Z546" s="305"/>
    </row>
    <row r="547" spans="1:26" ht="15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  <c r="Y547" s="305"/>
      <c r="Z547" s="305"/>
    </row>
    <row r="548" spans="1:26" ht="15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</row>
    <row r="549" spans="1:26" ht="15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  <c r="Y549" s="305"/>
      <c r="Z549" s="305"/>
    </row>
    <row r="550" spans="1:26" ht="15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  <c r="Y550" s="305"/>
      <c r="Z550" s="305"/>
    </row>
    <row r="551" spans="1:26" ht="15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  <c r="Y551" s="305"/>
      <c r="Z551" s="305"/>
    </row>
    <row r="552" spans="1:26" ht="15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  <c r="Y552" s="305"/>
      <c r="Z552" s="305"/>
    </row>
    <row r="553" spans="1:26" ht="15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  <c r="Y553" s="305"/>
      <c r="Z553" s="305"/>
    </row>
    <row r="554" spans="1:26" ht="15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  <c r="Y554" s="305"/>
      <c r="Z554" s="305"/>
    </row>
    <row r="555" spans="1:26" ht="15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  <c r="Y555" s="305"/>
      <c r="Z555" s="305"/>
    </row>
    <row r="556" spans="1:26" ht="15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  <c r="Y556" s="305"/>
      <c r="Z556" s="305"/>
    </row>
    <row r="557" spans="1:26" ht="15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  <c r="Y557" s="305"/>
      <c r="Z557" s="305"/>
    </row>
    <row r="558" spans="1:26" ht="15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  <c r="Y558" s="305"/>
      <c r="Z558" s="305"/>
    </row>
    <row r="559" spans="1:26" ht="15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  <c r="Y559" s="305"/>
      <c r="Z559" s="305"/>
    </row>
    <row r="560" spans="1:26" ht="15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</row>
    <row r="561" spans="1:26" ht="15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  <c r="Y561" s="305"/>
      <c r="Z561" s="305"/>
    </row>
    <row r="562" spans="1:26" ht="15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  <c r="Y562" s="305"/>
      <c r="Z562" s="305"/>
    </row>
    <row r="563" spans="1:26" ht="15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  <c r="Y563" s="305"/>
      <c r="Z563" s="305"/>
    </row>
    <row r="564" spans="1:26" ht="15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  <c r="Y564" s="305"/>
      <c r="Z564" s="305"/>
    </row>
    <row r="565" spans="1:26" ht="15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  <c r="Y565" s="305"/>
      <c r="Z565" s="305"/>
    </row>
    <row r="566" spans="1:26" ht="15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  <c r="Y566" s="305"/>
      <c r="Z566" s="305"/>
    </row>
    <row r="567" spans="1:26" ht="15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  <c r="Y567" s="305"/>
      <c r="Z567" s="305"/>
    </row>
    <row r="568" spans="1:26" ht="15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  <c r="Y568" s="305"/>
      <c r="Z568" s="305"/>
    </row>
    <row r="569" spans="1:26" ht="15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  <c r="Y569" s="305"/>
      <c r="Z569" s="305"/>
    </row>
    <row r="570" spans="1:26" ht="15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  <c r="Y570" s="305"/>
      <c r="Z570" s="305"/>
    </row>
    <row r="571" spans="1:26" ht="15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  <c r="Y571" s="305"/>
      <c r="Z571" s="305"/>
    </row>
    <row r="572" spans="1:26" ht="15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  <c r="Y572" s="305"/>
      <c r="Z572" s="305"/>
    </row>
    <row r="573" spans="1:26" ht="15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  <c r="Y573" s="305"/>
      <c r="Z573" s="305"/>
    </row>
    <row r="574" spans="1:26" ht="15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  <c r="Y574" s="305"/>
      <c r="Z574" s="305"/>
    </row>
    <row r="575" spans="1:26" ht="15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  <c r="Y575" s="305"/>
      <c r="Z575" s="305"/>
    </row>
    <row r="576" spans="1:26" ht="15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  <c r="Y576" s="305"/>
      <c r="Z576" s="305"/>
    </row>
    <row r="577" spans="1:26" ht="15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</row>
    <row r="578" spans="1:26" ht="15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</row>
    <row r="579" spans="1:26" ht="15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  <c r="Y579" s="305"/>
      <c r="Z579" s="305"/>
    </row>
    <row r="580" spans="1:26" ht="15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  <c r="Y580" s="305"/>
      <c r="Z580" s="305"/>
    </row>
    <row r="581" spans="1:26" ht="15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  <c r="Y581" s="305"/>
      <c r="Z581" s="305"/>
    </row>
    <row r="582" spans="1:26" ht="15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  <c r="Y582" s="305"/>
      <c r="Z582" s="305"/>
    </row>
    <row r="583" spans="1:26" ht="15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  <c r="Y583" s="305"/>
      <c r="Z583" s="305"/>
    </row>
    <row r="584" spans="1:26" ht="15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  <c r="Y584" s="305"/>
      <c r="Z584" s="305"/>
    </row>
    <row r="585" spans="1:26" ht="15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  <c r="Y585" s="305"/>
      <c r="Z585" s="305"/>
    </row>
    <row r="586" spans="1:26" ht="15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  <c r="Y586" s="305"/>
      <c r="Z586" s="305"/>
    </row>
    <row r="587" spans="1:26" ht="15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  <c r="Y587" s="305"/>
      <c r="Z587" s="305"/>
    </row>
    <row r="588" spans="1:26" ht="15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  <c r="Y588" s="305"/>
      <c r="Z588" s="305"/>
    </row>
    <row r="589" spans="1:26" ht="15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  <c r="Y589" s="305"/>
      <c r="Z589" s="305"/>
    </row>
    <row r="590" spans="1:26" ht="15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  <c r="Y590" s="305"/>
      <c r="Z590" s="305"/>
    </row>
    <row r="591" spans="1:26" ht="15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  <c r="Y591" s="305"/>
      <c r="Z591" s="305"/>
    </row>
    <row r="592" spans="1:26" ht="15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  <c r="Y592" s="305"/>
      <c r="Z592" s="305"/>
    </row>
    <row r="593" spans="1:26" ht="15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  <c r="Y593" s="305"/>
      <c r="Z593" s="305"/>
    </row>
    <row r="594" spans="1:26" ht="15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  <c r="Y594" s="305"/>
      <c r="Z594" s="305"/>
    </row>
    <row r="595" spans="1:26" ht="15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  <c r="Y595" s="305"/>
      <c r="Z595" s="305"/>
    </row>
    <row r="596" spans="1:26" ht="15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  <c r="Y596" s="305"/>
      <c r="Z596" s="305"/>
    </row>
    <row r="597" spans="1:26" ht="15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  <c r="Y597" s="305"/>
      <c r="Z597" s="305"/>
    </row>
    <row r="598" spans="1:26" ht="15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  <c r="Y598" s="305"/>
      <c r="Z598" s="305"/>
    </row>
    <row r="599" spans="1:26" ht="15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  <c r="Y599" s="305"/>
      <c r="Z599" s="305"/>
    </row>
    <row r="600" spans="1:26" ht="15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  <c r="Y600" s="305"/>
      <c r="Z600" s="305"/>
    </row>
    <row r="601" spans="1:26" ht="15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  <c r="Y601" s="305"/>
      <c r="Z601" s="305"/>
    </row>
    <row r="602" spans="1:26" ht="15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</row>
    <row r="603" spans="1:26" ht="15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  <c r="Y603" s="305"/>
      <c r="Z603" s="305"/>
    </row>
    <row r="604" spans="1:26" ht="15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  <c r="Y604" s="305"/>
      <c r="Z604" s="305"/>
    </row>
    <row r="605" spans="1:26" ht="15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</row>
    <row r="606" spans="1:26" ht="15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  <c r="Y606" s="305"/>
      <c r="Z606" s="305"/>
    </row>
    <row r="607" spans="1:26" ht="15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  <c r="Y607" s="305"/>
      <c r="Z607" s="305"/>
    </row>
    <row r="608" spans="1:26" ht="15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  <c r="Y608" s="305"/>
      <c r="Z608" s="305"/>
    </row>
    <row r="609" spans="1:26" ht="15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  <c r="Y609" s="305"/>
      <c r="Z609" s="305"/>
    </row>
    <row r="610" spans="1:26" ht="15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  <c r="Y610" s="305"/>
      <c r="Z610" s="305"/>
    </row>
    <row r="611" spans="1:26" ht="15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  <c r="Y611" s="305"/>
      <c r="Z611" s="305"/>
    </row>
    <row r="612" spans="1:26" ht="15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  <c r="Y612" s="305"/>
      <c r="Z612" s="305"/>
    </row>
    <row r="613" spans="1:26" ht="15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  <c r="Y613" s="305"/>
      <c r="Z613" s="305"/>
    </row>
    <row r="614" spans="1:26" ht="15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  <c r="Y614" s="305"/>
      <c r="Z614" s="305"/>
    </row>
    <row r="615" spans="1:26" ht="15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  <c r="Y615" s="305"/>
      <c r="Z615" s="305"/>
    </row>
    <row r="616" spans="1:26" ht="15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  <c r="Y616" s="305"/>
      <c r="Z616" s="305"/>
    </row>
    <row r="617" spans="1:26" ht="15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  <c r="Y617" s="305"/>
      <c r="Z617" s="305"/>
    </row>
    <row r="618" spans="1:26" ht="15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  <c r="Y618" s="305"/>
      <c r="Z618" s="305"/>
    </row>
    <row r="619" spans="1:26" ht="15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  <c r="Y619" s="305"/>
      <c r="Z619" s="305"/>
    </row>
    <row r="620" spans="1:26" ht="15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  <c r="Y620" s="305"/>
      <c r="Z620" s="305"/>
    </row>
    <row r="621" spans="1:26" ht="15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  <c r="Y621" s="305"/>
      <c r="Z621" s="305"/>
    </row>
    <row r="622" spans="1:26" ht="15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  <c r="Y622" s="305"/>
      <c r="Z622" s="305"/>
    </row>
    <row r="623" spans="1:26" ht="15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  <c r="Y623" s="305"/>
      <c r="Z623" s="305"/>
    </row>
    <row r="624" spans="1:26" ht="15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  <c r="Y624" s="305"/>
      <c r="Z624" s="305"/>
    </row>
    <row r="625" spans="1:26" ht="15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  <c r="Y625" s="305"/>
      <c r="Z625" s="305"/>
    </row>
    <row r="626" spans="1:26" ht="15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  <c r="Y626" s="305"/>
      <c r="Z626" s="305"/>
    </row>
    <row r="627" spans="1:26" ht="15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  <c r="Y627" s="305"/>
      <c r="Z627" s="305"/>
    </row>
    <row r="628" spans="1:26" ht="15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  <c r="Y628" s="305"/>
      <c r="Z628" s="305"/>
    </row>
    <row r="629" spans="1:26" ht="15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  <c r="Y629" s="305"/>
      <c r="Z629" s="305"/>
    </row>
    <row r="630" spans="1:26" ht="15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  <c r="Y630" s="305"/>
      <c r="Z630" s="305"/>
    </row>
    <row r="631" spans="1:26" ht="15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  <c r="Y631" s="305"/>
      <c r="Z631" s="305"/>
    </row>
    <row r="632" spans="1:26" ht="15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  <c r="Y632" s="305"/>
      <c r="Z632" s="305"/>
    </row>
    <row r="633" spans="1:26" ht="15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  <c r="Y633" s="305"/>
      <c r="Z633" s="305"/>
    </row>
    <row r="634" spans="1:26" ht="15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  <c r="Y634" s="305"/>
      <c r="Z634" s="305"/>
    </row>
    <row r="635" spans="1:26" ht="15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  <c r="Y635" s="305"/>
      <c r="Z635" s="305"/>
    </row>
    <row r="636" spans="1:26" ht="15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  <c r="Y636" s="305"/>
      <c r="Z636" s="305"/>
    </row>
    <row r="637" spans="1:26" ht="15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  <c r="Y637" s="305"/>
      <c r="Z637" s="305"/>
    </row>
    <row r="638" spans="1:26" ht="15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  <c r="Y638" s="305"/>
      <c r="Z638" s="305"/>
    </row>
    <row r="639" spans="1:26" ht="15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  <c r="Y639" s="305"/>
      <c r="Z639" s="305"/>
    </row>
    <row r="640" spans="1:26" ht="15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  <c r="Y640" s="305"/>
      <c r="Z640" s="305"/>
    </row>
    <row r="641" spans="1:26" ht="15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</row>
    <row r="642" spans="1:26" ht="15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  <c r="Y642" s="305"/>
      <c r="Z642" s="305"/>
    </row>
    <row r="643" spans="1:26" ht="15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  <c r="Y643" s="305"/>
      <c r="Z643" s="305"/>
    </row>
    <row r="644" spans="1:26" ht="15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  <c r="Y644" s="305"/>
      <c r="Z644" s="305"/>
    </row>
    <row r="645" spans="1:26" ht="15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  <c r="Y645" s="305"/>
      <c r="Z645" s="305"/>
    </row>
    <row r="646" spans="1:26" ht="15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  <c r="Y646" s="305"/>
      <c r="Z646" s="305"/>
    </row>
    <row r="647" spans="1:26" ht="15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  <c r="Y647" s="305"/>
      <c r="Z647" s="305"/>
    </row>
    <row r="648" spans="1:26" ht="15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  <c r="Y648" s="305"/>
      <c r="Z648" s="305"/>
    </row>
    <row r="649" spans="1:26" ht="15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</row>
    <row r="650" spans="1:26" ht="15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</row>
    <row r="651" spans="1:26" ht="15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</row>
    <row r="652" spans="1:26" ht="15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</row>
    <row r="653" spans="1:26" ht="15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</row>
    <row r="654" spans="1:26" ht="15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</row>
    <row r="655" spans="1:26" ht="15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</row>
    <row r="656" spans="1:26" ht="15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</row>
    <row r="657" spans="1:26" ht="15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</row>
    <row r="658" spans="1:26" ht="15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</row>
    <row r="659" spans="1:26" ht="15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</row>
    <row r="660" spans="1:26" ht="15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</row>
    <row r="661" spans="1:26" ht="15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</row>
    <row r="662" spans="1:26" ht="15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</row>
    <row r="663" spans="1:26" ht="15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</row>
    <row r="664" spans="1:26" ht="15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  <c r="Y664" s="305"/>
      <c r="Z664" s="305"/>
    </row>
    <row r="665" spans="1:26" ht="15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  <c r="Y665" s="305"/>
      <c r="Z665" s="305"/>
    </row>
    <row r="666" spans="1:26" ht="15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  <c r="Y666" s="305"/>
      <c r="Z666" s="305"/>
    </row>
    <row r="667" spans="1:26" ht="15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</row>
    <row r="668" spans="1:26" ht="15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  <c r="Y668" s="305"/>
      <c r="Z668" s="305"/>
    </row>
    <row r="669" spans="1:26" ht="15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  <c r="Y669" s="305"/>
      <c r="Z669" s="305"/>
    </row>
    <row r="670" spans="1:26" ht="15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</row>
    <row r="671" spans="1:26" ht="15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</row>
    <row r="672" spans="1:26" ht="15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  <c r="Y672" s="305"/>
      <c r="Z672" s="305"/>
    </row>
    <row r="673" spans="1:26" ht="15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  <c r="Y673" s="305"/>
      <c r="Z673" s="305"/>
    </row>
    <row r="674" spans="1:26" ht="15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  <c r="Y674" s="305"/>
      <c r="Z674" s="305"/>
    </row>
    <row r="675" spans="1:26" ht="15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  <c r="Y675" s="305"/>
      <c r="Z675" s="305"/>
    </row>
    <row r="676" spans="1:26" ht="15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  <c r="Y676" s="305"/>
      <c r="Z676" s="305"/>
    </row>
    <row r="677" spans="1:26" ht="15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  <c r="Y677" s="305"/>
      <c r="Z677" s="305"/>
    </row>
    <row r="678" spans="1:26" ht="15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  <c r="Y678" s="305"/>
      <c r="Z678" s="305"/>
    </row>
    <row r="679" spans="1:26" ht="15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  <c r="Y679" s="305"/>
      <c r="Z679" s="305"/>
    </row>
    <row r="680" spans="1:26" ht="15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  <c r="Y680" s="305"/>
      <c r="Z680" s="305"/>
    </row>
    <row r="681" spans="1:26" ht="15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  <c r="Y681" s="305"/>
      <c r="Z681" s="305"/>
    </row>
    <row r="682" spans="1:26" ht="15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  <c r="Y682" s="305"/>
      <c r="Z682" s="305"/>
    </row>
    <row r="683" spans="1:26" ht="15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  <c r="Y683" s="305"/>
      <c r="Z683" s="305"/>
    </row>
    <row r="684" spans="1:26" ht="15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  <c r="Y684" s="305"/>
      <c r="Z684" s="305"/>
    </row>
    <row r="685" spans="1:26" ht="15.75" customHeight="1">
      <c r="A685" s="305"/>
      <c r="B685" s="305"/>
      <c r="C685" s="305"/>
      <c r="D685" s="305"/>
      <c r="E685" s="305"/>
      <c r="F685" s="305"/>
      <c r="G685" s="305"/>
      <c r="H685" s="305"/>
      <c r="I685" s="305"/>
      <c r="J685" s="305"/>
      <c r="K685" s="305"/>
      <c r="L685" s="305"/>
      <c r="M685" s="305"/>
      <c r="N685" s="305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  <c r="Y685" s="305"/>
      <c r="Z685" s="305"/>
    </row>
    <row r="686" spans="1:26" ht="15.75" customHeight="1">
      <c r="A686" s="305"/>
      <c r="B686" s="305"/>
      <c r="C686" s="305"/>
      <c r="D686" s="305"/>
      <c r="E686" s="305"/>
      <c r="F686" s="305"/>
      <c r="G686" s="305"/>
      <c r="H686" s="305"/>
      <c r="I686" s="305"/>
      <c r="J686" s="305"/>
      <c r="K686" s="305"/>
      <c r="L686" s="305"/>
      <c r="M686" s="305"/>
      <c r="N686" s="305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  <c r="Y686" s="305"/>
      <c r="Z686" s="305"/>
    </row>
    <row r="687" spans="1:26" ht="15.75" customHeight="1">
      <c r="A687" s="305"/>
      <c r="B687" s="305"/>
      <c r="C687" s="305"/>
      <c r="D687" s="305"/>
      <c r="E687" s="305"/>
      <c r="F687" s="305"/>
      <c r="G687" s="305"/>
      <c r="H687" s="305"/>
      <c r="I687" s="305"/>
      <c r="J687" s="305"/>
      <c r="K687" s="305"/>
      <c r="L687" s="305"/>
      <c r="M687" s="305"/>
      <c r="N687" s="305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  <c r="Y687" s="305"/>
      <c r="Z687" s="305"/>
    </row>
    <row r="688" spans="1:26" ht="15.75" customHeight="1">
      <c r="A688" s="305"/>
      <c r="B688" s="305"/>
      <c r="C688" s="305"/>
      <c r="D688" s="305"/>
      <c r="E688" s="305"/>
      <c r="F688" s="305"/>
      <c r="G688" s="305"/>
      <c r="H688" s="305"/>
      <c r="I688" s="305"/>
      <c r="J688" s="305"/>
      <c r="K688" s="305"/>
      <c r="L688" s="305"/>
      <c r="M688" s="305"/>
      <c r="N688" s="305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  <c r="Y688" s="305"/>
      <c r="Z688" s="305"/>
    </row>
    <row r="689" spans="1:26" ht="15.75" customHeight="1">
      <c r="A689" s="305"/>
      <c r="B689" s="305"/>
      <c r="C689" s="305"/>
      <c r="D689" s="305"/>
      <c r="E689" s="305"/>
      <c r="F689" s="305"/>
      <c r="G689" s="305"/>
      <c r="H689" s="305"/>
      <c r="I689" s="305"/>
      <c r="J689" s="305"/>
      <c r="K689" s="305"/>
      <c r="L689" s="305"/>
      <c r="M689" s="305"/>
      <c r="N689" s="305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  <c r="Y689" s="305"/>
      <c r="Z689" s="305"/>
    </row>
    <row r="690" spans="1:26" ht="15.75" customHeight="1">
      <c r="A690" s="305"/>
      <c r="B690" s="305"/>
      <c r="C690" s="305"/>
      <c r="D690" s="305"/>
      <c r="E690" s="305"/>
      <c r="F690" s="305"/>
      <c r="G690" s="305"/>
      <c r="H690" s="305"/>
      <c r="I690" s="305"/>
      <c r="J690" s="305"/>
      <c r="K690" s="305"/>
      <c r="L690" s="305"/>
      <c r="M690" s="305"/>
      <c r="N690" s="305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  <c r="Y690" s="305"/>
      <c r="Z690" s="305"/>
    </row>
    <row r="691" spans="1:26" ht="15.75" customHeight="1">
      <c r="A691" s="305"/>
      <c r="B691" s="305"/>
      <c r="C691" s="305"/>
      <c r="D691" s="305"/>
      <c r="E691" s="305"/>
      <c r="F691" s="305"/>
      <c r="G691" s="305"/>
      <c r="H691" s="305"/>
      <c r="I691" s="305"/>
      <c r="J691" s="305"/>
      <c r="K691" s="305"/>
      <c r="L691" s="305"/>
      <c r="M691" s="305"/>
      <c r="N691" s="305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  <c r="Y691" s="305"/>
      <c r="Z691" s="305"/>
    </row>
    <row r="692" spans="1:26" ht="15.75" customHeight="1">
      <c r="A692" s="305"/>
      <c r="B692" s="305"/>
      <c r="C692" s="305"/>
      <c r="D692" s="305"/>
      <c r="E692" s="305"/>
      <c r="F692" s="305"/>
      <c r="G692" s="305"/>
      <c r="H692" s="305"/>
      <c r="I692" s="305"/>
      <c r="J692" s="305"/>
      <c r="K692" s="305"/>
      <c r="L692" s="305"/>
      <c r="M692" s="305"/>
      <c r="N692" s="305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  <c r="Y692" s="305"/>
      <c r="Z692" s="305"/>
    </row>
    <row r="693" spans="1:26" ht="15.75" customHeight="1">
      <c r="A693" s="305"/>
      <c r="B693" s="305"/>
      <c r="C693" s="305"/>
      <c r="D693" s="305"/>
      <c r="E693" s="305"/>
      <c r="F693" s="305"/>
      <c r="G693" s="305"/>
      <c r="H693" s="305"/>
      <c r="I693" s="305"/>
      <c r="J693" s="305"/>
      <c r="K693" s="305"/>
      <c r="L693" s="305"/>
      <c r="M693" s="305"/>
      <c r="N693" s="305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  <c r="Y693" s="305"/>
      <c r="Z693" s="305"/>
    </row>
    <row r="694" spans="1:26" ht="15.75" customHeight="1">
      <c r="A694" s="305"/>
      <c r="B694" s="305"/>
      <c r="C694" s="305"/>
      <c r="D694" s="305"/>
      <c r="E694" s="305"/>
      <c r="F694" s="305"/>
      <c r="G694" s="305"/>
      <c r="H694" s="305"/>
      <c r="I694" s="305"/>
      <c r="J694" s="305"/>
      <c r="K694" s="305"/>
      <c r="L694" s="305"/>
      <c r="M694" s="305"/>
      <c r="N694" s="305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  <c r="Y694" s="305"/>
      <c r="Z694" s="305"/>
    </row>
    <row r="695" spans="1:26" ht="15.75" customHeight="1">
      <c r="A695" s="305"/>
      <c r="B695" s="305"/>
      <c r="C695" s="305"/>
      <c r="D695" s="305"/>
      <c r="E695" s="305"/>
      <c r="F695" s="305"/>
      <c r="G695" s="305"/>
      <c r="H695" s="305"/>
      <c r="I695" s="305"/>
      <c r="J695" s="305"/>
      <c r="K695" s="305"/>
      <c r="L695" s="305"/>
      <c r="M695" s="305"/>
      <c r="N695" s="305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  <c r="Y695" s="305"/>
      <c r="Z695" s="305"/>
    </row>
    <row r="696" spans="1:26" ht="15.75" customHeight="1">
      <c r="A696" s="305"/>
      <c r="B696" s="305"/>
      <c r="C696" s="305"/>
      <c r="D696" s="305"/>
      <c r="E696" s="305"/>
      <c r="F696" s="305"/>
      <c r="G696" s="305"/>
      <c r="H696" s="305"/>
      <c r="I696" s="305"/>
      <c r="J696" s="305"/>
      <c r="K696" s="305"/>
      <c r="L696" s="305"/>
      <c r="M696" s="305"/>
      <c r="N696" s="305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  <c r="Y696" s="305"/>
      <c r="Z696" s="305"/>
    </row>
    <row r="697" spans="1:26" ht="15.75" customHeight="1">
      <c r="A697" s="305"/>
      <c r="B697" s="305"/>
      <c r="C697" s="305"/>
      <c r="D697" s="305"/>
      <c r="E697" s="305"/>
      <c r="F697" s="305"/>
      <c r="G697" s="305"/>
      <c r="H697" s="305"/>
      <c r="I697" s="305"/>
      <c r="J697" s="305"/>
      <c r="K697" s="305"/>
      <c r="L697" s="305"/>
      <c r="M697" s="305"/>
      <c r="N697" s="305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  <c r="Y697" s="305"/>
      <c r="Z697" s="305"/>
    </row>
    <row r="698" spans="1:26" ht="15.75" customHeight="1">
      <c r="A698" s="305"/>
      <c r="B698" s="305"/>
      <c r="C698" s="305"/>
      <c r="D698" s="305"/>
      <c r="E698" s="305"/>
      <c r="F698" s="305"/>
      <c r="G698" s="305"/>
      <c r="H698" s="305"/>
      <c r="I698" s="305"/>
      <c r="J698" s="305"/>
      <c r="K698" s="305"/>
      <c r="L698" s="305"/>
      <c r="M698" s="305"/>
      <c r="N698" s="305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  <c r="Y698" s="305"/>
      <c r="Z698" s="305"/>
    </row>
    <row r="699" spans="1:26" ht="15.75" customHeight="1">
      <c r="A699" s="305"/>
      <c r="B699" s="305"/>
      <c r="C699" s="305"/>
      <c r="D699" s="305"/>
      <c r="E699" s="305"/>
      <c r="F699" s="305"/>
      <c r="G699" s="305"/>
      <c r="H699" s="305"/>
      <c r="I699" s="305"/>
      <c r="J699" s="305"/>
      <c r="K699" s="305"/>
      <c r="L699" s="305"/>
      <c r="M699" s="305"/>
      <c r="N699" s="305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  <c r="Y699" s="305"/>
      <c r="Z699" s="305"/>
    </row>
    <row r="700" spans="1:26" ht="15.75" customHeight="1">
      <c r="A700" s="305"/>
      <c r="B700" s="305"/>
      <c r="C700" s="305"/>
      <c r="D700" s="305"/>
      <c r="E700" s="305"/>
      <c r="F700" s="305"/>
      <c r="G700" s="305"/>
      <c r="H700" s="305"/>
      <c r="I700" s="305"/>
      <c r="J700" s="305"/>
      <c r="K700" s="305"/>
      <c r="L700" s="305"/>
      <c r="M700" s="305"/>
      <c r="N700" s="305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  <c r="Y700" s="305"/>
      <c r="Z700" s="305"/>
    </row>
    <row r="701" spans="1:26" ht="15.75" customHeight="1">
      <c r="A701" s="305"/>
      <c r="B701" s="305"/>
      <c r="C701" s="305"/>
      <c r="D701" s="305"/>
      <c r="E701" s="305"/>
      <c r="F701" s="305"/>
      <c r="G701" s="305"/>
      <c r="H701" s="305"/>
      <c r="I701" s="305"/>
      <c r="J701" s="305"/>
      <c r="K701" s="305"/>
      <c r="L701" s="305"/>
      <c r="M701" s="305"/>
      <c r="N701" s="305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  <c r="Y701" s="305"/>
      <c r="Z701" s="305"/>
    </row>
    <row r="702" spans="1:26" ht="15.75" customHeight="1">
      <c r="A702" s="305"/>
      <c r="B702" s="305"/>
      <c r="C702" s="305"/>
      <c r="D702" s="305"/>
      <c r="E702" s="305"/>
      <c r="F702" s="305"/>
      <c r="G702" s="305"/>
      <c r="H702" s="305"/>
      <c r="I702" s="305"/>
      <c r="J702" s="305"/>
      <c r="K702" s="305"/>
      <c r="L702" s="305"/>
      <c r="M702" s="305"/>
      <c r="N702" s="305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  <c r="Y702" s="305"/>
      <c r="Z702" s="305"/>
    </row>
    <row r="703" spans="1:26" ht="15.75" customHeight="1">
      <c r="A703" s="305"/>
      <c r="B703" s="305"/>
      <c r="C703" s="305"/>
      <c r="D703" s="305"/>
      <c r="E703" s="305"/>
      <c r="F703" s="305"/>
      <c r="G703" s="305"/>
      <c r="H703" s="305"/>
      <c r="I703" s="305"/>
      <c r="J703" s="305"/>
      <c r="K703" s="305"/>
      <c r="L703" s="305"/>
      <c r="M703" s="305"/>
      <c r="N703" s="305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  <c r="Y703" s="305"/>
      <c r="Z703" s="305"/>
    </row>
    <row r="704" spans="1:26" ht="15.75" customHeight="1">
      <c r="A704" s="305"/>
      <c r="B704" s="305"/>
      <c r="C704" s="305"/>
      <c r="D704" s="305"/>
      <c r="E704" s="305"/>
      <c r="F704" s="305"/>
      <c r="G704" s="305"/>
      <c r="H704" s="305"/>
      <c r="I704" s="305"/>
      <c r="J704" s="305"/>
      <c r="K704" s="305"/>
      <c r="L704" s="305"/>
      <c r="M704" s="305"/>
      <c r="N704" s="305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  <c r="Y704" s="305"/>
      <c r="Z704" s="305"/>
    </row>
    <row r="705" spans="1:26" ht="15.75" customHeight="1">
      <c r="A705" s="305"/>
      <c r="B705" s="305"/>
      <c r="C705" s="305"/>
      <c r="D705" s="305"/>
      <c r="E705" s="305"/>
      <c r="F705" s="305"/>
      <c r="G705" s="305"/>
      <c r="H705" s="305"/>
      <c r="I705" s="305"/>
      <c r="J705" s="305"/>
      <c r="K705" s="305"/>
      <c r="L705" s="305"/>
      <c r="M705" s="305"/>
      <c r="N705" s="305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  <c r="Y705" s="305"/>
      <c r="Z705" s="305"/>
    </row>
    <row r="706" spans="1:26" ht="15.75" customHeight="1">
      <c r="A706" s="305"/>
      <c r="B706" s="305"/>
      <c r="C706" s="305"/>
      <c r="D706" s="305"/>
      <c r="E706" s="305"/>
      <c r="F706" s="305"/>
      <c r="G706" s="305"/>
      <c r="H706" s="305"/>
      <c r="I706" s="305"/>
      <c r="J706" s="305"/>
      <c r="K706" s="305"/>
      <c r="L706" s="305"/>
      <c r="M706" s="305"/>
      <c r="N706" s="305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  <c r="Y706" s="305"/>
      <c r="Z706" s="305"/>
    </row>
    <row r="707" spans="1:26" ht="15.75" customHeight="1">
      <c r="A707" s="305"/>
      <c r="B707" s="305"/>
      <c r="C707" s="305"/>
      <c r="D707" s="305"/>
      <c r="E707" s="305"/>
      <c r="F707" s="305"/>
      <c r="G707" s="305"/>
      <c r="H707" s="305"/>
      <c r="I707" s="305"/>
      <c r="J707" s="305"/>
      <c r="K707" s="305"/>
      <c r="L707" s="305"/>
      <c r="M707" s="305"/>
      <c r="N707" s="305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  <c r="Y707" s="305"/>
      <c r="Z707" s="305"/>
    </row>
    <row r="708" spans="1:26" ht="15.75" customHeight="1">
      <c r="A708" s="305"/>
      <c r="B708" s="305"/>
      <c r="C708" s="305"/>
      <c r="D708" s="305"/>
      <c r="E708" s="305"/>
      <c r="F708" s="305"/>
      <c r="G708" s="305"/>
      <c r="H708" s="305"/>
      <c r="I708" s="305"/>
      <c r="J708" s="305"/>
      <c r="K708" s="305"/>
      <c r="L708" s="305"/>
      <c r="M708" s="305"/>
      <c r="N708" s="305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  <c r="Y708" s="305"/>
      <c r="Z708" s="305"/>
    </row>
    <row r="709" spans="1:26" ht="15.75" customHeight="1">
      <c r="A709" s="305"/>
      <c r="B709" s="305"/>
      <c r="C709" s="305"/>
      <c r="D709" s="305"/>
      <c r="E709" s="305"/>
      <c r="F709" s="305"/>
      <c r="G709" s="305"/>
      <c r="H709" s="305"/>
      <c r="I709" s="305"/>
      <c r="J709" s="305"/>
      <c r="K709" s="305"/>
      <c r="L709" s="305"/>
      <c r="M709" s="305"/>
      <c r="N709" s="305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  <c r="Y709" s="305"/>
      <c r="Z709" s="305"/>
    </row>
    <row r="710" spans="1:26" ht="15.75" customHeight="1">
      <c r="A710" s="305"/>
      <c r="B710" s="305"/>
      <c r="C710" s="305"/>
      <c r="D710" s="305"/>
      <c r="E710" s="305"/>
      <c r="F710" s="305"/>
      <c r="G710" s="305"/>
      <c r="H710" s="305"/>
      <c r="I710" s="305"/>
      <c r="J710" s="305"/>
      <c r="K710" s="305"/>
      <c r="L710" s="305"/>
      <c r="M710" s="305"/>
      <c r="N710" s="305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  <c r="Y710" s="305"/>
      <c r="Z710" s="305"/>
    </row>
    <row r="711" spans="1:26" ht="15.75" customHeight="1">
      <c r="A711" s="305"/>
      <c r="B711" s="305"/>
      <c r="C711" s="305"/>
      <c r="D711" s="305"/>
      <c r="E711" s="305"/>
      <c r="F711" s="305"/>
      <c r="G711" s="305"/>
      <c r="H711" s="305"/>
      <c r="I711" s="305"/>
      <c r="J711" s="305"/>
      <c r="K711" s="305"/>
      <c r="L711" s="305"/>
      <c r="M711" s="305"/>
      <c r="N711" s="305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  <c r="Y711" s="305"/>
      <c r="Z711" s="305"/>
    </row>
    <row r="712" spans="1:26" ht="15.75" customHeight="1">
      <c r="A712" s="305"/>
      <c r="B712" s="305"/>
      <c r="C712" s="305"/>
      <c r="D712" s="305"/>
      <c r="E712" s="305"/>
      <c r="F712" s="305"/>
      <c r="G712" s="305"/>
      <c r="H712" s="305"/>
      <c r="I712" s="305"/>
      <c r="J712" s="305"/>
      <c r="K712" s="305"/>
      <c r="L712" s="305"/>
      <c r="M712" s="305"/>
      <c r="N712" s="305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  <c r="Y712" s="305"/>
      <c r="Z712" s="305"/>
    </row>
    <row r="713" spans="1:26" ht="15.75" customHeight="1">
      <c r="A713" s="305"/>
      <c r="B713" s="305"/>
      <c r="C713" s="305"/>
      <c r="D713" s="305"/>
      <c r="E713" s="305"/>
      <c r="F713" s="305"/>
      <c r="G713" s="305"/>
      <c r="H713" s="305"/>
      <c r="I713" s="305"/>
      <c r="J713" s="305"/>
      <c r="K713" s="305"/>
      <c r="L713" s="305"/>
      <c r="M713" s="305"/>
      <c r="N713" s="305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  <c r="Y713" s="305"/>
      <c r="Z713" s="305"/>
    </row>
    <row r="714" spans="1:26" ht="15.75" customHeight="1">
      <c r="A714" s="305"/>
      <c r="B714" s="305"/>
      <c r="C714" s="305"/>
      <c r="D714" s="305"/>
      <c r="E714" s="305"/>
      <c r="F714" s="305"/>
      <c r="G714" s="305"/>
      <c r="H714" s="305"/>
      <c r="I714" s="305"/>
      <c r="J714" s="305"/>
      <c r="K714" s="305"/>
      <c r="L714" s="305"/>
      <c r="M714" s="305"/>
      <c r="N714" s="305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  <c r="Y714" s="305"/>
      <c r="Z714" s="305"/>
    </row>
    <row r="715" spans="1:26" ht="15.75" customHeight="1">
      <c r="A715" s="305"/>
      <c r="B715" s="305"/>
      <c r="C715" s="305"/>
      <c r="D715" s="305"/>
      <c r="E715" s="305"/>
      <c r="F715" s="305"/>
      <c r="G715" s="305"/>
      <c r="H715" s="305"/>
      <c r="I715" s="305"/>
      <c r="J715" s="305"/>
      <c r="K715" s="305"/>
      <c r="L715" s="305"/>
      <c r="M715" s="305"/>
      <c r="N715" s="305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  <c r="Y715" s="305"/>
      <c r="Z715" s="305"/>
    </row>
    <row r="716" spans="1:26" ht="15.75" customHeight="1">
      <c r="A716" s="305"/>
      <c r="B716" s="305"/>
      <c r="C716" s="305"/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  <c r="Y716" s="305"/>
      <c r="Z716" s="305"/>
    </row>
    <row r="717" spans="1:26" ht="15.75" customHeight="1">
      <c r="A717" s="305"/>
      <c r="B717" s="305"/>
      <c r="C717" s="305"/>
      <c r="D717" s="305"/>
      <c r="E717" s="305"/>
      <c r="F717" s="305"/>
      <c r="G717" s="305"/>
      <c r="H717" s="305"/>
      <c r="I717" s="305"/>
      <c r="J717" s="305"/>
      <c r="K717" s="305"/>
      <c r="L717" s="305"/>
      <c r="M717" s="305"/>
      <c r="N717" s="305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  <c r="Y717" s="305"/>
      <c r="Z717" s="305"/>
    </row>
    <row r="718" spans="1:26" ht="15.75" customHeight="1">
      <c r="A718" s="305"/>
      <c r="B718" s="305"/>
      <c r="C718" s="305"/>
      <c r="D718" s="305"/>
      <c r="E718" s="305"/>
      <c r="F718" s="305"/>
      <c r="G718" s="305"/>
      <c r="H718" s="305"/>
      <c r="I718" s="305"/>
      <c r="J718" s="305"/>
      <c r="K718" s="305"/>
      <c r="L718" s="305"/>
      <c r="M718" s="305"/>
      <c r="N718" s="305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  <c r="Y718" s="305"/>
      <c r="Z718" s="305"/>
    </row>
    <row r="719" spans="1:26" ht="15.75" customHeight="1">
      <c r="A719" s="305"/>
      <c r="B719" s="305"/>
      <c r="C719" s="305"/>
      <c r="D719" s="305"/>
      <c r="E719" s="305"/>
      <c r="F719" s="305"/>
      <c r="G719" s="305"/>
      <c r="H719" s="305"/>
      <c r="I719" s="305"/>
      <c r="J719" s="305"/>
      <c r="K719" s="305"/>
      <c r="L719" s="305"/>
      <c r="M719" s="305"/>
      <c r="N719" s="305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  <c r="Y719" s="305"/>
      <c r="Z719" s="305"/>
    </row>
    <row r="720" spans="1:26" ht="15.75" customHeight="1">
      <c r="A720" s="305"/>
      <c r="B720" s="305"/>
      <c r="C720" s="305"/>
      <c r="D720" s="305"/>
      <c r="E720" s="305"/>
      <c r="F720" s="305"/>
      <c r="G720" s="305"/>
      <c r="H720" s="305"/>
      <c r="I720" s="305"/>
      <c r="J720" s="305"/>
      <c r="K720" s="305"/>
      <c r="L720" s="305"/>
      <c r="M720" s="305"/>
      <c r="N720" s="305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  <c r="Y720" s="305"/>
      <c r="Z720" s="305"/>
    </row>
    <row r="721" spans="1:26" ht="15.75" customHeight="1">
      <c r="A721" s="305"/>
      <c r="B721" s="305"/>
      <c r="C721" s="305"/>
      <c r="D721" s="305"/>
      <c r="E721" s="305"/>
      <c r="F721" s="305"/>
      <c r="G721" s="305"/>
      <c r="H721" s="305"/>
      <c r="I721" s="305"/>
      <c r="J721" s="305"/>
      <c r="K721" s="305"/>
      <c r="L721" s="305"/>
      <c r="M721" s="305"/>
      <c r="N721" s="305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  <c r="Y721" s="305"/>
      <c r="Z721" s="305"/>
    </row>
    <row r="722" spans="1:26" ht="15.75" customHeight="1">
      <c r="A722" s="305"/>
      <c r="B722" s="305"/>
      <c r="C722" s="305"/>
      <c r="D722" s="305"/>
      <c r="E722" s="305"/>
      <c r="F722" s="305"/>
      <c r="G722" s="305"/>
      <c r="H722" s="305"/>
      <c r="I722" s="305"/>
      <c r="J722" s="305"/>
      <c r="K722" s="305"/>
      <c r="L722" s="305"/>
      <c r="M722" s="305"/>
      <c r="N722" s="305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  <c r="Y722" s="305"/>
      <c r="Z722" s="305"/>
    </row>
    <row r="723" spans="1:26" ht="15.75" customHeight="1">
      <c r="A723" s="305"/>
      <c r="B723" s="305"/>
      <c r="C723" s="305"/>
      <c r="D723" s="305"/>
      <c r="E723" s="305"/>
      <c r="F723" s="305"/>
      <c r="G723" s="305"/>
      <c r="H723" s="305"/>
      <c r="I723" s="305"/>
      <c r="J723" s="305"/>
      <c r="K723" s="305"/>
      <c r="L723" s="305"/>
      <c r="M723" s="305"/>
      <c r="N723" s="305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  <c r="Y723" s="305"/>
      <c r="Z723" s="305"/>
    </row>
    <row r="724" spans="1:26" ht="15.75" customHeight="1">
      <c r="A724" s="305"/>
      <c r="B724" s="305"/>
      <c r="C724" s="305"/>
      <c r="D724" s="305"/>
      <c r="E724" s="305"/>
      <c r="F724" s="305"/>
      <c r="G724" s="305"/>
      <c r="H724" s="305"/>
      <c r="I724" s="305"/>
      <c r="J724" s="305"/>
      <c r="K724" s="305"/>
      <c r="L724" s="305"/>
      <c r="M724" s="305"/>
      <c r="N724" s="305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  <c r="Y724" s="305"/>
      <c r="Z724" s="305"/>
    </row>
    <row r="725" spans="1:26" ht="15.75" customHeight="1">
      <c r="A725" s="305"/>
      <c r="B725" s="305"/>
      <c r="C725" s="305"/>
      <c r="D725" s="305"/>
      <c r="E725" s="305"/>
      <c r="F725" s="305"/>
      <c r="G725" s="305"/>
      <c r="H725" s="305"/>
      <c r="I725" s="305"/>
      <c r="J725" s="305"/>
      <c r="K725" s="305"/>
      <c r="L725" s="305"/>
      <c r="M725" s="305"/>
      <c r="N725" s="305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  <c r="Y725" s="305"/>
      <c r="Z725" s="305"/>
    </row>
    <row r="726" spans="1:26" ht="15.75" customHeight="1">
      <c r="A726" s="305"/>
      <c r="B726" s="305"/>
      <c r="C726" s="305"/>
      <c r="D726" s="305"/>
      <c r="E726" s="305"/>
      <c r="F726" s="305"/>
      <c r="G726" s="305"/>
      <c r="H726" s="305"/>
      <c r="I726" s="305"/>
      <c r="J726" s="305"/>
      <c r="K726" s="305"/>
      <c r="L726" s="305"/>
      <c r="M726" s="305"/>
      <c r="N726" s="305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  <c r="Y726" s="305"/>
      <c r="Z726" s="305"/>
    </row>
    <row r="727" spans="1:26" ht="15.75" customHeight="1">
      <c r="A727" s="305"/>
      <c r="B727" s="305"/>
      <c r="C727" s="305"/>
      <c r="D727" s="305"/>
      <c r="E727" s="305"/>
      <c r="F727" s="305"/>
      <c r="G727" s="305"/>
      <c r="H727" s="305"/>
      <c r="I727" s="305"/>
      <c r="J727" s="305"/>
      <c r="K727" s="305"/>
      <c r="L727" s="305"/>
      <c r="M727" s="305"/>
      <c r="N727" s="305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  <c r="Y727" s="305"/>
      <c r="Z727" s="305"/>
    </row>
    <row r="728" spans="1:26" ht="15.75" customHeight="1">
      <c r="A728" s="305"/>
      <c r="B728" s="305"/>
      <c r="C728" s="305"/>
      <c r="D728" s="305"/>
      <c r="E728" s="305"/>
      <c r="F728" s="305"/>
      <c r="G728" s="305"/>
      <c r="H728" s="305"/>
      <c r="I728" s="305"/>
      <c r="J728" s="305"/>
      <c r="K728" s="305"/>
      <c r="L728" s="305"/>
      <c r="M728" s="305"/>
      <c r="N728" s="305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  <c r="Y728" s="305"/>
      <c r="Z728" s="305"/>
    </row>
    <row r="729" spans="1:26" ht="15.75" customHeight="1">
      <c r="A729" s="305"/>
      <c r="B729" s="305"/>
      <c r="C729" s="305"/>
      <c r="D729" s="305"/>
      <c r="E729" s="305"/>
      <c r="F729" s="305"/>
      <c r="G729" s="305"/>
      <c r="H729" s="305"/>
      <c r="I729" s="305"/>
      <c r="J729" s="305"/>
      <c r="K729" s="305"/>
      <c r="L729" s="305"/>
      <c r="M729" s="305"/>
      <c r="N729" s="305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  <c r="Y729" s="305"/>
      <c r="Z729" s="305"/>
    </row>
    <row r="730" spans="1:26" ht="15.75" customHeight="1">
      <c r="A730" s="305"/>
      <c r="B730" s="305"/>
      <c r="C730" s="305"/>
      <c r="D730" s="305"/>
      <c r="E730" s="305"/>
      <c r="F730" s="305"/>
      <c r="G730" s="305"/>
      <c r="H730" s="305"/>
      <c r="I730" s="305"/>
      <c r="J730" s="305"/>
      <c r="K730" s="305"/>
      <c r="L730" s="305"/>
      <c r="M730" s="305"/>
      <c r="N730" s="305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  <c r="Y730" s="305"/>
      <c r="Z730" s="305"/>
    </row>
    <row r="731" spans="1:26" ht="15.75" customHeight="1">
      <c r="A731" s="305"/>
      <c r="B731" s="305"/>
      <c r="C731" s="305"/>
      <c r="D731" s="305"/>
      <c r="E731" s="305"/>
      <c r="F731" s="305"/>
      <c r="G731" s="305"/>
      <c r="H731" s="305"/>
      <c r="I731" s="305"/>
      <c r="J731" s="305"/>
      <c r="K731" s="305"/>
      <c r="L731" s="305"/>
      <c r="M731" s="305"/>
      <c r="N731" s="305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  <c r="Y731" s="305"/>
      <c r="Z731" s="305"/>
    </row>
    <row r="732" spans="1:26" ht="15.75" customHeight="1">
      <c r="A732" s="305"/>
      <c r="B732" s="305"/>
      <c r="C732" s="305"/>
      <c r="D732" s="305"/>
      <c r="E732" s="305"/>
      <c r="F732" s="305"/>
      <c r="G732" s="305"/>
      <c r="H732" s="305"/>
      <c r="I732" s="305"/>
      <c r="J732" s="305"/>
      <c r="K732" s="305"/>
      <c r="L732" s="305"/>
      <c r="M732" s="305"/>
      <c r="N732" s="305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  <c r="Y732" s="305"/>
      <c r="Z732" s="305"/>
    </row>
    <row r="733" spans="1:26" ht="15.75" customHeight="1">
      <c r="A733" s="305"/>
      <c r="B733" s="305"/>
      <c r="C733" s="305"/>
      <c r="D733" s="305"/>
      <c r="E733" s="305"/>
      <c r="F733" s="305"/>
      <c r="G733" s="305"/>
      <c r="H733" s="305"/>
      <c r="I733" s="305"/>
      <c r="J733" s="305"/>
      <c r="K733" s="305"/>
      <c r="L733" s="305"/>
      <c r="M733" s="305"/>
      <c r="N733" s="305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  <c r="Y733" s="305"/>
      <c r="Z733" s="305"/>
    </row>
    <row r="734" spans="1:26" ht="15.75" customHeight="1">
      <c r="A734" s="305"/>
      <c r="B734" s="305"/>
      <c r="C734" s="305"/>
      <c r="D734" s="305"/>
      <c r="E734" s="305"/>
      <c r="F734" s="305"/>
      <c r="G734" s="305"/>
      <c r="H734" s="305"/>
      <c r="I734" s="305"/>
      <c r="J734" s="305"/>
      <c r="K734" s="305"/>
      <c r="L734" s="305"/>
      <c r="M734" s="305"/>
      <c r="N734" s="305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  <c r="Y734" s="305"/>
      <c r="Z734" s="305"/>
    </row>
    <row r="735" spans="1:26" ht="15.75" customHeight="1">
      <c r="A735" s="305"/>
      <c r="B735" s="305"/>
      <c r="C735" s="305"/>
      <c r="D735" s="305"/>
      <c r="E735" s="305"/>
      <c r="F735" s="305"/>
      <c r="G735" s="305"/>
      <c r="H735" s="305"/>
      <c r="I735" s="305"/>
      <c r="J735" s="305"/>
      <c r="K735" s="305"/>
      <c r="L735" s="305"/>
      <c r="M735" s="305"/>
      <c r="N735" s="305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  <c r="Y735" s="305"/>
      <c r="Z735" s="305"/>
    </row>
    <row r="736" spans="1:26" ht="15.75" customHeight="1">
      <c r="A736" s="305"/>
      <c r="B736" s="305"/>
      <c r="C736" s="305"/>
      <c r="D736" s="305"/>
      <c r="E736" s="305"/>
      <c r="F736" s="305"/>
      <c r="G736" s="305"/>
      <c r="H736" s="305"/>
      <c r="I736" s="305"/>
      <c r="J736" s="305"/>
      <c r="K736" s="305"/>
      <c r="L736" s="305"/>
      <c r="M736" s="305"/>
      <c r="N736" s="305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  <c r="Y736" s="305"/>
      <c r="Z736" s="305"/>
    </row>
    <row r="737" spans="1:26" ht="15.75" customHeight="1">
      <c r="A737" s="305"/>
      <c r="B737" s="305"/>
      <c r="C737" s="305"/>
      <c r="D737" s="305"/>
      <c r="E737" s="305"/>
      <c r="F737" s="305"/>
      <c r="G737" s="305"/>
      <c r="H737" s="305"/>
      <c r="I737" s="305"/>
      <c r="J737" s="305"/>
      <c r="K737" s="305"/>
      <c r="L737" s="305"/>
      <c r="M737" s="305"/>
      <c r="N737" s="305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  <c r="Y737" s="305"/>
      <c r="Z737" s="305"/>
    </row>
    <row r="738" spans="1:26" ht="15.75" customHeight="1">
      <c r="A738" s="305"/>
      <c r="B738" s="305"/>
      <c r="C738" s="305"/>
      <c r="D738" s="305"/>
      <c r="E738" s="305"/>
      <c r="F738" s="305"/>
      <c r="G738" s="305"/>
      <c r="H738" s="305"/>
      <c r="I738" s="305"/>
      <c r="J738" s="305"/>
      <c r="K738" s="305"/>
      <c r="L738" s="305"/>
      <c r="M738" s="305"/>
      <c r="N738" s="305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  <c r="Y738" s="305"/>
      <c r="Z738" s="305"/>
    </row>
    <row r="739" spans="1:26" ht="15.75" customHeight="1">
      <c r="A739" s="305"/>
      <c r="B739" s="305"/>
      <c r="C739" s="305"/>
      <c r="D739" s="305"/>
      <c r="E739" s="305"/>
      <c r="F739" s="305"/>
      <c r="G739" s="305"/>
      <c r="H739" s="305"/>
      <c r="I739" s="305"/>
      <c r="J739" s="305"/>
      <c r="K739" s="305"/>
      <c r="L739" s="305"/>
      <c r="M739" s="305"/>
      <c r="N739" s="305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  <c r="Y739" s="305"/>
      <c r="Z739" s="305"/>
    </row>
    <row r="740" spans="1:26" ht="15.75" customHeight="1">
      <c r="A740" s="305"/>
      <c r="B740" s="305"/>
      <c r="C740" s="305"/>
      <c r="D740" s="305"/>
      <c r="E740" s="305"/>
      <c r="F740" s="305"/>
      <c r="G740" s="305"/>
      <c r="H740" s="305"/>
      <c r="I740" s="305"/>
      <c r="J740" s="305"/>
      <c r="K740" s="305"/>
      <c r="L740" s="305"/>
      <c r="M740" s="305"/>
      <c r="N740" s="305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  <c r="Y740" s="305"/>
      <c r="Z740" s="305"/>
    </row>
    <row r="741" spans="1:26" ht="15.75" customHeight="1">
      <c r="A741" s="305"/>
      <c r="B741" s="305"/>
      <c r="C741" s="305"/>
      <c r="D741" s="305"/>
      <c r="E741" s="305"/>
      <c r="F741" s="305"/>
      <c r="G741" s="305"/>
      <c r="H741" s="305"/>
      <c r="I741" s="305"/>
      <c r="J741" s="305"/>
      <c r="K741" s="305"/>
      <c r="L741" s="305"/>
      <c r="M741" s="305"/>
      <c r="N741" s="305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  <c r="Y741" s="305"/>
      <c r="Z741" s="305"/>
    </row>
    <row r="742" spans="1:26" ht="15.75" customHeight="1">
      <c r="A742" s="305"/>
      <c r="B742" s="305"/>
      <c r="C742" s="305"/>
      <c r="D742" s="305"/>
      <c r="E742" s="305"/>
      <c r="F742" s="305"/>
      <c r="G742" s="305"/>
      <c r="H742" s="305"/>
      <c r="I742" s="305"/>
      <c r="J742" s="305"/>
      <c r="K742" s="305"/>
      <c r="L742" s="305"/>
      <c r="M742" s="305"/>
      <c r="N742" s="305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  <c r="Y742" s="305"/>
      <c r="Z742" s="305"/>
    </row>
    <row r="743" spans="1:26" ht="15.75" customHeight="1">
      <c r="A743" s="305"/>
      <c r="B743" s="305"/>
      <c r="C743" s="305"/>
      <c r="D743" s="305"/>
      <c r="E743" s="305"/>
      <c r="F743" s="305"/>
      <c r="G743" s="305"/>
      <c r="H743" s="305"/>
      <c r="I743" s="305"/>
      <c r="J743" s="305"/>
      <c r="K743" s="305"/>
      <c r="L743" s="305"/>
      <c r="M743" s="305"/>
      <c r="N743" s="305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  <c r="Y743" s="305"/>
      <c r="Z743" s="305"/>
    </row>
    <row r="744" spans="1:26" ht="15.75" customHeight="1">
      <c r="A744" s="305"/>
      <c r="B744" s="305"/>
      <c r="C744" s="305"/>
      <c r="D744" s="305"/>
      <c r="E744" s="305"/>
      <c r="F744" s="305"/>
      <c r="G744" s="305"/>
      <c r="H744" s="305"/>
      <c r="I744" s="305"/>
      <c r="J744" s="305"/>
      <c r="K744" s="305"/>
      <c r="L744" s="305"/>
      <c r="M744" s="305"/>
      <c r="N744" s="305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  <c r="Y744" s="305"/>
      <c r="Z744" s="305"/>
    </row>
    <row r="745" spans="1:26" ht="15.75" customHeight="1">
      <c r="A745" s="305"/>
      <c r="B745" s="305"/>
      <c r="C745" s="305"/>
      <c r="D745" s="305"/>
      <c r="E745" s="305"/>
      <c r="F745" s="305"/>
      <c r="G745" s="305"/>
      <c r="H745" s="305"/>
      <c r="I745" s="305"/>
      <c r="J745" s="305"/>
      <c r="K745" s="305"/>
      <c r="L745" s="305"/>
      <c r="M745" s="305"/>
      <c r="N745" s="305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  <c r="Y745" s="305"/>
      <c r="Z745" s="305"/>
    </row>
    <row r="746" spans="1:26" ht="15.75" customHeight="1">
      <c r="A746" s="305"/>
      <c r="B746" s="305"/>
      <c r="C746" s="305"/>
      <c r="D746" s="305"/>
      <c r="E746" s="305"/>
      <c r="F746" s="305"/>
      <c r="G746" s="305"/>
      <c r="H746" s="305"/>
      <c r="I746" s="305"/>
      <c r="J746" s="305"/>
      <c r="K746" s="305"/>
      <c r="L746" s="305"/>
      <c r="M746" s="305"/>
      <c r="N746" s="305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  <c r="Y746" s="305"/>
      <c r="Z746" s="305"/>
    </row>
    <row r="747" spans="1:26" ht="15.75" customHeight="1">
      <c r="A747" s="305"/>
      <c r="B747" s="305"/>
      <c r="C747" s="305"/>
      <c r="D747" s="305"/>
      <c r="E747" s="305"/>
      <c r="F747" s="305"/>
      <c r="G747" s="305"/>
      <c r="H747" s="305"/>
      <c r="I747" s="305"/>
      <c r="J747" s="305"/>
      <c r="K747" s="305"/>
      <c r="L747" s="305"/>
      <c r="M747" s="305"/>
      <c r="N747" s="305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  <c r="Y747" s="305"/>
      <c r="Z747" s="305"/>
    </row>
    <row r="748" spans="1:26" ht="15.75" customHeight="1">
      <c r="A748" s="305"/>
      <c r="B748" s="305"/>
      <c r="C748" s="305"/>
      <c r="D748" s="305"/>
      <c r="E748" s="305"/>
      <c r="F748" s="305"/>
      <c r="G748" s="305"/>
      <c r="H748" s="305"/>
      <c r="I748" s="305"/>
      <c r="J748" s="305"/>
      <c r="K748" s="305"/>
      <c r="L748" s="305"/>
      <c r="M748" s="305"/>
      <c r="N748" s="305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  <c r="Y748" s="305"/>
      <c r="Z748" s="305"/>
    </row>
    <row r="749" spans="1:26" ht="15.75" customHeight="1">
      <c r="A749" s="305"/>
      <c r="B749" s="305"/>
      <c r="C749" s="305"/>
      <c r="D749" s="305"/>
      <c r="E749" s="305"/>
      <c r="F749" s="305"/>
      <c r="G749" s="305"/>
      <c r="H749" s="305"/>
      <c r="I749" s="305"/>
      <c r="J749" s="305"/>
      <c r="K749" s="305"/>
      <c r="L749" s="305"/>
      <c r="M749" s="305"/>
      <c r="N749" s="305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  <c r="Y749" s="305"/>
      <c r="Z749" s="305"/>
    </row>
    <row r="750" spans="1:26" ht="15.75" customHeight="1">
      <c r="A750" s="305"/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</row>
    <row r="751" spans="1:26" ht="15.75" customHeight="1">
      <c r="A751" s="305"/>
      <c r="B751" s="305"/>
      <c r="C751" s="305"/>
      <c r="D751" s="305"/>
      <c r="E751" s="305"/>
      <c r="F751" s="305"/>
      <c r="G751" s="305"/>
      <c r="H751" s="305"/>
      <c r="I751" s="305"/>
      <c r="J751" s="305"/>
      <c r="K751" s="305"/>
      <c r="L751" s="305"/>
      <c r="M751" s="305"/>
      <c r="N751" s="305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  <c r="Y751" s="305"/>
      <c r="Z751" s="305"/>
    </row>
    <row r="752" spans="1:26" ht="15.75" customHeight="1">
      <c r="A752" s="305"/>
      <c r="B752" s="305"/>
      <c r="C752" s="305"/>
      <c r="D752" s="305"/>
      <c r="E752" s="305"/>
      <c r="F752" s="305"/>
      <c r="G752" s="305"/>
      <c r="H752" s="305"/>
      <c r="I752" s="305"/>
      <c r="J752" s="305"/>
      <c r="K752" s="305"/>
      <c r="L752" s="305"/>
      <c r="M752" s="305"/>
      <c r="N752" s="305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  <c r="Y752" s="305"/>
      <c r="Z752" s="305"/>
    </row>
    <row r="753" spans="1:26" ht="15.75" customHeight="1">
      <c r="A753" s="305"/>
      <c r="B753" s="305"/>
      <c r="C753" s="305"/>
      <c r="D753" s="305"/>
      <c r="E753" s="305"/>
      <c r="F753" s="305"/>
      <c r="G753" s="305"/>
      <c r="H753" s="305"/>
      <c r="I753" s="305"/>
      <c r="J753" s="305"/>
      <c r="K753" s="305"/>
      <c r="L753" s="305"/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  <c r="Y753" s="305"/>
      <c r="Z753" s="305"/>
    </row>
    <row r="754" spans="1:26" ht="15.75" customHeight="1">
      <c r="A754" s="305"/>
      <c r="B754" s="305"/>
      <c r="C754" s="305"/>
      <c r="D754" s="305"/>
      <c r="E754" s="305"/>
      <c r="F754" s="305"/>
      <c r="G754" s="305"/>
      <c r="H754" s="305"/>
      <c r="I754" s="305"/>
      <c r="J754" s="305"/>
      <c r="K754" s="305"/>
      <c r="L754" s="305"/>
      <c r="M754" s="305"/>
      <c r="N754" s="305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  <c r="Y754" s="305"/>
      <c r="Z754" s="305"/>
    </row>
    <row r="755" spans="1:26" ht="15.75" customHeight="1">
      <c r="A755" s="305"/>
      <c r="B755" s="305"/>
      <c r="C755" s="305"/>
      <c r="D755" s="305"/>
      <c r="E755" s="305"/>
      <c r="F755" s="305"/>
      <c r="G755" s="305"/>
      <c r="H755" s="305"/>
      <c r="I755" s="305"/>
      <c r="J755" s="305"/>
      <c r="K755" s="305"/>
      <c r="L755" s="305"/>
      <c r="M755" s="305"/>
      <c r="N755" s="305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  <c r="Y755" s="305"/>
      <c r="Z755" s="305"/>
    </row>
    <row r="756" spans="1:26" ht="15.75" customHeight="1">
      <c r="A756" s="305"/>
      <c r="B756" s="305"/>
      <c r="C756" s="305"/>
      <c r="D756" s="305"/>
      <c r="E756" s="305"/>
      <c r="F756" s="305"/>
      <c r="G756" s="305"/>
      <c r="H756" s="305"/>
      <c r="I756" s="305"/>
      <c r="J756" s="305"/>
      <c r="K756" s="305"/>
      <c r="L756" s="305"/>
      <c r="M756" s="305"/>
      <c r="N756" s="305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  <c r="Y756" s="305"/>
      <c r="Z756" s="305"/>
    </row>
    <row r="757" spans="1:26" ht="15.75" customHeight="1">
      <c r="A757" s="305"/>
      <c r="B757" s="305"/>
      <c r="C757" s="305"/>
      <c r="D757" s="305"/>
      <c r="E757" s="305"/>
      <c r="F757" s="305"/>
      <c r="G757" s="305"/>
      <c r="H757" s="305"/>
      <c r="I757" s="305"/>
      <c r="J757" s="305"/>
      <c r="K757" s="305"/>
      <c r="L757" s="305"/>
      <c r="M757" s="305"/>
      <c r="N757" s="305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  <c r="Y757" s="305"/>
      <c r="Z757" s="305"/>
    </row>
    <row r="758" spans="1:26" ht="15.75" customHeight="1">
      <c r="A758" s="305"/>
      <c r="B758" s="305"/>
      <c r="C758" s="305"/>
      <c r="D758" s="305"/>
      <c r="E758" s="305"/>
      <c r="F758" s="305"/>
      <c r="G758" s="305"/>
      <c r="H758" s="305"/>
      <c r="I758" s="305"/>
      <c r="J758" s="305"/>
      <c r="K758" s="305"/>
      <c r="L758" s="305"/>
      <c r="M758" s="305"/>
      <c r="N758" s="305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  <c r="Y758" s="305"/>
      <c r="Z758" s="305"/>
    </row>
    <row r="759" spans="1:26" ht="15.75" customHeight="1">
      <c r="A759" s="305"/>
      <c r="B759" s="305"/>
      <c r="C759" s="305"/>
      <c r="D759" s="305"/>
      <c r="E759" s="305"/>
      <c r="F759" s="305"/>
      <c r="G759" s="305"/>
      <c r="H759" s="305"/>
      <c r="I759" s="305"/>
      <c r="J759" s="305"/>
      <c r="K759" s="305"/>
      <c r="L759" s="305"/>
      <c r="M759" s="305"/>
      <c r="N759" s="305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  <c r="Y759" s="305"/>
      <c r="Z759" s="305"/>
    </row>
    <row r="760" spans="1:26" ht="15.75" customHeight="1">
      <c r="A760" s="305"/>
      <c r="B760" s="305"/>
      <c r="C760" s="305"/>
      <c r="D760" s="305"/>
      <c r="E760" s="305"/>
      <c r="F760" s="305"/>
      <c r="G760" s="305"/>
      <c r="H760" s="305"/>
      <c r="I760" s="305"/>
      <c r="J760" s="305"/>
      <c r="K760" s="305"/>
      <c r="L760" s="305"/>
      <c r="M760" s="305"/>
      <c r="N760" s="305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  <c r="Y760" s="305"/>
      <c r="Z760" s="305"/>
    </row>
    <row r="761" spans="1:26" ht="15.75" customHeight="1">
      <c r="A761" s="305"/>
      <c r="B761" s="305"/>
      <c r="C761" s="305"/>
      <c r="D761" s="305"/>
      <c r="E761" s="305"/>
      <c r="F761" s="305"/>
      <c r="G761" s="305"/>
      <c r="H761" s="305"/>
      <c r="I761" s="305"/>
      <c r="J761" s="305"/>
      <c r="K761" s="305"/>
      <c r="L761" s="305"/>
      <c r="M761" s="305"/>
      <c r="N761" s="305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  <c r="Y761" s="305"/>
      <c r="Z761" s="305"/>
    </row>
    <row r="762" spans="1:26" ht="15.75" customHeight="1">
      <c r="A762" s="305"/>
      <c r="B762" s="305"/>
      <c r="C762" s="305"/>
      <c r="D762" s="305"/>
      <c r="E762" s="305"/>
      <c r="F762" s="305"/>
      <c r="G762" s="305"/>
      <c r="H762" s="305"/>
      <c r="I762" s="305"/>
      <c r="J762" s="305"/>
      <c r="K762" s="305"/>
      <c r="L762" s="305"/>
      <c r="M762" s="305"/>
      <c r="N762" s="305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  <c r="Y762" s="305"/>
      <c r="Z762" s="305"/>
    </row>
    <row r="763" spans="1:26" ht="15.75" customHeight="1">
      <c r="A763" s="305"/>
      <c r="B763" s="305"/>
      <c r="C763" s="305"/>
      <c r="D763" s="305"/>
      <c r="E763" s="305"/>
      <c r="F763" s="305"/>
      <c r="G763" s="305"/>
      <c r="H763" s="305"/>
      <c r="I763" s="305"/>
      <c r="J763" s="305"/>
      <c r="K763" s="305"/>
      <c r="L763" s="305"/>
      <c r="M763" s="305"/>
      <c r="N763" s="305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  <c r="Y763" s="305"/>
      <c r="Z763" s="305"/>
    </row>
    <row r="764" spans="1:26" ht="15.75" customHeight="1">
      <c r="A764" s="305"/>
      <c r="B764" s="305"/>
      <c r="C764" s="305"/>
      <c r="D764" s="305"/>
      <c r="E764" s="305"/>
      <c r="F764" s="305"/>
      <c r="G764" s="305"/>
      <c r="H764" s="305"/>
      <c r="I764" s="305"/>
      <c r="J764" s="305"/>
      <c r="K764" s="305"/>
      <c r="L764" s="305"/>
      <c r="M764" s="305"/>
      <c r="N764" s="305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  <c r="Y764" s="305"/>
      <c r="Z764" s="305"/>
    </row>
    <row r="765" spans="1:26" ht="15.75" customHeight="1">
      <c r="A765" s="305"/>
      <c r="B765" s="305"/>
      <c r="C765" s="305"/>
      <c r="D765" s="305"/>
      <c r="E765" s="305"/>
      <c r="F765" s="305"/>
      <c r="G765" s="305"/>
      <c r="H765" s="305"/>
      <c r="I765" s="305"/>
      <c r="J765" s="305"/>
      <c r="K765" s="305"/>
      <c r="L765" s="305"/>
      <c r="M765" s="305"/>
      <c r="N765" s="305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  <c r="Y765" s="305"/>
      <c r="Z765" s="305"/>
    </row>
    <row r="766" spans="1:26" ht="15.75" customHeight="1">
      <c r="A766" s="305"/>
      <c r="B766" s="305"/>
      <c r="C766" s="305"/>
      <c r="D766" s="305"/>
      <c r="E766" s="305"/>
      <c r="F766" s="305"/>
      <c r="G766" s="305"/>
      <c r="H766" s="305"/>
      <c r="I766" s="305"/>
      <c r="J766" s="305"/>
      <c r="K766" s="305"/>
      <c r="L766" s="305"/>
      <c r="M766" s="305"/>
      <c r="N766" s="305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  <c r="Y766" s="305"/>
      <c r="Z766" s="305"/>
    </row>
    <row r="767" spans="1:26" ht="15.75" customHeight="1">
      <c r="A767" s="305"/>
      <c r="B767" s="305"/>
      <c r="C767" s="305"/>
      <c r="D767" s="305"/>
      <c r="E767" s="305"/>
      <c r="F767" s="305"/>
      <c r="G767" s="305"/>
      <c r="H767" s="305"/>
      <c r="I767" s="305"/>
      <c r="J767" s="305"/>
      <c r="K767" s="305"/>
      <c r="L767" s="305"/>
      <c r="M767" s="305"/>
      <c r="N767" s="305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  <c r="Y767" s="305"/>
      <c r="Z767" s="305"/>
    </row>
    <row r="768" spans="1:26" ht="15.75" customHeight="1">
      <c r="A768" s="305"/>
      <c r="B768" s="305"/>
      <c r="C768" s="305"/>
      <c r="D768" s="305"/>
      <c r="E768" s="305"/>
      <c r="F768" s="305"/>
      <c r="G768" s="305"/>
      <c r="H768" s="305"/>
      <c r="I768" s="305"/>
      <c r="J768" s="305"/>
      <c r="K768" s="305"/>
      <c r="L768" s="305"/>
      <c r="M768" s="305"/>
      <c r="N768" s="305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  <c r="Y768" s="305"/>
      <c r="Z768" s="305"/>
    </row>
    <row r="769" spans="1:26" ht="15.75" customHeight="1">
      <c r="A769" s="305"/>
      <c r="B769" s="305"/>
      <c r="C769" s="305"/>
      <c r="D769" s="305"/>
      <c r="E769" s="305"/>
      <c r="F769" s="305"/>
      <c r="G769" s="305"/>
      <c r="H769" s="305"/>
      <c r="I769" s="305"/>
      <c r="J769" s="305"/>
      <c r="K769" s="305"/>
      <c r="L769" s="305"/>
      <c r="M769" s="305"/>
      <c r="N769" s="305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  <c r="Y769" s="305"/>
      <c r="Z769" s="305"/>
    </row>
    <row r="770" spans="1:26" ht="15.75" customHeight="1">
      <c r="A770" s="305"/>
      <c r="B770" s="305"/>
      <c r="C770" s="305"/>
      <c r="D770" s="305"/>
      <c r="E770" s="305"/>
      <c r="F770" s="305"/>
      <c r="G770" s="305"/>
      <c r="H770" s="305"/>
      <c r="I770" s="305"/>
      <c r="J770" s="305"/>
      <c r="K770" s="305"/>
      <c r="L770" s="305"/>
      <c r="M770" s="305"/>
      <c r="N770" s="305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  <c r="Y770" s="305"/>
      <c r="Z770" s="305"/>
    </row>
    <row r="771" spans="1:26" ht="15.75" customHeight="1">
      <c r="A771" s="305"/>
      <c r="B771" s="305"/>
      <c r="C771" s="305"/>
      <c r="D771" s="305"/>
      <c r="E771" s="305"/>
      <c r="F771" s="305"/>
      <c r="G771" s="305"/>
      <c r="H771" s="305"/>
      <c r="I771" s="305"/>
      <c r="J771" s="305"/>
      <c r="K771" s="305"/>
      <c r="L771" s="305"/>
      <c r="M771" s="305"/>
      <c r="N771" s="305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  <c r="Y771" s="305"/>
      <c r="Z771" s="305"/>
    </row>
    <row r="772" spans="1:26" ht="15.75" customHeight="1">
      <c r="A772" s="305"/>
      <c r="B772" s="305"/>
      <c r="C772" s="305"/>
      <c r="D772" s="305"/>
      <c r="E772" s="305"/>
      <c r="F772" s="305"/>
      <c r="G772" s="305"/>
      <c r="H772" s="305"/>
      <c r="I772" s="305"/>
      <c r="J772" s="305"/>
      <c r="K772" s="305"/>
      <c r="L772" s="305"/>
      <c r="M772" s="305"/>
      <c r="N772" s="305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  <c r="Y772" s="305"/>
      <c r="Z772" s="305"/>
    </row>
    <row r="773" spans="1:26" ht="15.75" customHeight="1">
      <c r="A773" s="305"/>
      <c r="B773" s="305"/>
      <c r="C773" s="305"/>
      <c r="D773" s="305"/>
      <c r="E773" s="305"/>
      <c r="F773" s="305"/>
      <c r="G773" s="305"/>
      <c r="H773" s="305"/>
      <c r="I773" s="305"/>
      <c r="J773" s="305"/>
      <c r="K773" s="305"/>
      <c r="L773" s="305"/>
      <c r="M773" s="305"/>
      <c r="N773" s="305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  <c r="Y773" s="305"/>
      <c r="Z773" s="305"/>
    </row>
    <row r="774" spans="1:26" ht="15.75" customHeight="1">
      <c r="A774" s="305"/>
      <c r="B774" s="305"/>
      <c r="C774" s="305"/>
      <c r="D774" s="305"/>
      <c r="E774" s="305"/>
      <c r="F774" s="305"/>
      <c r="G774" s="305"/>
      <c r="H774" s="305"/>
      <c r="I774" s="305"/>
      <c r="J774" s="305"/>
      <c r="K774" s="305"/>
      <c r="L774" s="305"/>
      <c r="M774" s="305"/>
      <c r="N774" s="305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  <c r="Y774" s="305"/>
      <c r="Z774" s="305"/>
    </row>
    <row r="775" spans="1:26" ht="15.75" customHeight="1">
      <c r="A775" s="305"/>
      <c r="B775" s="305"/>
      <c r="C775" s="305"/>
      <c r="D775" s="305"/>
      <c r="E775" s="305"/>
      <c r="F775" s="305"/>
      <c r="G775" s="305"/>
      <c r="H775" s="305"/>
      <c r="I775" s="305"/>
      <c r="J775" s="305"/>
      <c r="K775" s="305"/>
      <c r="L775" s="305"/>
      <c r="M775" s="305"/>
      <c r="N775" s="305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  <c r="Y775" s="305"/>
      <c r="Z775" s="305"/>
    </row>
    <row r="776" spans="1:26" ht="15.75" customHeight="1">
      <c r="A776" s="305"/>
      <c r="B776" s="305"/>
      <c r="C776" s="305"/>
      <c r="D776" s="305"/>
      <c r="E776" s="305"/>
      <c r="F776" s="305"/>
      <c r="G776" s="305"/>
      <c r="H776" s="305"/>
      <c r="I776" s="305"/>
      <c r="J776" s="305"/>
      <c r="K776" s="305"/>
      <c r="L776" s="305"/>
      <c r="M776" s="305"/>
      <c r="N776" s="305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  <c r="Y776" s="305"/>
      <c r="Z776" s="305"/>
    </row>
    <row r="777" spans="1:26" ht="15.75" customHeight="1">
      <c r="A777" s="305"/>
      <c r="B777" s="305"/>
      <c r="C777" s="305"/>
      <c r="D777" s="305"/>
      <c r="E777" s="305"/>
      <c r="F777" s="305"/>
      <c r="G777" s="305"/>
      <c r="H777" s="305"/>
      <c r="I777" s="305"/>
      <c r="J777" s="305"/>
      <c r="K777" s="305"/>
      <c r="L777" s="305"/>
      <c r="M777" s="305"/>
      <c r="N777" s="305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  <c r="Y777" s="305"/>
      <c r="Z777" s="305"/>
    </row>
    <row r="778" spans="1:26" ht="15.75" customHeight="1">
      <c r="A778" s="305"/>
      <c r="B778" s="305"/>
      <c r="C778" s="305"/>
      <c r="D778" s="305"/>
      <c r="E778" s="305"/>
      <c r="F778" s="305"/>
      <c r="G778" s="305"/>
      <c r="H778" s="305"/>
      <c r="I778" s="305"/>
      <c r="J778" s="305"/>
      <c r="K778" s="305"/>
      <c r="L778" s="305"/>
      <c r="M778" s="305"/>
      <c r="N778" s="305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  <c r="Y778" s="305"/>
      <c r="Z778" s="305"/>
    </row>
    <row r="779" spans="1:26" ht="15.75" customHeight="1">
      <c r="A779" s="305"/>
      <c r="B779" s="305"/>
      <c r="C779" s="305"/>
      <c r="D779" s="305"/>
      <c r="E779" s="305"/>
      <c r="F779" s="305"/>
      <c r="G779" s="305"/>
      <c r="H779" s="305"/>
      <c r="I779" s="305"/>
      <c r="J779" s="305"/>
      <c r="K779" s="305"/>
      <c r="L779" s="305"/>
      <c r="M779" s="305"/>
      <c r="N779" s="305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  <c r="Y779" s="305"/>
      <c r="Z779" s="305"/>
    </row>
    <row r="780" spans="1:26" ht="15.75" customHeight="1">
      <c r="A780" s="305"/>
      <c r="B780" s="305"/>
      <c r="C780" s="305"/>
      <c r="D780" s="305"/>
      <c r="E780" s="305"/>
      <c r="F780" s="305"/>
      <c r="G780" s="305"/>
      <c r="H780" s="305"/>
      <c r="I780" s="305"/>
      <c r="J780" s="305"/>
      <c r="K780" s="305"/>
      <c r="L780" s="305"/>
      <c r="M780" s="305"/>
      <c r="N780" s="305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  <c r="Y780" s="305"/>
      <c r="Z780" s="305"/>
    </row>
    <row r="781" spans="1:26" ht="15.75" customHeight="1">
      <c r="A781" s="305"/>
      <c r="B781" s="305"/>
      <c r="C781" s="305"/>
      <c r="D781" s="305"/>
      <c r="E781" s="305"/>
      <c r="F781" s="305"/>
      <c r="G781" s="305"/>
      <c r="H781" s="305"/>
      <c r="I781" s="305"/>
      <c r="J781" s="305"/>
      <c r="K781" s="305"/>
      <c r="L781" s="305"/>
      <c r="M781" s="305"/>
      <c r="N781" s="305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  <c r="Y781" s="305"/>
      <c r="Z781" s="305"/>
    </row>
    <row r="782" spans="1:26" ht="15.75" customHeight="1">
      <c r="A782" s="305"/>
      <c r="B782" s="305"/>
      <c r="C782" s="305"/>
      <c r="D782" s="305"/>
      <c r="E782" s="305"/>
      <c r="F782" s="305"/>
      <c r="G782" s="305"/>
      <c r="H782" s="305"/>
      <c r="I782" s="305"/>
      <c r="J782" s="305"/>
      <c r="K782" s="305"/>
      <c r="L782" s="305"/>
      <c r="M782" s="305"/>
      <c r="N782" s="305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  <c r="Y782" s="305"/>
      <c r="Z782" s="305"/>
    </row>
    <row r="783" spans="1:26" ht="15.75" customHeight="1">
      <c r="A783" s="305"/>
      <c r="B783" s="305"/>
      <c r="C783" s="305"/>
      <c r="D783" s="305"/>
      <c r="E783" s="305"/>
      <c r="F783" s="305"/>
      <c r="G783" s="305"/>
      <c r="H783" s="305"/>
      <c r="I783" s="305"/>
      <c r="J783" s="305"/>
      <c r="K783" s="305"/>
      <c r="L783" s="305"/>
      <c r="M783" s="305"/>
      <c r="N783" s="305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  <c r="Y783" s="305"/>
      <c r="Z783" s="305"/>
    </row>
    <row r="784" spans="1:26" ht="15.75" customHeight="1">
      <c r="A784" s="305"/>
      <c r="B784" s="305"/>
      <c r="C784" s="305"/>
      <c r="D784" s="305"/>
      <c r="E784" s="305"/>
      <c r="F784" s="305"/>
      <c r="G784" s="305"/>
      <c r="H784" s="305"/>
      <c r="I784" s="305"/>
      <c r="J784" s="305"/>
      <c r="K784" s="305"/>
      <c r="L784" s="305"/>
      <c r="M784" s="305"/>
      <c r="N784" s="305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  <c r="Y784" s="305"/>
      <c r="Z784" s="305"/>
    </row>
    <row r="785" spans="1:26" ht="15.75" customHeight="1">
      <c r="A785" s="305"/>
      <c r="B785" s="305"/>
      <c r="C785" s="305"/>
      <c r="D785" s="305"/>
      <c r="E785" s="305"/>
      <c r="F785" s="305"/>
      <c r="G785" s="305"/>
      <c r="H785" s="305"/>
      <c r="I785" s="305"/>
      <c r="J785" s="305"/>
      <c r="K785" s="305"/>
      <c r="L785" s="305"/>
      <c r="M785" s="305"/>
      <c r="N785" s="305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  <c r="Y785" s="305"/>
      <c r="Z785" s="305"/>
    </row>
    <row r="786" spans="1:26" ht="15.75" customHeight="1">
      <c r="A786" s="305"/>
      <c r="B786" s="305"/>
      <c r="C786" s="305"/>
      <c r="D786" s="305"/>
      <c r="E786" s="305"/>
      <c r="F786" s="305"/>
      <c r="G786" s="305"/>
      <c r="H786" s="305"/>
      <c r="I786" s="305"/>
      <c r="J786" s="305"/>
      <c r="K786" s="305"/>
      <c r="L786" s="305"/>
      <c r="M786" s="305"/>
      <c r="N786" s="305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  <c r="Y786" s="305"/>
      <c r="Z786" s="305"/>
    </row>
    <row r="787" spans="1:26" ht="15.75" customHeight="1">
      <c r="A787" s="305"/>
      <c r="B787" s="305"/>
      <c r="C787" s="305"/>
      <c r="D787" s="305"/>
      <c r="E787" s="305"/>
      <c r="F787" s="305"/>
      <c r="G787" s="305"/>
      <c r="H787" s="305"/>
      <c r="I787" s="305"/>
      <c r="J787" s="305"/>
      <c r="K787" s="305"/>
      <c r="L787" s="305"/>
      <c r="M787" s="305"/>
      <c r="N787" s="305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  <c r="Y787" s="305"/>
      <c r="Z787" s="305"/>
    </row>
    <row r="788" spans="1:26" ht="15.75" customHeight="1">
      <c r="A788" s="305"/>
      <c r="B788" s="305"/>
      <c r="C788" s="305"/>
      <c r="D788" s="305"/>
      <c r="E788" s="305"/>
      <c r="F788" s="305"/>
      <c r="G788" s="305"/>
      <c r="H788" s="305"/>
      <c r="I788" s="305"/>
      <c r="J788" s="305"/>
      <c r="K788" s="305"/>
      <c r="L788" s="305"/>
      <c r="M788" s="305"/>
      <c r="N788" s="305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  <c r="Y788" s="305"/>
      <c r="Z788" s="305"/>
    </row>
    <row r="789" spans="1:26" ht="15.75" customHeight="1">
      <c r="A789" s="305"/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  <c r="Y789" s="305"/>
      <c r="Z789" s="305"/>
    </row>
    <row r="790" spans="1:26" ht="15.75" customHeight="1">
      <c r="A790" s="305"/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  <c r="Y790" s="305"/>
      <c r="Z790" s="305"/>
    </row>
    <row r="791" spans="1:26" ht="15.75" customHeight="1">
      <c r="A791" s="305"/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  <c r="Y791" s="305"/>
      <c r="Z791" s="305"/>
    </row>
    <row r="792" spans="1:26" ht="15.75" customHeight="1">
      <c r="A792" s="305"/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  <c r="Y792" s="305"/>
      <c r="Z792" s="305"/>
    </row>
    <row r="793" spans="1:26" ht="15.75" customHeight="1">
      <c r="A793" s="305"/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  <c r="Y793" s="305"/>
      <c r="Z793" s="305"/>
    </row>
    <row r="794" spans="1:26" ht="15.75" customHeight="1">
      <c r="A794" s="305"/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  <c r="Y794" s="305"/>
      <c r="Z794" s="305"/>
    </row>
    <row r="795" spans="1:26" ht="15.75" customHeight="1">
      <c r="A795" s="305"/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  <c r="Y795" s="305"/>
      <c r="Z795" s="305"/>
    </row>
    <row r="796" spans="1:26" ht="15.75" customHeight="1">
      <c r="A796" s="305"/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  <c r="Y796" s="305"/>
      <c r="Z796" s="305"/>
    </row>
    <row r="797" spans="1:26" ht="15.75" customHeight="1">
      <c r="A797" s="305"/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  <c r="Y797" s="305"/>
      <c r="Z797" s="305"/>
    </row>
    <row r="798" spans="1:26" ht="15.75" customHeight="1">
      <c r="A798" s="305"/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  <c r="Y798" s="305"/>
      <c r="Z798" s="305"/>
    </row>
    <row r="799" spans="1:26" ht="15.75" customHeight="1">
      <c r="A799" s="305"/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  <c r="Y799" s="305"/>
      <c r="Z799" s="305"/>
    </row>
    <row r="800" spans="1:26" ht="15.75" customHeight="1">
      <c r="A800" s="305"/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  <c r="Y800" s="305"/>
      <c r="Z800" s="305"/>
    </row>
    <row r="801" spans="1:26" ht="15.75" customHeight="1">
      <c r="A801" s="305"/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  <c r="Y801" s="305"/>
      <c r="Z801" s="305"/>
    </row>
    <row r="802" spans="1:26" ht="15.75" customHeight="1">
      <c r="A802" s="305"/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  <c r="Y802" s="305"/>
      <c r="Z802" s="305"/>
    </row>
    <row r="803" spans="1:26" ht="15.75" customHeight="1">
      <c r="A803" s="305"/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  <c r="Y803" s="305"/>
      <c r="Z803" s="305"/>
    </row>
    <row r="804" spans="1:26" ht="15.75" customHeight="1">
      <c r="A804" s="305"/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  <c r="Y804" s="305"/>
      <c r="Z804" s="305"/>
    </row>
    <row r="805" spans="1:26" ht="15.75" customHeight="1">
      <c r="A805" s="305"/>
      <c r="B805" s="305"/>
      <c r="C805" s="305"/>
      <c r="D805" s="305"/>
      <c r="E805" s="305"/>
      <c r="F805" s="305"/>
      <c r="G805" s="305"/>
      <c r="H805" s="305"/>
      <c r="I805" s="305"/>
      <c r="J805" s="305"/>
      <c r="K805" s="305"/>
      <c r="L805" s="305"/>
      <c r="M805" s="305"/>
      <c r="N805" s="305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  <c r="Y805" s="305"/>
      <c r="Z805" s="305"/>
    </row>
    <row r="806" spans="1:26" ht="15.75" customHeight="1">
      <c r="A806" s="305"/>
      <c r="B806" s="305"/>
      <c r="C806" s="305"/>
      <c r="D806" s="305"/>
      <c r="E806" s="305"/>
      <c r="F806" s="305"/>
      <c r="G806" s="305"/>
      <c r="H806" s="305"/>
      <c r="I806" s="305"/>
      <c r="J806" s="305"/>
      <c r="K806" s="305"/>
      <c r="L806" s="305"/>
      <c r="M806" s="305"/>
      <c r="N806" s="305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  <c r="Y806" s="305"/>
      <c r="Z806" s="305"/>
    </row>
    <row r="807" spans="1:26" ht="15.75" customHeight="1">
      <c r="A807" s="305"/>
      <c r="B807" s="305"/>
      <c r="C807" s="305"/>
      <c r="D807" s="305"/>
      <c r="E807" s="305"/>
      <c r="F807" s="305"/>
      <c r="G807" s="305"/>
      <c r="H807" s="305"/>
      <c r="I807" s="305"/>
      <c r="J807" s="305"/>
      <c r="K807" s="305"/>
      <c r="L807" s="305"/>
      <c r="M807" s="305"/>
      <c r="N807" s="305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  <c r="Y807" s="305"/>
      <c r="Z807" s="305"/>
    </row>
    <row r="808" spans="1:26" ht="15.75" customHeight="1">
      <c r="A808" s="305"/>
      <c r="B808" s="305"/>
      <c r="C808" s="305"/>
      <c r="D808" s="305"/>
      <c r="E808" s="305"/>
      <c r="F808" s="305"/>
      <c r="G808" s="305"/>
      <c r="H808" s="305"/>
      <c r="I808" s="305"/>
      <c r="J808" s="305"/>
      <c r="K808" s="305"/>
      <c r="L808" s="305"/>
      <c r="M808" s="305"/>
      <c r="N808" s="305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  <c r="Y808" s="305"/>
      <c r="Z808" s="305"/>
    </row>
    <row r="809" spans="1:26" ht="15.75" customHeight="1">
      <c r="A809" s="305"/>
      <c r="B809" s="305"/>
      <c r="C809" s="305"/>
      <c r="D809" s="305"/>
      <c r="E809" s="305"/>
      <c r="F809" s="305"/>
      <c r="G809" s="305"/>
      <c r="H809" s="305"/>
      <c r="I809" s="305"/>
      <c r="J809" s="305"/>
      <c r="K809" s="305"/>
      <c r="L809" s="305"/>
      <c r="M809" s="305"/>
      <c r="N809" s="305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  <c r="Y809" s="305"/>
      <c r="Z809" s="305"/>
    </row>
    <row r="810" spans="1:26" ht="15.75" customHeight="1">
      <c r="A810" s="305"/>
      <c r="B810" s="305"/>
      <c r="C810" s="305"/>
      <c r="D810" s="305"/>
      <c r="E810" s="305"/>
      <c r="F810" s="305"/>
      <c r="G810" s="305"/>
      <c r="H810" s="305"/>
      <c r="I810" s="305"/>
      <c r="J810" s="305"/>
      <c r="K810" s="305"/>
      <c r="L810" s="305"/>
      <c r="M810" s="305"/>
      <c r="N810" s="305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  <c r="Y810" s="305"/>
      <c r="Z810" s="305"/>
    </row>
    <row r="811" spans="1:26" ht="15.75" customHeight="1">
      <c r="A811" s="305"/>
      <c r="B811" s="305"/>
      <c r="C811" s="305"/>
      <c r="D811" s="305"/>
      <c r="E811" s="305"/>
      <c r="F811" s="305"/>
      <c r="G811" s="305"/>
      <c r="H811" s="305"/>
      <c r="I811" s="305"/>
      <c r="J811" s="305"/>
      <c r="K811" s="305"/>
      <c r="L811" s="305"/>
      <c r="M811" s="305"/>
      <c r="N811" s="305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  <c r="Y811" s="305"/>
      <c r="Z811" s="305"/>
    </row>
    <row r="812" spans="1:26" ht="15.75" customHeight="1">
      <c r="A812" s="305"/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  <c r="Y812" s="305"/>
      <c r="Z812" s="305"/>
    </row>
    <row r="813" spans="1:26" ht="15.75" customHeight="1">
      <c r="A813" s="305"/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  <c r="Y813" s="305"/>
      <c r="Z813" s="305"/>
    </row>
    <row r="814" spans="1:26" ht="15.75" customHeight="1">
      <c r="A814" s="305"/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  <c r="Y814" s="305"/>
      <c r="Z814" s="305"/>
    </row>
    <row r="815" spans="1:26" ht="15.75" customHeight="1">
      <c r="A815" s="305"/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  <c r="Y815" s="305"/>
      <c r="Z815" s="305"/>
    </row>
    <row r="816" spans="1:26" ht="15.75" customHeight="1">
      <c r="A816" s="305"/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  <c r="Y816" s="305"/>
      <c r="Z816" s="305"/>
    </row>
    <row r="817" spans="1:26" ht="15.75" customHeight="1">
      <c r="A817" s="305"/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  <c r="Y817" s="305"/>
      <c r="Z817" s="305"/>
    </row>
    <row r="818" spans="1:26" ht="15.75" customHeight="1">
      <c r="A818" s="305"/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  <c r="Y818" s="305"/>
      <c r="Z818" s="305"/>
    </row>
    <row r="819" spans="1:26" ht="15.75" customHeight="1">
      <c r="A819" s="305"/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  <c r="Y819" s="305"/>
      <c r="Z819" s="305"/>
    </row>
    <row r="820" spans="1:26" ht="15.75" customHeight="1">
      <c r="A820" s="305"/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  <c r="Y820" s="305"/>
      <c r="Z820" s="305"/>
    </row>
    <row r="821" spans="1:26" ht="15.75" customHeight="1">
      <c r="A821" s="305"/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  <c r="Y821" s="305"/>
      <c r="Z821" s="305"/>
    </row>
    <row r="822" spans="1:26" ht="15.75" customHeight="1">
      <c r="A822" s="305"/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  <c r="Y822" s="305"/>
      <c r="Z822" s="305"/>
    </row>
    <row r="823" spans="1:26" ht="15.75" customHeight="1">
      <c r="A823" s="305"/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  <c r="Y823" s="305"/>
      <c r="Z823" s="305"/>
    </row>
    <row r="824" spans="1:26" ht="15.75" customHeight="1">
      <c r="A824" s="305"/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  <c r="Y824" s="305"/>
      <c r="Z824" s="305"/>
    </row>
    <row r="825" spans="1:26" ht="15.75" customHeight="1">
      <c r="A825" s="305"/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  <c r="Y825" s="305"/>
      <c r="Z825" s="305"/>
    </row>
    <row r="826" spans="1:26" ht="15.75" customHeight="1">
      <c r="A826" s="305"/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  <c r="Y826" s="305"/>
      <c r="Z826" s="305"/>
    </row>
    <row r="827" spans="1:26" ht="15.75" customHeight="1">
      <c r="A827" s="305"/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  <c r="Y827" s="305"/>
      <c r="Z827" s="305"/>
    </row>
    <row r="828" spans="1:26" ht="15.75" customHeight="1">
      <c r="A828" s="305"/>
      <c r="B828" s="305"/>
      <c r="C828" s="305"/>
      <c r="D828" s="305"/>
      <c r="E828" s="305"/>
      <c r="F828" s="305"/>
      <c r="G828" s="305"/>
      <c r="H828" s="305"/>
      <c r="I828" s="305"/>
      <c r="J828" s="305"/>
      <c r="K828" s="305"/>
      <c r="L828" s="305"/>
      <c r="M828" s="305"/>
      <c r="N828" s="305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  <c r="Y828" s="305"/>
      <c r="Z828" s="305"/>
    </row>
    <row r="829" spans="1:26" ht="15.75" customHeight="1">
      <c r="A829" s="305"/>
      <c r="B829" s="305"/>
      <c r="C829" s="305"/>
      <c r="D829" s="305"/>
      <c r="E829" s="305"/>
      <c r="F829" s="305"/>
      <c r="G829" s="305"/>
      <c r="H829" s="305"/>
      <c r="I829" s="305"/>
      <c r="J829" s="305"/>
      <c r="K829" s="305"/>
      <c r="L829" s="305"/>
      <c r="M829" s="305"/>
      <c r="N829" s="305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  <c r="Y829" s="305"/>
      <c r="Z829" s="305"/>
    </row>
    <row r="830" spans="1:26" ht="15.75" customHeight="1">
      <c r="A830" s="305"/>
      <c r="B830" s="305"/>
      <c r="C830" s="305"/>
      <c r="D830" s="305"/>
      <c r="E830" s="305"/>
      <c r="F830" s="305"/>
      <c r="G830" s="305"/>
      <c r="H830" s="305"/>
      <c r="I830" s="305"/>
      <c r="J830" s="305"/>
      <c r="K830" s="305"/>
      <c r="L830" s="305"/>
      <c r="M830" s="305"/>
      <c r="N830" s="305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  <c r="Y830" s="305"/>
      <c r="Z830" s="305"/>
    </row>
    <row r="831" spans="1:26" ht="15.75" customHeight="1">
      <c r="A831" s="305"/>
      <c r="B831" s="305"/>
      <c r="C831" s="305"/>
      <c r="D831" s="305"/>
      <c r="E831" s="305"/>
      <c r="F831" s="305"/>
      <c r="G831" s="305"/>
      <c r="H831" s="305"/>
      <c r="I831" s="305"/>
      <c r="J831" s="305"/>
      <c r="K831" s="305"/>
      <c r="L831" s="305"/>
      <c r="M831" s="305"/>
      <c r="N831" s="305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  <c r="Y831" s="305"/>
      <c r="Z831" s="305"/>
    </row>
    <row r="832" spans="1:26" ht="15.75" customHeight="1">
      <c r="A832" s="305"/>
      <c r="B832" s="305"/>
      <c r="C832" s="305"/>
      <c r="D832" s="305"/>
      <c r="E832" s="305"/>
      <c r="F832" s="305"/>
      <c r="G832" s="305"/>
      <c r="H832" s="305"/>
      <c r="I832" s="305"/>
      <c r="J832" s="305"/>
      <c r="K832" s="305"/>
      <c r="L832" s="305"/>
      <c r="M832" s="305"/>
      <c r="N832" s="305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  <c r="Y832" s="305"/>
      <c r="Z832" s="305"/>
    </row>
    <row r="833" spans="1:26" ht="15.75" customHeight="1">
      <c r="A833" s="305"/>
      <c r="B833" s="305"/>
      <c r="C833" s="305"/>
      <c r="D833" s="305"/>
      <c r="E833" s="305"/>
      <c r="F833" s="305"/>
      <c r="G833" s="305"/>
      <c r="H833" s="305"/>
      <c r="I833" s="305"/>
      <c r="J833" s="305"/>
      <c r="K833" s="305"/>
      <c r="L833" s="305"/>
      <c r="M833" s="305"/>
      <c r="N833" s="305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  <c r="Y833" s="305"/>
      <c r="Z833" s="305"/>
    </row>
    <row r="834" spans="1:26" ht="15.75" customHeight="1">
      <c r="A834" s="305"/>
      <c r="B834" s="305"/>
      <c r="C834" s="305"/>
      <c r="D834" s="305"/>
      <c r="E834" s="305"/>
      <c r="F834" s="305"/>
      <c r="G834" s="305"/>
      <c r="H834" s="305"/>
      <c r="I834" s="305"/>
      <c r="J834" s="305"/>
      <c r="K834" s="305"/>
      <c r="L834" s="305"/>
      <c r="M834" s="305"/>
      <c r="N834" s="305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  <c r="Y834" s="305"/>
      <c r="Z834" s="305"/>
    </row>
    <row r="835" spans="1:26" ht="15.75" customHeight="1">
      <c r="A835" s="305"/>
      <c r="B835" s="305"/>
      <c r="C835" s="305"/>
      <c r="D835" s="305"/>
      <c r="E835" s="305"/>
      <c r="F835" s="305"/>
      <c r="G835" s="305"/>
      <c r="H835" s="305"/>
      <c r="I835" s="305"/>
      <c r="J835" s="305"/>
      <c r="K835" s="305"/>
      <c r="L835" s="305"/>
      <c r="M835" s="305"/>
      <c r="N835" s="305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  <c r="Y835" s="305"/>
      <c r="Z835" s="305"/>
    </row>
    <row r="836" spans="1:26" ht="15.75" customHeight="1">
      <c r="A836" s="305"/>
      <c r="B836" s="305"/>
      <c r="C836" s="305"/>
      <c r="D836" s="305"/>
      <c r="E836" s="305"/>
      <c r="F836" s="305"/>
      <c r="G836" s="305"/>
      <c r="H836" s="305"/>
      <c r="I836" s="305"/>
      <c r="J836" s="305"/>
      <c r="K836" s="305"/>
      <c r="L836" s="305"/>
      <c r="M836" s="305"/>
      <c r="N836" s="305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  <c r="Y836" s="305"/>
      <c r="Z836" s="305"/>
    </row>
    <row r="837" spans="1:26" ht="15.75" customHeight="1">
      <c r="A837" s="305"/>
      <c r="B837" s="305"/>
      <c r="C837" s="305"/>
      <c r="D837" s="305"/>
      <c r="E837" s="305"/>
      <c r="F837" s="305"/>
      <c r="G837" s="305"/>
      <c r="H837" s="305"/>
      <c r="I837" s="305"/>
      <c r="J837" s="305"/>
      <c r="K837" s="305"/>
      <c r="L837" s="305"/>
      <c r="M837" s="305"/>
      <c r="N837" s="305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  <c r="Y837" s="305"/>
      <c r="Z837" s="305"/>
    </row>
    <row r="838" spans="1:26" ht="15.75" customHeight="1">
      <c r="A838" s="305"/>
      <c r="B838" s="305"/>
      <c r="C838" s="305"/>
      <c r="D838" s="305"/>
      <c r="E838" s="305"/>
      <c r="F838" s="305"/>
      <c r="G838" s="305"/>
      <c r="H838" s="305"/>
      <c r="I838" s="305"/>
      <c r="J838" s="305"/>
      <c r="K838" s="305"/>
      <c r="L838" s="305"/>
      <c r="M838" s="305"/>
      <c r="N838" s="305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  <c r="Y838" s="305"/>
      <c r="Z838" s="305"/>
    </row>
    <row r="839" spans="1:26" ht="15.75" customHeight="1">
      <c r="A839" s="305"/>
      <c r="B839" s="305"/>
      <c r="C839" s="305"/>
      <c r="D839" s="305"/>
      <c r="E839" s="305"/>
      <c r="F839" s="305"/>
      <c r="G839" s="305"/>
      <c r="H839" s="305"/>
      <c r="I839" s="305"/>
      <c r="J839" s="305"/>
      <c r="K839" s="305"/>
      <c r="L839" s="305"/>
      <c r="M839" s="305"/>
      <c r="N839" s="305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  <c r="Y839" s="305"/>
      <c r="Z839" s="305"/>
    </row>
    <row r="840" spans="1:26" ht="15.75" customHeight="1">
      <c r="A840" s="305"/>
      <c r="B840" s="305"/>
      <c r="C840" s="305"/>
      <c r="D840" s="305"/>
      <c r="E840" s="305"/>
      <c r="F840" s="305"/>
      <c r="G840" s="305"/>
      <c r="H840" s="305"/>
      <c r="I840" s="305"/>
      <c r="J840" s="305"/>
      <c r="K840" s="305"/>
      <c r="L840" s="305"/>
      <c r="M840" s="305"/>
      <c r="N840" s="305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  <c r="Y840" s="305"/>
      <c r="Z840" s="305"/>
    </row>
    <row r="841" spans="1:26" ht="15.75" customHeight="1">
      <c r="A841" s="305"/>
      <c r="B841" s="305"/>
      <c r="C841" s="305"/>
      <c r="D841" s="305"/>
      <c r="E841" s="305"/>
      <c r="F841" s="305"/>
      <c r="G841" s="305"/>
      <c r="H841" s="305"/>
      <c r="I841" s="305"/>
      <c r="J841" s="305"/>
      <c r="K841" s="305"/>
      <c r="L841" s="305"/>
      <c r="M841" s="305"/>
      <c r="N841" s="305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  <c r="Y841" s="305"/>
      <c r="Z841" s="305"/>
    </row>
    <row r="842" spans="1:26" ht="15.75" customHeight="1">
      <c r="A842" s="305"/>
      <c r="B842" s="305"/>
      <c r="C842" s="305"/>
      <c r="D842" s="305"/>
      <c r="E842" s="305"/>
      <c r="F842" s="305"/>
      <c r="G842" s="305"/>
      <c r="H842" s="305"/>
      <c r="I842" s="305"/>
      <c r="J842" s="305"/>
      <c r="K842" s="305"/>
      <c r="L842" s="305"/>
      <c r="M842" s="305"/>
      <c r="N842" s="305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  <c r="Y842" s="305"/>
      <c r="Z842" s="305"/>
    </row>
    <row r="843" spans="1:26" ht="15.75" customHeight="1">
      <c r="A843" s="305"/>
      <c r="B843" s="305"/>
      <c r="C843" s="305"/>
      <c r="D843" s="305"/>
      <c r="E843" s="305"/>
      <c r="F843" s="305"/>
      <c r="G843" s="305"/>
      <c r="H843" s="305"/>
      <c r="I843" s="305"/>
      <c r="J843" s="305"/>
      <c r="K843" s="305"/>
      <c r="L843" s="305"/>
      <c r="M843" s="305"/>
      <c r="N843" s="305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  <c r="Y843" s="305"/>
      <c r="Z843" s="305"/>
    </row>
    <row r="844" spans="1:26" ht="15.75" customHeight="1">
      <c r="A844" s="305"/>
      <c r="B844" s="305"/>
      <c r="C844" s="305"/>
      <c r="D844" s="305"/>
      <c r="E844" s="305"/>
      <c r="F844" s="305"/>
      <c r="G844" s="305"/>
      <c r="H844" s="305"/>
      <c r="I844" s="305"/>
      <c r="J844" s="305"/>
      <c r="K844" s="305"/>
      <c r="L844" s="305"/>
      <c r="M844" s="305"/>
      <c r="N844" s="305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  <c r="Y844" s="305"/>
      <c r="Z844" s="305"/>
    </row>
    <row r="845" spans="1:26" ht="15.75" customHeight="1">
      <c r="A845" s="305"/>
      <c r="B845" s="305"/>
      <c r="C845" s="305"/>
      <c r="D845" s="305"/>
      <c r="E845" s="305"/>
      <c r="F845" s="305"/>
      <c r="G845" s="305"/>
      <c r="H845" s="305"/>
      <c r="I845" s="305"/>
      <c r="J845" s="305"/>
      <c r="K845" s="305"/>
      <c r="L845" s="305"/>
      <c r="M845" s="305"/>
      <c r="N845" s="305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  <c r="Y845" s="305"/>
      <c r="Z845" s="305"/>
    </row>
    <row r="846" spans="1:26" ht="15.75" customHeight="1">
      <c r="A846" s="305"/>
      <c r="B846" s="305"/>
      <c r="C846" s="305"/>
      <c r="D846" s="305"/>
      <c r="E846" s="305"/>
      <c r="F846" s="305"/>
      <c r="G846" s="305"/>
      <c r="H846" s="305"/>
      <c r="I846" s="305"/>
      <c r="J846" s="305"/>
      <c r="K846" s="305"/>
      <c r="L846" s="305"/>
      <c r="M846" s="305"/>
      <c r="N846" s="305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  <c r="Y846" s="305"/>
      <c r="Z846" s="305"/>
    </row>
    <row r="847" spans="1:26" ht="15.75" customHeight="1">
      <c r="A847" s="305"/>
      <c r="B847" s="305"/>
      <c r="C847" s="305"/>
      <c r="D847" s="305"/>
      <c r="E847" s="305"/>
      <c r="F847" s="305"/>
      <c r="G847" s="305"/>
      <c r="H847" s="305"/>
      <c r="I847" s="305"/>
      <c r="J847" s="305"/>
      <c r="K847" s="305"/>
      <c r="L847" s="305"/>
      <c r="M847" s="305"/>
      <c r="N847" s="305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  <c r="Y847" s="305"/>
      <c r="Z847" s="305"/>
    </row>
    <row r="848" spans="1:26" ht="15.75" customHeight="1">
      <c r="A848" s="305"/>
      <c r="B848" s="305"/>
      <c r="C848" s="305"/>
      <c r="D848" s="305"/>
      <c r="E848" s="305"/>
      <c r="F848" s="305"/>
      <c r="G848" s="305"/>
      <c r="H848" s="305"/>
      <c r="I848" s="305"/>
      <c r="J848" s="305"/>
      <c r="K848" s="305"/>
      <c r="L848" s="305"/>
      <c r="M848" s="305"/>
      <c r="N848" s="305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  <c r="Y848" s="305"/>
      <c r="Z848" s="305"/>
    </row>
    <row r="849" spans="1:26" ht="15.75" customHeight="1">
      <c r="A849" s="305"/>
      <c r="B849" s="305"/>
      <c r="C849" s="305"/>
      <c r="D849" s="305"/>
      <c r="E849" s="305"/>
      <c r="F849" s="305"/>
      <c r="G849" s="305"/>
      <c r="H849" s="305"/>
      <c r="I849" s="305"/>
      <c r="J849" s="305"/>
      <c r="K849" s="305"/>
      <c r="L849" s="305"/>
      <c r="M849" s="305"/>
      <c r="N849" s="305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  <c r="Y849" s="305"/>
      <c r="Z849" s="305"/>
    </row>
    <row r="850" spans="1:26" ht="15.75" customHeight="1">
      <c r="A850" s="305"/>
      <c r="B850" s="305"/>
      <c r="C850" s="305"/>
      <c r="D850" s="305"/>
      <c r="E850" s="305"/>
      <c r="F850" s="305"/>
      <c r="G850" s="305"/>
      <c r="H850" s="305"/>
      <c r="I850" s="305"/>
      <c r="J850" s="305"/>
      <c r="K850" s="305"/>
      <c r="L850" s="305"/>
      <c r="M850" s="305"/>
      <c r="N850" s="305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  <c r="Y850" s="305"/>
      <c r="Z850" s="305"/>
    </row>
    <row r="851" spans="1:26" ht="15.75" customHeight="1">
      <c r="A851" s="305"/>
      <c r="B851" s="305"/>
      <c r="C851" s="305"/>
      <c r="D851" s="305"/>
      <c r="E851" s="305"/>
      <c r="F851" s="305"/>
      <c r="G851" s="305"/>
      <c r="H851" s="305"/>
      <c r="I851" s="305"/>
      <c r="J851" s="305"/>
      <c r="K851" s="305"/>
      <c r="L851" s="305"/>
      <c r="M851" s="305"/>
      <c r="N851" s="305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  <c r="Y851" s="305"/>
      <c r="Z851" s="305"/>
    </row>
    <row r="852" spans="1:26" ht="15.75" customHeight="1">
      <c r="A852" s="305"/>
      <c r="B852" s="305"/>
      <c r="C852" s="305"/>
      <c r="D852" s="305"/>
      <c r="E852" s="305"/>
      <c r="F852" s="305"/>
      <c r="G852" s="305"/>
      <c r="H852" s="305"/>
      <c r="I852" s="305"/>
      <c r="J852" s="305"/>
      <c r="K852" s="305"/>
      <c r="L852" s="305"/>
      <c r="M852" s="305"/>
      <c r="N852" s="305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  <c r="Y852" s="305"/>
      <c r="Z852" s="305"/>
    </row>
    <row r="853" spans="1:26" ht="15.75" customHeight="1">
      <c r="A853" s="305"/>
      <c r="B853" s="305"/>
      <c r="C853" s="305"/>
      <c r="D853" s="305"/>
      <c r="E853" s="305"/>
      <c r="F853" s="305"/>
      <c r="G853" s="305"/>
      <c r="H853" s="305"/>
      <c r="I853" s="305"/>
      <c r="J853" s="305"/>
      <c r="K853" s="305"/>
      <c r="L853" s="305"/>
      <c r="M853" s="305"/>
      <c r="N853" s="305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  <c r="Y853" s="305"/>
      <c r="Z853" s="305"/>
    </row>
    <row r="854" spans="1:26" ht="15.75" customHeight="1">
      <c r="A854" s="305"/>
      <c r="B854" s="305"/>
      <c r="C854" s="305"/>
      <c r="D854" s="305"/>
      <c r="E854" s="305"/>
      <c r="F854" s="305"/>
      <c r="G854" s="305"/>
      <c r="H854" s="305"/>
      <c r="I854" s="305"/>
      <c r="J854" s="305"/>
      <c r="K854" s="305"/>
      <c r="L854" s="305"/>
      <c r="M854" s="305"/>
      <c r="N854" s="305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  <c r="Y854" s="305"/>
      <c r="Z854" s="305"/>
    </row>
    <row r="855" spans="1:26" ht="15.75" customHeight="1">
      <c r="A855" s="305"/>
      <c r="B855" s="305"/>
      <c r="C855" s="305"/>
      <c r="D855" s="305"/>
      <c r="E855" s="305"/>
      <c r="F855" s="305"/>
      <c r="G855" s="305"/>
      <c r="H855" s="305"/>
      <c r="I855" s="305"/>
      <c r="J855" s="305"/>
      <c r="K855" s="305"/>
      <c r="L855" s="305"/>
      <c r="M855" s="305"/>
      <c r="N855" s="305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  <c r="Y855" s="305"/>
      <c r="Z855" s="305"/>
    </row>
    <row r="856" spans="1:26" ht="15.75" customHeight="1">
      <c r="A856" s="305"/>
      <c r="B856" s="305"/>
      <c r="C856" s="305"/>
      <c r="D856" s="305"/>
      <c r="E856" s="305"/>
      <c r="F856" s="305"/>
      <c r="G856" s="305"/>
      <c r="H856" s="305"/>
      <c r="I856" s="305"/>
      <c r="J856" s="305"/>
      <c r="K856" s="305"/>
      <c r="L856" s="305"/>
      <c r="M856" s="305"/>
      <c r="N856" s="305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  <c r="Y856" s="305"/>
      <c r="Z856" s="305"/>
    </row>
    <row r="857" spans="1:26" ht="15.75" customHeight="1">
      <c r="A857" s="305"/>
      <c r="B857" s="305"/>
      <c r="C857" s="305"/>
      <c r="D857" s="305"/>
      <c r="E857" s="305"/>
      <c r="F857" s="305"/>
      <c r="G857" s="305"/>
      <c r="H857" s="305"/>
      <c r="I857" s="305"/>
      <c r="J857" s="305"/>
      <c r="K857" s="305"/>
      <c r="L857" s="305"/>
      <c r="M857" s="305"/>
      <c r="N857" s="305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  <c r="Y857" s="305"/>
      <c r="Z857" s="305"/>
    </row>
    <row r="858" spans="1:26" ht="15.75" customHeight="1">
      <c r="A858" s="305"/>
      <c r="B858" s="305"/>
      <c r="C858" s="305"/>
      <c r="D858" s="305"/>
      <c r="E858" s="305"/>
      <c r="F858" s="305"/>
      <c r="G858" s="305"/>
      <c r="H858" s="305"/>
      <c r="I858" s="305"/>
      <c r="J858" s="305"/>
      <c r="K858" s="305"/>
      <c r="L858" s="305"/>
      <c r="M858" s="305"/>
      <c r="N858" s="305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  <c r="Y858" s="305"/>
      <c r="Z858" s="305"/>
    </row>
    <row r="859" spans="1:26" ht="15.75" customHeight="1">
      <c r="A859" s="305"/>
      <c r="B859" s="305"/>
      <c r="C859" s="305"/>
      <c r="D859" s="305"/>
      <c r="E859" s="305"/>
      <c r="F859" s="305"/>
      <c r="G859" s="305"/>
      <c r="H859" s="305"/>
      <c r="I859" s="305"/>
      <c r="J859" s="305"/>
      <c r="K859" s="305"/>
      <c r="L859" s="305"/>
      <c r="M859" s="305"/>
      <c r="N859" s="305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  <c r="Y859" s="305"/>
      <c r="Z859" s="305"/>
    </row>
    <row r="860" spans="1:26" ht="15.75" customHeight="1">
      <c r="A860" s="305"/>
      <c r="B860" s="305"/>
      <c r="C860" s="305"/>
      <c r="D860" s="305"/>
      <c r="E860" s="305"/>
      <c r="F860" s="305"/>
      <c r="G860" s="305"/>
      <c r="H860" s="305"/>
      <c r="I860" s="305"/>
      <c r="J860" s="305"/>
      <c r="K860" s="305"/>
      <c r="L860" s="305"/>
      <c r="M860" s="305"/>
      <c r="N860" s="305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  <c r="Y860" s="305"/>
      <c r="Z860" s="305"/>
    </row>
    <row r="861" spans="1:26" ht="15.75" customHeight="1">
      <c r="A861" s="305"/>
      <c r="B861" s="305"/>
      <c r="C861" s="305"/>
      <c r="D861" s="305"/>
      <c r="E861" s="305"/>
      <c r="F861" s="305"/>
      <c r="G861" s="305"/>
      <c r="H861" s="305"/>
      <c r="I861" s="305"/>
      <c r="J861" s="305"/>
      <c r="K861" s="305"/>
      <c r="L861" s="305"/>
      <c r="M861" s="305"/>
      <c r="N861" s="305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  <c r="Y861" s="305"/>
      <c r="Z861" s="305"/>
    </row>
    <row r="862" spans="1:26" ht="15.75" customHeight="1">
      <c r="A862" s="305"/>
      <c r="B862" s="305"/>
      <c r="C862" s="305"/>
      <c r="D862" s="305"/>
      <c r="E862" s="305"/>
      <c r="F862" s="305"/>
      <c r="G862" s="305"/>
      <c r="H862" s="305"/>
      <c r="I862" s="305"/>
      <c r="J862" s="305"/>
      <c r="K862" s="305"/>
      <c r="L862" s="305"/>
      <c r="M862" s="305"/>
      <c r="N862" s="305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  <c r="Y862" s="305"/>
      <c r="Z862" s="305"/>
    </row>
    <row r="863" spans="1:26" ht="15.75" customHeight="1">
      <c r="A863" s="305"/>
      <c r="B863" s="305"/>
      <c r="C863" s="305"/>
      <c r="D863" s="305"/>
      <c r="E863" s="305"/>
      <c r="F863" s="305"/>
      <c r="G863" s="305"/>
      <c r="H863" s="305"/>
      <c r="I863" s="305"/>
      <c r="J863" s="305"/>
      <c r="K863" s="305"/>
      <c r="L863" s="305"/>
      <c r="M863" s="305"/>
      <c r="N863" s="305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  <c r="Y863" s="305"/>
      <c r="Z863" s="305"/>
    </row>
    <row r="864" spans="1:26" ht="15.75" customHeight="1">
      <c r="A864" s="305"/>
      <c r="B864" s="305"/>
      <c r="C864" s="305"/>
      <c r="D864" s="305"/>
      <c r="E864" s="305"/>
      <c r="F864" s="305"/>
      <c r="G864" s="305"/>
      <c r="H864" s="305"/>
      <c r="I864" s="305"/>
      <c r="J864" s="305"/>
      <c r="K864" s="305"/>
      <c r="L864" s="305"/>
      <c r="M864" s="305"/>
      <c r="N864" s="305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  <c r="Y864" s="305"/>
      <c r="Z864" s="305"/>
    </row>
    <row r="865" spans="1:26" ht="15.75" customHeight="1">
      <c r="A865" s="305"/>
      <c r="B865" s="305"/>
      <c r="C865" s="305"/>
      <c r="D865" s="305"/>
      <c r="E865" s="305"/>
      <c r="F865" s="305"/>
      <c r="G865" s="305"/>
      <c r="H865" s="305"/>
      <c r="I865" s="305"/>
      <c r="J865" s="305"/>
      <c r="K865" s="305"/>
      <c r="L865" s="305"/>
      <c r="M865" s="305"/>
      <c r="N865" s="305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  <c r="Y865" s="305"/>
      <c r="Z865" s="305"/>
    </row>
    <row r="866" spans="1:26" ht="15.75" customHeight="1">
      <c r="A866" s="305"/>
      <c r="B866" s="305"/>
      <c r="C866" s="305"/>
      <c r="D866" s="305"/>
      <c r="E866" s="305"/>
      <c r="F866" s="305"/>
      <c r="G866" s="305"/>
      <c r="H866" s="305"/>
      <c r="I866" s="305"/>
      <c r="J866" s="305"/>
      <c r="K866" s="305"/>
      <c r="L866" s="305"/>
      <c r="M866" s="305"/>
      <c r="N866" s="305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  <c r="Y866" s="305"/>
      <c r="Z866" s="305"/>
    </row>
    <row r="867" spans="1:26" ht="15.75" customHeight="1">
      <c r="A867" s="305"/>
      <c r="B867" s="305"/>
      <c r="C867" s="305"/>
      <c r="D867" s="305"/>
      <c r="E867" s="305"/>
      <c r="F867" s="305"/>
      <c r="G867" s="305"/>
      <c r="H867" s="305"/>
      <c r="I867" s="305"/>
      <c r="J867" s="305"/>
      <c r="K867" s="305"/>
      <c r="L867" s="305"/>
      <c r="M867" s="305"/>
      <c r="N867" s="305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  <c r="Y867" s="305"/>
      <c r="Z867" s="305"/>
    </row>
    <row r="868" spans="1:26" ht="15.75" customHeight="1">
      <c r="A868" s="305"/>
      <c r="B868" s="305"/>
      <c r="C868" s="305"/>
      <c r="D868" s="305"/>
      <c r="E868" s="305"/>
      <c r="F868" s="305"/>
      <c r="G868" s="305"/>
      <c r="H868" s="305"/>
      <c r="I868" s="305"/>
      <c r="J868" s="305"/>
      <c r="K868" s="305"/>
      <c r="L868" s="305"/>
      <c r="M868" s="305"/>
      <c r="N868" s="305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  <c r="Y868" s="305"/>
      <c r="Z868" s="305"/>
    </row>
    <row r="869" spans="1:26" ht="15.75" customHeight="1">
      <c r="A869" s="305"/>
      <c r="B869" s="305"/>
      <c r="C869" s="305"/>
      <c r="D869" s="305"/>
      <c r="E869" s="305"/>
      <c r="F869" s="305"/>
      <c r="G869" s="305"/>
      <c r="H869" s="305"/>
      <c r="I869" s="305"/>
      <c r="J869" s="305"/>
      <c r="K869" s="305"/>
      <c r="L869" s="305"/>
      <c r="M869" s="305"/>
      <c r="N869" s="305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  <c r="Y869" s="305"/>
      <c r="Z869" s="305"/>
    </row>
    <row r="870" spans="1:26" ht="15.75" customHeight="1">
      <c r="A870" s="305"/>
      <c r="B870" s="305"/>
      <c r="C870" s="305"/>
      <c r="D870" s="305"/>
      <c r="E870" s="305"/>
      <c r="F870" s="305"/>
      <c r="G870" s="305"/>
      <c r="H870" s="305"/>
      <c r="I870" s="305"/>
      <c r="J870" s="305"/>
      <c r="K870" s="305"/>
      <c r="L870" s="305"/>
      <c r="M870" s="305"/>
      <c r="N870" s="305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  <c r="Y870" s="305"/>
      <c r="Z870" s="305"/>
    </row>
    <row r="871" spans="1:26" ht="15.75" customHeight="1">
      <c r="A871" s="305"/>
      <c r="B871" s="305"/>
      <c r="C871" s="305"/>
      <c r="D871" s="305"/>
      <c r="E871" s="305"/>
      <c r="F871" s="305"/>
      <c r="G871" s="305"/>
      <c r="H871" s="305"/>
      <c r="I871" s="305"/>
      <c r="J871" s="305"/>
      <c r="K871" s="305"/>
      <c r="L871" s="305"/>
      <c r="M871" s="305"/>
      <c r="N871" s="305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  <c r="Y871" s="305"/>
      <c r="Z871" s="305"/>
    </row>
    <row r="872" spans="1:26" ht="15.75" customHeight="1">
      <c r="A872" s="305"/>
      <c r="B872" s="305"/>
      <c r="C872" s="305"/>
      <c r="D872" s="305"/>
      <c r="E872" s="305"/>
      <c r="F872" s="305"/>
      <c r="G872" s="305"/>
      <c r="H872" s="305"/>
      <c r="I872" s="305"/>
      <c r="J872" s="305"/>
      <c r="K872" s="305"/>
      <c r="L872" s="305"/>
      <c r="M872" s="305"/>
      <c r="N872" s="305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  <c r="Y872" s="305"/>
      <c r="Z872" s="305"/>
    </row>
    <row r="873" spans="1:26" ht="15.75" customHeight="1">
      <c r="A873" s="305"/>
      <c r="B873" s="305"/>
      <c r="C873" s="305"/>
      <c r="D873" s="305"/>
      <c r="E873" s="305"/>
      <c r="F873" s="305"/>
      <c r="G873" s="305"/>
      <c r="H873" s="305"/>
      <c r="I873" s="305"/>
      <c r="J873" s="305"/>
      <c r="K873" s="305"/>
      <c r="L873" s="305"/>
      <c r="M873" s="305"/>
      <c r="N873" s="305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  <c r="Y873" s="305"/>
      <c r="Z873" s="305"/>
    </row>
    <row r="874" spans="1:26" ht="15.75" customHeight="1">
      <c r="A874" s="305"/>
      <c r="B874" s="305"/>
      <c r="C874" s="305"/>
      <c r="D874" s="305"/>
      <c r="E874" s="305"/>
      <c r="F874" s="305"/>
      <c r="G874" s="305"/>
      <c r="H874" s="305"/>
      <c r="I874" s="305"/>
      <c r="J874" s="305"/>
      <c r="K874" s="305"/>
      <c r="L874" s="305"/>
      <c r="M874" s="305"/>
      <c r="N874" s="305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  <c r="Y874" s="305"/>
      <c r="Z874" s="305"/>
    </row>
    <row r="875" spans="1:26" ht="15.75" customHeight="1">
      <c r="A875" s="305"/>
      <c r="B875" s="305"/>
      <c r="C875" s="305"/>
      <c r="D875" s="305"/>
      <c r="E875" s="305"/>
      <c r="F875" s="305"/>
      <c r="G875" s="305"/>
      <c r="H875" s="305"/>
      <c r="I875" s="305"/>
      <c r="J875" s="305"/>
      <c r="K875" s="305"/>
      <c r="L875" s="305"/>
      <c r="M875" s="305"/>
      <c r="N875" s="305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  <c r="Y875" s="305"/>
      <c r="Z875" s="305"/>
    </row>
    <row r="876" spans="1:26" ht="15.75" customHeight="1">
      <c r="A876" s="305"/>
      <c r="B876" s="305"/>
      <c r="C876" s="305"/>
      <c r="D876" s="305"/>
      <c r="E876" s="305"/>
      <c r="F876" s="305"/>
      <c r="G876" s="305"/>
      <c r="H876" s="305"/>
      <c r="I876" s="305"/>
      <c r="J876" s="305"/>
      <c r="K876" s="305"/>
      <c r="L876" s="305"/>
      <c r="M876" s="305"/>
      <c r="N876" s="305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  <c r="Y876" s="305"/>
      <c r="Z876" s="305"/>
    </row>
    <row r="877" spans="1:26" ht="15.75" customHeight="1">
      <c r="A877" s="305"/>
      <c r="B877" s="305"/>
      <c r="C877" s="305"/>
      <c r="D877" s="305"/>
      <c r="E877" s="305"/>
      <c r="F877" s="305"/>
      <c r="G877" s="305"/>
      <c r="H877" s="305"/>
      <c r="I877" s="305"/>
      <c r="J877" s="305"/>
      <c r="K877" s="305"/>
      <c r="L877" s="305"/>
      <c r="M877" s="305"/>
      <c r="N877" s="305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  <c r="Y877" s="305"/>
      <c r="Z877" s="305"/>
    </row>
    <row r="878" spans="1:26" ht="15.75" customHeight="1">
      <c r="A878" s="305"/>
      <c r="B878" s="305"/>
      <c r="C878" s="305"/>
      <c r="D878" s="305"/>
      <c r="E878" s="305"/>
      <c r="F878" s="305"/>
      <c r="G878" s="305"/>
      <c r="H878" s="305"/>
      <c r="I878" s="305"/>
      <c r="J878" s="305"/>
      <c r="K878" s="305"/>
      <c r="L878" s="305"/>
      <c r="M878" s="305"/>
      <c r="N878" s="305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  <c r="Y878" s="305"/>
      <c r="Z878" s="305"/>
    </row>
    <row r="879" spans="1:26" ht="15.75" customHeight="1">
      <c r="A879" s="305"/>
      <c r="B879" s="305"/>
      <c r="C879" s="305"/>
      <c r="D879" s="305"/>
      <c r="E879" s="305"/>
      <c r="F879" s="305"/>
      <c r="G879" s="305"/>
      <c r="H879" s="305"/>
      <c r="I879" s="305"/>
      <c r="J879" s="305"/>
      <c r="K879" s="305"/>
      <c r="L879" s="305"/>
      <c r="M879" s="305"/>
      <c r="N879" s="305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  <c r="Y879" s="305"/>
      <c r="Z879" s="305"/>
    </row>
    <row r="880" spans="1:26" ht="15.75" customHeight="1">
      <c r="A880" s="305"/>
      <c r="B880" s="305"/>
      <c r="C880" s="305"/>
      <c r="D880" s="305"/>
      <c r="E880" s="305"/>
      <c r="F880" s="305"/>
      <c r="G880" s="305"/>
      <c r="H880" s="305"/>
      <c r="I880" s="305"/>
      <c r="J880" s="305"/>
      <c r="K880" s="305"/>
      <c r="L880" s="305"/>
      <c r="M880" s="305"/>
      <c r="N880" s="305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  <c r="Y880" s="305"/>
      <c r="Z880" s="305"/>
    </row>
    <row r="881" spans="1:26" ht="15.75" customHeight="1">
      <c r="A881" s="305"/>
      <c r="B881" s="305"/>
      <c r="C881" s="305"/>
      <c r="D881" s="305"/>
      <c r="E881" s="305"/>
      <c r="F881" s="305"/>
      <c r="G881" s="305"/>
      <c r="H881" s="305"/>
      <c r="I881" s="305"/>
      <c r="J881" s="305"/>
      <c r="K881" s="305"/>
      <c r="L881" s="305"/>
      <c r="M881" s="305"/>
      <c r="N881" s="305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  <c r="Y881" s="305"/>
      <c r="Z881" s="305"/>
    </row>
    <row r="882" spans="1:26" ht="15.75" customHeight="1">
      <c r="A882" s="305"/>
      <c r="B882" s="305"/>
      <c r="C882" s="305"/>
      <c r="D882" s="305"/>
      <c r="E882" s="305"/>
      <c r="F882" s="305"/>
      <c r="G882" s="305"/>
      <c r="H882" s="305"/>
      <c r="I882" s="305"/>
      <c r="J882" s="305"/>
      <c r="K882" s="305"/>
      <c r="L882" s="305"/>
      <c r="M882" s="305"/>
      <c r="N882" s="305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  <c r="Y882" s="305"/>
      <c r="Z882" s="305"/>
    </row>
    <row r="883" spans="1:26" ht="15.75" customHeight="1">
      <c r="A883" s="305"/>
      <c r="B883" s="305"/>
      <c r="C883" s="305"/>
      <c r="D883" s="305"/>
      <c r="E883" s="305"/>
      <c r="F883" s="305"/>
      <c r="G883" s="305"/>
      <c r="H883" s="305"/>
      <c r="I883" s="305"/>
      <c r="J883" s="305"/>
      <c r="K883" s="305"/>
      <c r="L883" s="305"/>
      <c r="M883" s="305"/>
      <c r="N883" s="305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  <c r="Y883" s="305"/>
      <c r="Z883" s="305"/>
    </row>
    <row r="884" spans="1:26" ht="15.75" customHeight="1">
      <c r="A884" s="305"/>
      <c r="B884" s="305"/>
      <c r="C884" s="305"/>
      <c r="D884" s="305"/>
      <c r="E884" s="305"/>
      <c r="F884" s="305"/>
      <c r="G884" s="305"/>
      <c r="H884" s="305"/>
      <c r="I884" s="305"/>
      <c r="J884" s="305"/>
      <c r="K884" s="305"/>
      <c r="L884" s="305"/>
      <c r="M884" s="305"/>
      <c r="N884" s="305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  <c r="Y884" s="305"/>
      <c r="Z884" s="305"/>
    </row>
    <row r="885" spans="1:26" ht="15.75" customHeight="1">
      <c r="A885" s="305"/>
      <c r="B885" s="305"/>
      <c r="C885" s="305"/>
      <c r="D885" s="305"/>
      <c r="E885" s="305"/>
      <c r="F885" s="305"/>
      <c r="G885" s="305"/>
      <c r="H885" s="305"/>
      <c r="I885" s="305"/>
      <c r="J885" s="305"/>
      <c r="K885" s="305"/>
      <c r="L885" s="305"/>
      <c r="M885" s="305"/>
      <c r="N885" s="305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  <c r="Y885" s="305"/>
      <c r="Z885" s="305"/>
    </row>
    <row r="886" spans="1:26" ht="15.75" customHeight="1">
      <c r="A886" s="305"/>
      <c r="B886" s="305"/>
      <c r="C886" s="305"/>
      <c r="D886" s="305"/>
      <c r="E886" s="305"/>
      <c r="F886" s="305"/>
      <c r="G886" s="305"/>
      <c r="H886" s="305"/>
      <c r="I886" s="305"/>
      <c r="J886" s="305"/>
      <c r="K886" s="305"/>
      <c r="L886" s="305"/>
      <c r="M886" s="305"/>
      <c r="N886" s="305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  <c r="Y886" s="305"/>
      <c r="Z886" s="305"/>
    </row>
    <row r="887" spans="1:26" ht="15.75" customHeight="1">
      <c r="A887" s="305"/>
      <c r="B887" s="305"/>
      <c r="C887" s="305"/>
      <c r="D887" s="305"/>
      <c r="E887" s="305"/>
      <c r="F887" s="305"/>
      <c r="G887" s="305"/>
      <c r="H887" s="305"/>
      <c r="I887" s="305"/>
      <c r="J887" s="305"/>
      <c r="K887" s="305"/>
      <c r="L887" s="305"/>
      <c r="M887" s="305"/>
      <c r="N887" s="305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  <c r="Y887" s="305"/>
      <c r="Z887" s="305"/>
    </row>
    <row r="888" spans="1:26" ht="15.75" customHeight="1">
      <c r="A888" s="305"/>
      <c r="B888" s="305"/>
      <c r="C888" s="305"/>
      <c r="D888" s="305"/>
      <c r="E888" s="305"/>
      <c r="F888" s="305"/>
      <c r="G888" s="305"/>
      <c r="H888" s="305"/>
      <c r="I888" s="305"/>
      <c r="J888" s="305"/>
      <c r="K888" s="305"/>
      <c r="L888" s="305"/>
      <c r="M888" s="305"/>
      <c r="N888" s="305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  <c r="Y888" s="305"/>
      <c r="Z888" s="305"/>
    </row>
    <row r="889" spans="1:26" ht="15.75" customHeight="1">
      <c r="A889" s="305"/>
      <c r="B889" s="305"/>
      <c r="C889" s="305"/>
      <c r="D889" s="305"/>
      <c r="E889" s="305"/>
      <c r="F889" s="305"/>
      <c r="G889" s="305"/>
      <c r="H889" s="305"/>
      <c r="I889" s="305"/>
      <c r="J889" s="305"/>
      <c r="K889" s="305"/>
      <c r="L889" s="305"/>
      <c r="M889" s="305"/>
      <c r="N889" s="305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  <c r="Y889" s="305"/>
      <c r="Z889" s="305"/>
    </row>
    <row r="890" spans="1:26" ht="15.75" customHeight="1">
      <c r="A890" s="305"/>
      <c r="B890" s="305"/>
      <c r="C890" s="305"/>
      <c r="D890" s="305"/>
      <c r="E890" s="305"/>
      <c r="F890" s="305"/>
      <c r="G890" s="305"/>
      <c r="H890" s="305"/>
      <c r="I890" s="305"/>
      <c r="J890" s="305"/>
      <c r="K890" s="305"/>
      <c r="L890" s="305"/>
      <c r="M890" s="305"/>
      <c r="N890" s="305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  <c r="Y890" s="305"/>
      <c r="Z890" s="305"/>
    </row>
    <row r="891" spans="1:26" ht="15.75" customHeight="1">
      <c r="A891" s="305"/>
      <c r="B891" s="305"/>
      <c r="C891" s="305"/>
      <c r="D891" s="305"/>
      <c r="E891" s="305"/>
      <c r="F891" s="305"/>
      <c r="G891" s="305"/>
      <c r="H891" s="305"/>
      <c r="I891" s="305"/>
      <c r="J891" s="305"/>
      <c r="K891" s="305"/>
      <c r="L891" s="305"/>
      <c r="M891" s="305"/>
      <c r="N891" s="305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  <c r="Y891" s="305"/>
      <c r="Z891" s="305"/>
    </row>
    <row r="892" spans="1:26" ht="15.75" customHeight="1">
      <c r="A892" s="305"/>
      <c r="B892" s="305"/>
      <c r="C892" s="305"/>
      <c r="D892" s="305"/>
      <c r="E892" s="305"/>
      <c r="F892" s="305"/>
      <c r="G892" s="305"/>
      <c r="H892" s="305"/>
      <c r="I892" s="305"/>
      <c r="J892" s="305"/>
      <c r="K892" s="305"/>
      <c r="L892" s="305"/>
      <c r="M892" s="305"/>
      <c r="N892" s="305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  <c r="Y892" s="305"/>
      <c r="Z892" s="305"/>
    </row>
    <row r="893" spans="1:26" ht="15.75" customHeight="1">
      <c r="A893" s="305"/>
      <c r="B893" s="305"/>
      <c r="C893" s="305"/>
      <c r="D893" s="305"/>
      <c r="E893" s="305"/>
      <c r="F893" s="305"/>
      <c r="G893" s="305"/>
      <c r="H893" s="305"/>
      <c r="I893" s="305"/>
      <c r="J893" s="305"/>
      <c r="K893" s="305"/>
      <c r="L893" s="305"/>
      <c r="M893" s="305"/>
      <c r="N893" s="305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  <c r="Y893" s="305"/>
      <c r="Z893" s="305"/>
    </row>
    <row r="894" spans="1:26" ht="15.75" customHeight="1">
      <c r="A894" s="305"/>
      <c r="B894" s="305"/>
      <c r="C894" s="305"/>
      <c r="D894" s="305"/>
      <c r="E894" s="305"/>
      <c r="F894" s="305"/>
      <c r="G894" s="305"/>
      <c r="H894" s="305"/>
      <c r="I894" s="305"/>
      <c r="J894" s="305"/>
      <c r="K894" s="305"/>
      <c r="L894" s="305"/>
      <c r="M894" s="305"/>
      <c r="N894" s="305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  <c r="Y894" s="305"/>
      <c r="Z894" s="305"/>
    </row>
    <row r="895" spans="1:26" ht="15.75" customHeight="1">
      <c r="A895" s="305"/>
      <c r="B895" s="305"/>
      <c r="C895" s="305"/>
      <c r="D895" s="305"/>
      <c r="E895" s="305"/>
      <c r="F895" s="305"/>
      <c r="G895" s="305"/>
      <c r="H895" s="305"/>
      <c r="I895" s="305"/>
      <c r="J895" s="305"/>
      <c r="K895" s="305"/>
      <c r="L895" s="305"/>
      <c r="M895" s="305"/>
      <c r="N895" s="305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  <c r="Y895" s="305"/>
      <c r="Z895" s="305"/>
    </row>
    <row r="896" spans="1:26" ht="15.75" customHeight="1">
      <c r="A896" s="305"/>
      <c r="B896" s="305"/>
      <c r="C896" s="305"/>
      <c r="D896" s="305"/>
      <c r="E896" s="305"/>
      <c r="F896" s="305"/>
      <c r="G896" s="305"/>
      <c r="H896" s="305"/>
      <c r="I896" s="305"/>
      <c r="J896" s="305"/>
      <c r="K896" s="305"/>
      <c r="L896" s="305"/>
      <c r="M896" s="305"/>
      <c r="N896" s="305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  <c r="Y896" s="305"/>
      <c r="Z896" s="305"/>
    </row>
    <row r="897" spans="1:26" ht="15.75" customHeight="1">
      <c r="A897" s="305"/>
      <c r="B897" s="305"/>
      <c r="C897" s="305"/>
      <c r="D897" s="305"/>
      <c r="E897" s="305"/>
      <c r="F897" s="305"/>
      <c r="G897" s="305"/>
      <c r="H897" s="305"/>
      <c r="I897" s="305"/>
      <c r="J897" s="305"/>
      <c r="K897" s="305"/>
      <c r="L897" s="305"/>
      <c r="M897" s="305"/>
      <c r="N897" s="305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  <c r="Y897" s="305"/>
      <c r="Z897" s="305"/>
    </row>
    <row r="898" spans="1:26" ht="15.75" customHeight="1">
      <c r="A898" s="305"/>
      <c r="B898" s="305"/>
      <c r="C898" s="305"/>
      <c r="D898" s="305"/>
      <c r="E898" s="305"/>
      <c r="F898" s="305"/>
      <c r="G898" s="305"/>
      <c r="H898" s="305"/>
      <c r="I898" s="305"/>
      <c r="J898" s="305"/>
      <c r="K898" s="305"/>
      <c r="L898" s="305"/>
      <c r="M898" s="305"/>
      <c r="N898" s="305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  <c r="Y898" s="305"/>
      <c r="Z898" s="305"/>
    </row>
    <row r="899" spans="1:26" ht="15.75" customHeight="1">
      <c r="A899" s="305"/>
      <c r="B899" s="305"/>
      <c r="C899" s="305"/>
      <c r="D899" s="305"/>
      <c r="E899" s="305"/>
      <c r="F899" s="305"/>
      <c r="G899" s="305"/>
      <c r="H899" s="305"/>
      <c r="I899" s="305"/>
      <c r="J899" s="305"/>
      <c r="K899" s="305"/>
      <c r="L899" s="305"/>
      <c r="M899" s="305"/>
      <c r="N899" s="305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  <c r="Y899" s="305"/>
      <c r="Z899" s="305"/>
    </row>
    <row r="900" spans="1:26" ht="15.75" customHeight="1">
      <c r="A900" s="305"/>
      <c r="B900" s="305"/>
      <c r="C900" s="305"/>
      <c r="D900" s="305"/>
      <c r="E900" s="305"/>
      <c r="F900" s="305"/>
      <c r="G900" s="305"/>
      <c r="H900" s="305"/>
      <c r="I900" s="305"/>
      <c r="J900" s="305"/>
      <c r="K900" s="305"/>
      <c r="L900" s="305"/>
      <c r="M900" s="305"/>
      <c r="N900" s="305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  <c r="Y900" s="305"/>
      <c r="Z900" s="305"/>
    </row>
    <row r="901" spans="1:26" ht="15.75" customHeight="1">
      <c r="A901" s="305"/>
      <c r="B901" s="305"/>
      <c r="C901" s="305"/>
      <c r="D901" s="305"/>
      <c r="E901" s="305"/>
      <c r="F901" s="305"/>
      <c r="G901" s="305"/>
      <c r="H901" s="305"/>
      <c r="I901" s="305"/>
      <c r="J901" s="305"/>
      <c r="K901" s="305"/>
      <c r="L901" s="305"/>
      <c r="M901" s="305"/>
      <c r="N901" s="305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  <c r="Y901" s="305"/>
      <c r="Z901" s="305"/>
    </row>
    <row r="902" spans="1:26" ht="15.75" customHeight="1">
      <c r="A902" s="305"/>
      <c r="B902" s="305"/>
      <c r="C902" s="305"/>
      <c r="D902" s="305"/>
      <c r="E902" s="305"/>
      <c r="F902" s="305"/>
      <c r="G902" s="305"/>
      <c r="H902" s="305"/>
      <c r="I902" s="305"/>
      <c r="J902" s="305"/>
      <c r="K902" s="305"/>
      <c r="L902" s="305"/>
      <c r="M902" s="305"/>
      <c r="N902" s="305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  <c r="Y902" s="305"/>
      <c r="Z902" s="305"/>
    </row>
    <row r="903" spans="1:26" ht="15.75" customHeight="1">
      <c r="A903" s="305"/>
      <c r="B903" s="305"/>
      <c r="C903" s="305"/>
      <c r="D903" s="305"/>
      <c r="E903" s="305"/>
      <c r="F903" s="305"/>
      <c r="G903" s="305"/>
      <c r="H903" s="305"/>
      <c r="I903" s="305"/>
      <c r="J903" s="305"/>
      <c r="K903" s="305"/>
      <c r="L903" s="305"/>
      <c r="M903" s="305"/>
      <c r="N903" s="305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  <c r="Y903" s="305"/>
      <c r="Z903" s="305"/>
    </row>
    <row r="904" spans="1:26" ht="15.75" customHeight="1">
      <c r="A904" s="305"/>
      <c r="B904" s="305"/>
      <c r="C904" s="305"/>
      <c r="D904" s="305"/>
      <c r="E904" s="305"/>
      <c r="F904" s="305"/>
      <c r="G904" s="305"/>
      <c r="H904" s="305"/>
      <c r="I904" s="305"/>
      <c r="J904" s="305"/>
      <c r="K904" s="305"/>
      <c r="L904" s="305"/>
      <c r="M904" s="305"/>
      <c r="N904" s="305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  <c r="Y904" s="305"/>
      <c r="Z904" s="305"/>
    </row>
    <row r="905" spans="1:26" ht="15.75" customHeight="1">
      <c r="A905" s="305"/>
      <c r="B905" s="305"/>
      <c r="C905" s="305"/>
      <c r="D905" s="305"/>
      <c r="E905" s="305"/>
      <c r="F905" s="305"/>
      <c r="G905" s="305"/>
      <c r="H905" s="305"/>
      <c r="I905" s="305"/>
      <c r="J905" s="305"/>
      <c r="K905" s="305"/>
      <c r="L905" s="305"/>
      <c r="M905" s="305"/>
      <c r="N905" s="305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  <c r="Y905" s="305"/>
      <c r="Z905" s="305"/>
    </row>
    <row r="906" spans="1:26" ht="15.75" customHeight="1">
      <c r="A906" s="305"/>
      <c r="B906" s="305"/>
      <c r="C906" s="305"/>
      <c r="D906" s="305"/>
      <c r="E906" s="305"/>
      <c r="F906" s="305"/>
      <c r="G906" s="305"/>
      <c r="H906" s="305"/>
      <c r="I906" s="305"/>
      <c r="J906" s="305"/>
      <c r="K906" s="305"/>
      <c r="L906" s="305"/>
      <c r="M906" s="305"/>
      <c r="N906" s="305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  <c r="Y906" s="305"/>
      <c r="Z906" s="305"/>
    </row>
    <row r="907" spans="1:26" ht="15.75" customHeight="1">
      <c r="A907" s="305"/>
      <c r="B907" s="305"/>
      <c r="C907" s="305"/>
      <c r="D907" s="305"/>
      <c r="E907" s="305"/>
      <c r="F907" s="305"/>
      <c r="G907" s="305"/>
      <c r="H907" s="305"/>
      <c r="I907" s="305"/>
      <c r="J907" s="305"/>
      <c r="K907" s="305"/>
      <c r="L907" s="305"/>
      <c r="M907" s="305"/>
      <c r="N907" s="305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  <c r="Y907" s="305"/>
      <c r="Z907" s="305"/>
    </row>
    <row r="908" spans="1:26" ht="15.75" customHeight="1">
      <c r="A908" s="305"/>
      <c r="B908" s="305"/>
      <c r="C908" s="305"/>
      <c r="D908" s="305"/>
      <c r="E908" s="305"/>
      <c r="F908" s="305"/>
      <c r="G908" s="305"/>
      <c r="H908" s="305"/>
      <c r="I908" s="305"/>
      <c r="J908" s="305"/>
      <c r="K908" s="305"/>
      <c r="L908" s="305"/>
      <c r="M908" s="305"/>
      <c r="N908" s="305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  <c r="Y908" s="305"/>
      <c r="Z908" s="305"/>
    </row>
    <row r="909" spans="1:26" ht="15.75" customHeight="1">
      <c r="A909" s="305"/>
      <c r="B909" s="305"/>
      <c r="C909" s="305"/>
      <c r="D909" s="305"/>
      <c r="E909" s="305"/>
      <c r="F909" s="305"/>
      <c r="G909" s="305"/>
      <c r="H909" s="305"/>
      <c r="I909" s="305"/>
      <c r="J909" s="305"/>
      <c r="K909" s="305"/>
      <c r="L909" s="305"/>
      <c r="M909" s="305"/>
      <c r="N909" s="305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  <c r="Y909" s="305"/>
      <c r="Z909" s="305"/>
    </row>
    <row r="910" spans="1:26" ht="15.75" customHeight="1">
      <c r="A910" s="305"/>
      <c r="B910" s="305"/>
      <c r="C910" s="305"/>
      <c r="D910" s="305"/>
      <c r="E910" s="305"/>
      <c r="F910" s="305"/>
      <c r="G910" s="305"/>
      <c r="H910" s="305"/>
      <c r="I910" s="305"/>
      <c r="J910" s="305"/>
      <c r="K910" s="305"/>
      <c r="L910" s="305"/>
      <c r="M910" s="305"/>
      <c r="N910" s="305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  <c r="Y910" s="305"/>
      <c r="Z910" s="305"/>
    </row>
    <row r="911" spans="1:26" ht="15.75" customHeight="1">
      <c r="A911" s="305"/>
      <c r="B911" s="305"/>
      <c r="C911" s="305"/>
      <c r="D911" s="305"/>
      <c r="E911" s="305"/>
      <c r="F911" s="305"/>
      <c r="G911" s="305"/>
      <c r="H911" s="305"/>
      <c r="I911" s="305"/>
      <c r="J911" s="305"/>
      <c r="K911" s="305"/>
      <c r="L911" s="305"/>
      <c r="M911" s="305"/>
      <c r="N911" s="305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  <c r="Y911" s="305"/>
      <c r="Z911" s="305"/>
    </row>
    <row r="912" spans="1:26" ht="15.75" customHeight="1">
      <c r="A912" s="305"/>
      <c r="B912" s="305"/>
      <c r="C912" s="305"/>
      <c r="D912" s="305"/>
      <c r="E912" s="305"/>
      <c r="F912" s="305"/>
      <c r="G912" s="305"/>
      <c r="H912" s="305"/>
      <c r="I912" s="305"/>
      <c r="J912" s="305"/>
      <c r="K912" s="305"/>
      <c r="L912" s="305"/>
      <c r="M912" s="305"/>
      <c r="N912" s="305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  <c r="Y912" s="305"/>
      <c r="Z912" s="305"/>
    </row>
    <row r="913" spans="1:26" ht="15.75" customHeight="1">
      <c r="A913" s="305"/>
      <c r="B913" s="305"/>
      <c r="C913" s="305"/>
      <c r="D913" s="305"/>
      <c r="E913" s="305"/>
      <c r="F913" s="305"/>
      <c r="G913" s="305"/>
      <c r="H913" s="305"/>
      <c r="I913" s="305"/>
      <c r="J913" s="305"/>
      <c r="K913" s="305"/>
      <c r="L913" s="305"/>
      <c r="M913" s="305"/>
      <c r="N913" s="305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  <c r="Y913" s="305"/>
      <c r="Z913" s="305"/>
    </row>
    <row r="914" spans="1:26" ht="15.75" customHeight="1">
      <c r="A914" s="305"/>
      <c r="B914" s="305"/>
      <c r="C914" s="305"/>
      <c r="D914" s="305"/>
      <c r="E914" s="305"/>
      <c r="F914" s="305"/>
      <c r="G914" s="305"/>
      <c r="H914" s="305"/>
      <c r="I914" s="305"/>
      <c r="J914" s="305"/>
      <c r="K914" s="305"/>
      <c r="L914" s="305"/>
      <c r="M914" s="305"/>
      <c r="N914" s="305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  <c r="Y914" s="305"/>
      <c r="Z914" s="305"/>
    </row>
    <row r="915" spans="1:26" ht="15.75" customHeight="1">
      <c r="A915" s="305"/>
      <c r="B915" s="305"/>
      <c r="C915" s="305"/>
      <c r="D915" s="305"/>
      <c r="E915" s="305"/>
      <c r="F915" s="305"/>
      <c r="G915" s="305"/>
      <c r="H915" s="305"/>
      <c r="I915" s="305"/>
      <c r="J915" s="305"/>
      <c r="K915" s="305"/>
      <c r="L915" s="305"/>
      <c r="M915" s="305"/>
      <c r="N915" s="305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  <c r="Y915" s="305"/>
      <c r="Z915" s="305"/>
    </row>
    <row r="916" spans="1:26" ht="15.75" customHeight="1">
      <c r="A916" s="305"/>
      <c r="B916" s="305"/>
      <c r="C916" s="305"/>
      <c r="D916" s="305"/>
      <c r="E916" s="305"/>
      <c r="F916" s="305"/>
      <c r="G916" s="305"/>
      <c r="H916" s="305"/>
      <c r="I916" s="305"/>
      <c r="J916" s="305"/>
      <c r="K916" s="305"/>
      <c r="L916" s="305"/>
      <c r="M916" s="305"/>
      <c r="N916" s="305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  <c r="Y916" s="305"/>
      <c r="Z916" s="305"/>
    </row>
    <row r="917" spans="1:26" ht="15.75" customHeight="1">
      <c r="A917" s="305"/>
      <c r="B917" s="305"/>
      <c r="C917" s="305"/>
      <c r="D917" s="305"/>
      <c r="E917" s="305"/>
      <c r="F917" s="305"/>
      <c r="G917" s="305"/>
      <c r="H917" s="305"/>
      <c r="I917" s="305"/>
      <c r="J917" s="305"/>
      <c r="K917" s="305"/>
      <c r="L917" s="305"/>
      <c r="M917" s="305"/>
      <c r="N917" s="305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  <c r="Y917" s="305"/>
      <c r="Z917" s="305"/>
    </row>
    <row r="918" spans="1:26" ht="15.75" customHeight="1">
      <c r="A918" s="305"/>
      <c r="B918" s="305"/>
      <c r="C918" s="305"/>
      <c r="D918" s="305"/>
      <c r="E918" s="305"/>
      <c r="F918" s="305"/>
      <c r="G918" s="305"/>
      <c r="H918" s="305"/>
      <c r="I918" s="305"/>
      <c r="J918" s="305"/>
      <c r="K918" s="305"/>
      <c r="L918" s="305"/>
      <c r="M918" s="305"/>
      <c r="N918" s="305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  <c r="Y918" s="305"/>
      <c r="Z918" s="305"/>
    </row>
    <row r="919" spans="1:26" ht="15.75" customHeight="1">
      <c r="A919" s="305"/>
      <c r="B919" s="305"/>
      <c r="C919" s="305"/>
      <c r="D919" s="305"/>
      <c r="E919" s="305"/>
      <c r="F919" s="305"/>
      <c r="G919" s="305"/>
      <c r="H919" s="305"/>
      <c r="I919" s="305"/>
      <c r="J919" s="305"/>
      <c r="K919" s="305"/>
      <c r="L919" s="305"/>
      <c r="M919" s="305"/>
      <c r="N919" s="305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  <c r="Y919" s="305"/>
      <c r="Z919" s="305"/>
    </row>
    <row r="920" spans="1:26" ht="15.75" customHeight="1">
      <c r="A920" s="305"/>
      <c r="B920" s="305"/>
      <c r="C920" s="305"/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  <c r="Y920" s="305"/>
      <c r="Z920" s="305"/>
    </row>
    <row r="921" spans="1:26" ht="15.75" customHeight="1">
      <c r="A921" s="305"/>
      <c r="B921" s="305"/>
      <c r="C921" s="305"/>
      <c r="D921" s="305"/>
      <c r="E921" s="305"/>
      <c r="F921" s="305"/>
      <c r="G921" s="305"/>
      <c r="H921" s="305"/>
      <c r="I921" s="305"/>
      <c r="J921" s="305"/>
      <c r="K921" s="305"/>
      <c r="L921" s="305"/>
      <c r="M921" s="305"/>
      <c r="N921" s="305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  <c r="Y921" s="305"/>
      <c r="Z921" s="305"/>
    </row>
    <row r="922" spans="1:26" ht="15.75" customHeight="1">
      <c r="A922" s="305"/>
      <c r="B922" s="305"/>
      <c r="C922" s="305"/>
      <c r="D922" s="305"/>
      <c r="E922" s="305"/>
      <c r="F922" s="305"/>
      <c r="G922" s="305"/>
      <c r="H922" s="305"/>
      <c r="I922" s="305"/>
      <c r="J922" s="305"/>
      <c r="K922" s="305"/>
      <c r="L922" s="305"/>
      <c r="M922" s="305"/>
      <c r="N922" s="305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  <c r="Y922" s="305"/>
      <c r="Z922" s="305"/>
    </row>
    <row r="923" spans="1:26" ht="15.75" customHeight="1">
      <c r="A923" s="305"/>
      <c r="B923" s="305"/>
      <c r="C923" s="305"/>
      <c r="D923" s="305"/>
      <c r="E923" s="305"/>
      <c r="F923" s="305"/>
      <c r="G923" s="305"/>
      <c r="H923" s="305"/>
      <c r="I923" s="305"/>
      <c r="J923" s="305"/>
      <c r="K923" s="305"/>
      <c r="L923" s="305"/>
      <c r="M923" s="305"/>
      <c r="N923" s="305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  <c r="Y923" s="305"/>
      <c r="Z923" s="305"/>
    </row>
    <row r="924" spans="1:26" ht="15.75" customHeight="1">
      <c r="A924" s="305"/>
      <c r="B924" s="305"/>
      <c r="C924" s="305"/>
      <c r="D924" s="305"/>
      <c r="E924" s="305"/>
      <c r="F924" s="305"/>
      <c r="G924" s="305"/>
      <c r="H924" s="305"/>
      <c r="I924" s="305"/>
      <c r="J924" s="305"/>
      <c r="K924" s="305"/>
      <c r="L924" s="305"/>
      <c r="M924" s="305"/>
      <c r="N924" s="305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  <c r="Y924" s="305"/>
      <c r="Z924" s="305"/>
    </row>
    <row r="925" spans="1:26" ht="15.75" customHeight="1">
      <c r="A925" s="305"/>
      <c r="B925" s="305"/>
      <c r="C925" s="305"/>
      <c r="D925" s="305"/>
      <c r="E925" s="305"/>
      <c r="F925" s="305"/>
      <c r="G925" s="305"/>
      <c r="H925" s="305"/>
      <c r="I925" s="305"/>
      <c r="J925" s="305"/>
      <c r="K925" s="305"/>
      <c r="L925" s="305"/>
      <c r="M925" s="305"/>
      <c r="N925" s="305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  <c r="Y925" s="305"/>
      <c r="Z925" s="305"/>
    </row>
    <row r="926" spans="1:26" ht="15.75" customHeight="1">
      <c r="A926" s="305"/>
      <c r="B926" s="305"/>
      <c r="C926" s="305"/>
      <c r="D926" s="305"/>
      <c r="E926" s="305"/>
      <c r="F926" s="305"/>
      <c r="G926" s="305"/>
      <c r="H926" s="305"/>
      <c r="I926" s="305"/>
      <c r="J926" s="305"/>
      <c r="K926" s="305"/>
      <c r="L926" s="305"/>
      <c r="M926" s="305"/>
      <c r="N926" s="305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  <c r="Y926" s="305"/>
      <c r="Z926" s="305"/>
    </row>
    <row r="927" spans="1:26" ht="15.75" customHeight="1">
      <c r="A927" s="305"/>
      <c r="B927" s="305"/>
      <c r="C927" s="305"/>
      <c r="D927" s="305"/>
      <c r="E927" s="305"/>
      <c r="F927" s="305"/>
      <c r="G927" s="305"/>
      <c r="H927" s="305"/>
      <c r="I927" s="305"/>
      <c r="J927" s="305"/>
      <c r="K927" s="305"/>
      <c r="L927" s="305"/>
      <c r="M927" s="305"/>
      <c r="N927" s="305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  <c r="Y927" s="305"/>
      <c r="Z927" s="305"/>
    </row>
    <row r="928" spans="1:26" ht="15.75" customHeight="1">
      <c r="A928" s="305"/>
      <c r="B928" s="305"/>
      <c r="C928" s="305"/>
      <c r="D928" s="305"/>
      <c r="E928" s="305"/>
      <c r="F928" s="305"/>
      <c r="G928" s="305"/>
      <c r="H928" s="305"/>
      <c r="I928" s="305"/>
      <c r="J928" s="305"/>
      <c r="K928" s="305"/>
      <c r="L928" s="305"/>
      <c r="M928" s="305"/>
      <c r="N928" s="305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  <c r="Y928" s="305"/>
      <c r="Z928" s="305"/>
    </row>
    <row r="929" spans="1:26" ht="15.75" customHeight="1">
      <c r="A929" s="305"/>
      <c r="B929" s="305"/>
      <c r="C929" s="305"/>
      <c r="D929" s="305"/>
      <c r="E929" s="305"/>
      <c r="F929" s="305"/>
      <c r="G929" s="305"/>
      <c r="H929" s="305"/>
      <c r="I929" s="305"/>
      <c r="J929" s="305"/>
      <c r="K929" s="305"/>
      <c r="L929" s="305"/>
      <c r="M929" s="305"/>
      <c r="N929" s="305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  <c r="Y929" s="305"/>
      <c r="Z929" s="305"/>
    </row>
    <row r="930" spans="1:26" ht="15.75" customHeight="1">
      <c r="A930" s="305"/>
      <c r="B930" s="305"/>
      <c r="C930" s="305"/>
      <c r="D930" s="305"/>
      <c r="E930" s="305"/>
      <c r="F930" s="305"/>
      <c r="G930" s="305"/>
      <c r="H930" s="305"/>
      <c r="I930" s="305"/>
      <c r="J930" s="305"/>
      <c r="K930" s="305"/>
      <c r="L930" s="305"/>
      <c r="M930" s="305"/>
      <c r="N930" s="305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  <c r="Y930" s="305"/>
      <c r="Z930" s="305"/>
    </row>
    <row r="931" spans="1:26" ht="15.75" customHeight="1">
      <c r="A931" s="305"/>
      <c r="B931" s="305"/>
      <c r="C931" s="305"/>
      <c r="D931" s="305"/>
      <c r="E931" s="305"/>
      <c r="F931" s="305"/>
      <c r="G931" s="305"/>
      <c r="H931" s="305"/>
      <c r="I931" s="305"/>
      <c r="J931" s="305"/>
      <c r="K931" s="305"/>
      <c r="L931" s="305"/>
      <c r="M931" s="305"/>
      <c r="N931" s="305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  <c r="Y931" s="305"/>
      <c r="Z931" s="305"/>
    </row>
    <row r="932" spans="1:26" ht="15.75" customHeight="1">
      <c r="A932" s="305"/>
      <c r="B932" s="305"/>
      <c r="C932" s="305"/>
      <c r="D932" s="305"/>
      <c r="E932" s="305"/>
      <c r="F932" s="305"/>
      <c r="G932" s="305"/>
      <c r="H932" s="305"/>
      <c r="I932" s="305"/>
      <c r="J932" s="305"/>
      <c r="K932" s="305"/>
      <c r="L932" s="305"/>
      <c r="M932" s="305"/>
      <c r="N932" s="305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  <c r="Y932" s="305"/>
      <c r="Z932" s="305"/>
    </row>
    <row r="933" spans="1:26" ht="15.75" customHeight="1">
      <c r="A933" s="305"/>
      <c r="B933" s="305"/>
      <c r="C933" s="305"/>
      <c r="D933" s="305"/>
      <c r="E933" s="305"/>
      <c r="F933" s="305"/>
      <c r="G933" s="305"/>
      <c r="H933" s="305"/>
      <c r="I933" s="305"/>
      <c r="J933" s="305"/>
      <c r="K933" s="305"/>
      <c r="L933" s="305"/>
      <c r="M933" s="305"/>
      <c r="N933" s="305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  <c r="Y933" s="305"/>
      <c r="Z933" s="305"/>
    </row>
    <row r="934" spans="1:26" ht="15.75" customHeight="1">
      <c r="A934" s="305"/>
      <c r="B934" s="305"/>
      <c r="C934" s="305"/>
      <c r="D934" s="305"/>
      <c r="E934" s="305"/>
      <c r="F934" s="305"/>
      <c r="G934" s="305"/>
      <c r="H934" s="305"/>
      <c r="I934" s="305"/>
      <c r="J934" s="305"/>
      <c r="K934" s="305"/>
      <c r="L934" s="305"/>
      <c r="M934" s="305"/>
      <c r="N934" s="305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  <c r="Y934" s="305"/>
      <c r="Z934" s="305"/>
    </row>
    <row r="935" spans="1:26" ht="15.75" customHeight="1">
      <c r="A935" s="305"/>
      <c r="B935" s="305"/>
      <c r="C935" s="305"/>
      <c r="D935" s="305"/>
      <c r="E935" s="305"/>
      <c r="F935" s="305"/>
      <c r="G935" s="305"/>
      <c r="H935" s="305"/>
      <c r="I935" s="305"/>
      <c r="J935" s="305"/>
      <c r="K935" s="305"/>
      <c r="L935" s="305"/>
      <c r="M935" s="305"/>
      <c r="N935" s="305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  <c r="Y935" s="305"/>
      <c r="Z935" s="305"/>
    </row>
    <row r="936" spans="1:26" ht="15.75" customHeight="1">
      <c r="A936" s="305"/>
      <c r="B936" s="305"/>
      <c r="C936" s="305"/>
      <c r="D936" s="305"/>
      <c r="E936" s="305"/>
      <c r="F936" s="305"/>
      <c r="G936" s="305"/>
      <c r="H936" s="305"/>
      <c r="I936" s="305"/>
      <c r="J936" s="305"/>
      <c r="K936" s="305"/>
      <c r="L936" s="305"/>
      <c r="M936" s="305"/>
      <c r="N936" s="305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  <c r="Y936" s="305"/>
      <c r="Z936" s="305"/>
    </row>
    <row r="937" spans="1:26" ht="15.75" customHeight="1">
      <c r="A937" s="305"/>
      <c r="B937" s="305"/>
      <c r="C937" s="305"/>
      <c r="D937" s="305"/>
      <c r="E937" s="305"/>
      <c r="F937" s="305"/>
      <c r="G937" s="305"/>
      <c r="H937" s="305"/>
      <c r="I937" s="305"/>
      <c r="J937" s="305"/>
      <c r="K937" s="305"/>
      <c r="L937" s="305"/>
      <c r="M937" s="305"/>
      <c r="N937" s="305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  <c r="Y937" s="305"/>
      <c r="Z937" s="305"/>
    </row>
    <row r="938" spans="1:26" ht="15.75" customHeight="1">
      <c r="A938" s="305"/>
      <c r="B938" s="305"/>
      <c r="C938" s="305"/>
      <c r="D938" s="305"/>
      <c r="E938" s="305"/>
      <c r="F938" s="305"/>
      <c r="G938" s="305"/>
      <c r="H938" s="305"/>
      <c r="I938" s="305"/>
      <c r="J938" s="305"/>
      <c r="K938" s="305"/>
      <c r="L938" s="305"/>
      <c r="M938" s="305"/>
      <c r="N938" s="305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  <c r="Y938" s="305"/>
      <c r="Z938" s="305"/>
    </row>
    <row r="939" spans="1:26" ht="15.75" customHeight="1">
      <c r="A939" s="305"/>
      <c r="B939" s="305"/>
      <c r="C939" s="305"/>
      <c r="D939" s="305"/>
      <c r="E939" s="305"/>
      <c r="F939" s="305"/>
      <c r="G939" s="305"/>
      <c r="H939" s="305"/>
      <c r="I939" s="305"/>
      <c r="J939" s="305"/>
      <c r="K939" s="305"/>
      <c r="L939" s="305"/>
      <c r="M939" s="305"/>
      <c r="N939" s="305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  <c r="Y939" s="305"/>
      <c r="Z939" s="305"/>
    </row>
    <row r="940" spans="1:26" ht="15.75" customHeight="1">
      <c r="A940" s="305"/>
      <c r="B940" s="305"/>
      <c r="C940" s="305"/>
      <c r="D940" s="305"/>
      <c r="E940" s="305"/>
      <c r="F940" s="305"/>
      <c r="G940" s="305"/>
      <c r="H940" s="305"/>
      <c r="I940" s="305"/>
      <c r="J940" s="305"/>
      <c r="K940" s="305"/>
      <c r="L940" s="305"/>
      <c r="M940" s="305"/>
      <c r="N940" s="305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  <c r="Y940" s="305"/>
      <c r="Z940" s="305"/>
    </row>
    <row r="941" spans="1:26" ht="15.75" customHeight="1">
      <c r="A941" s="305"/>
      <c r="B941" s="305"/>
      <c r="C941" s="305"/>
      <c r="D941" s="305"/>
      <c r="E941" s="305"/>
      <c r="F941" s="305"/>
      <c r="G941" s="305"/>
      <c r="H941" s="305"/>
      <c r="I941" s="305"/>
      <c r="J941" s="305"/>
      <c r="K941" s="305"/>
      <c r="L941" s="305"/>
      <c r="M941" s="305"/>
      <c r="N941" s="305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  <c r="Y941" s="305"/>
      <c r="Z941" s="305"/>
    </row>
    <row r="942" spans="1:26" ht="15.75" customHeight="1">
      <c r="A942" s="305"/>
      <c r="B942" s="305"/>
      <c r="C942" s="305"/>
      <c r="D942" s="305"/>
      <c r="E942" s="305"/>
      <c r="F942" s="305"/>
      <c r="G942" s="305"/>
      <c r="H942" s="305"/>
      <c r="I942" s="305"/>
      <c r="J942" s="305"/>
      <c r="K942" s="305"/>
      <c r="L942" s="305"/>
      <c r="M942" s="305"/>
      <c r="N942" s="305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  <c r="Y942" s="305"/>
      <c r="Z942" s="305"/>
    </row>
    <row r="943" spans="1:26" ht="15.75" customHeight="1">
      <c r="A943" s="305"/>
      <c r="B943" s="305"/>
      <c r="C943" s="305"/>
      <c r="D943" s="305"/>
      <c r="E943" s="305"/>
      <c r="F943" s="305"/>
      <c r="G943" s="305"/>
      <c r="H943" s="305"/>
      <c r="I943" s="305"/>
      <c r="J943" s="305"/>
      <c r="K943" s="305"/>
      <c r="L943" s="305"/>
      <c r="M943" s="305"/>
      <c r="N943" s="305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  <c r="Y943" s="305"/>
      <c r="Z943" s="305"/>
    </row>
    <row r="944" spans="1:26" ht="15.75" customHeight="1">
      <c r="A944" s="305"/>
      <c r="B944" s="305"/>
      <c r="C944" s="305"/>
      <c r="D944" s="305"/>
      <c r="E944" s="305"/>
      <c r="F944" s="305"/>
      <c r="G944" s="305"/>
      <c r="H944" s="305"/>
      <c r="I944" s="305"/>
      <c r="J944" s="305"/>
      <c r="K944" s="305"/>
      <c r="L944" s="305"/>
      <c r="M944" s="305"/>
      <c r="N944" s="305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  <c r="Y944" s="305"/>
      <c r="Z944" s="305"/>
    </row>
    <row r="945" spans="1:26" ht="15.75" customHeight="1">
      <c r="A945" s="305"/>
      <c r="B945" s="305"/>
      <c r="C945" s="305"/>
      <c r="D945" s="305"/>
      <c r="E945" s="305"/>
      <c r="F945" s="305"/>
      <c r="G945" s="305"/>
      <c r="H945" s="305"/>
      <c r="I945" s="305"/>
      <c r="J945" s="305"/>
      <c r="K945" s="305"/>
      <c r="L945" s="305"/>
      <c r="M945" s="305"/>
      <c r="N945" s="305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  <c r="Y945" s="305"/>
      <c r="Z945" s="305"/>
    </row>
    <row r="946" spans="1:26" ht="15.75" customHeight="1">
      <c r="A946" s="305"/>
      <c r="B946" s="305"/>
      <c r="C946" s="305"/>
      <c r="D946" s="305"/>
      <c r="E946" s="305"/>
      <c r="F946" s="305"/>
      <c r="G946" s="305"/>
      <c r="H946" s="305"/>
      <c r="I946" s="305"/>
      <c r="J946" s="305"/>
      <c r="K946" s="305"/>
      <c r="L946" s="305"/>
      <c r="M946" s="305"/>
      <c r="N946" s="305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  <c r="Y946" s="305"/>
      <c r="Z946" s="305"/>
    </row>
    <row r="947" spans="1:26" ht="15.75" customHeight="1">
      <c r="A947" s="305"/>
      <c r="B947" s="305"/>
      <c r="C947" s="305"/>
      <c r="D947" s="305"/>
      <c r="E947" s="305"/>
      <c r="F947" s="305"/>
      <c r="G947" s="305"/>
      <c r="H947" s="305"/>
      <c r="I947" s="305"/>
      <c r="J947" s="305"/>
      <c r="K947" s="305"/>
      <c r="L947" s="305"/>
      <c r="M947" s="305"/>
      <c r="N947" s="305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  <c r="Y947" s="305"/>
      <c r="Z947" s="305"/>
    </row>
    <row r="948" spans="1:26" ht="15.75" customHeight="1">
      <c r="A948" s="305"/>
      <c r="B948" s="305"/>
      <c r="C948" s="305"/>
      <c r="D948" s="305"/>
      <c r="E948" s="305"/>
      <c r="F948" s="305"/>
      <c r="G948" s="305"/>
      <c r="H948" s="305"/>
      <c r="I948" s="305"/>
      <c r="J948" s="305"/>
      <c r="K948" s="305"/>
      <c r="L948" s="305"/>
      <c r="M948" s="305"/>
      <c r="N948" s="305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  <c r="Y948" s="305"/>
      <c r="Z948" s="305"/>
    </row>
    <row r="949" spans="1:26" ht="15.75" customHeight="1">
      <c r="A949" s="305"/>
      <c r="B949" s="305"/>
      <c r="C949" s="305"/>
      <c r="D949" s="305"/>
      <c r="E949" s="305"/>
      <c r="F949" s="305"/>
      <c r="G949" s="305"/>
      <c r="H949" s="305"/>
      <c r="I949" s="305"/>
      <c r="J949" s="305"/>
      <c r="K949" s="305"/>
      <c r="L949" s="305"/>
      <c r="M949" s="305"/>
      <c r="N949" s="305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  <c r="Y949" s="305"/>
      <c r="Z949" s="305"/>
    </row>
    <row r="950" spans="1:26" ht="15.75" customHeight="1">
      <c r="A950" s="305"/>
      <c r="B950" s="305"/>
      <c r="C950" s="305"/>
      <c r="D950" s="305"/>
      <c r="E950" s="305"/>
      <c r="F950" s="305"/>
      <c r="G950" s="305"/>
      <c r="H950" s="305"/>
      <c r="I950" s="305"/>
      <c r="J950" s="305"/>
      <c r="K950" s="305"/>
      <c r="L950" s="305"/>
      <c r="M950" s="305"/>
      <c r="N950" s="305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  <c r="Y950" s="305"/>
      <c r="Z950" s="305"/>
    </row>
    <row r="951" spans="1:26" ht="15.75" customHeight="1">
      <c r="A951" s="305"/>
      <c r="B951" s="305"/>
      <c r="C951" s="305"/>
      <c r="D951" s="305"/>
      <c r="E951" s="305"/>
      <c r="F951" s="305"/>
      <c r="G951" s="305"/>
      <c r="H951" s="305"/>
      <c r="I951" s="305"/>
      <c r="J951" s="305"/>
      <c r="K951" s="305"/>
      <c r="L951" s="305"/>
      <c r="M951" s="305"/>
      <c r="N951" s="305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  <c r="Y951" s="305"/>
      <c r="Z951" s="305"/>
    </row>
    <row r="952" spans="1:26" ht="15.75" customHeight="1">
      <c r="A952" s="305"/>
      <c r="B952" s="305"/>
      <c r="C952" s="305"/>
      <c r="D952" s="305"/>
      <c r="E952" s="305"/>
      <c r="F952" s="305"/>
      <c r="G952" s="305"/>
      <c r="H952" s="305"/>
      <c r="I952" s="305"/>
      <c r="J952" s="305"/>
      <c r="K952" s="305"/>
      <c r="L952" s="305"/>
      <c r="M952" s="305"/>
      <c r="N952" s="305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  <c r="Y952" s="305"/>
      <c r="Z952" s="305"/>
    </row>
    <row r="953" spans="1:26" ht="15.75" customHeight="1">
      <c r="A953" s="305"/>
      <c r="B953" s="305"/>
      <c r="C953" s="305"/>
      <c r="D953" s="305"/>
      <c r="E953" s="305"/>
      <c r="F953" s="305"/>
      <c r="G953" s="305"/>
      <c r="H953" s="305"/>
      <c r="I953" s="305"/>
      <c r="J953" s="305"/>
      <c r="K953" s="305"/>
      <c r="L953" s="305"/>
      <c r="M953" s="305"/>
      <c r="N953" s="305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  <c r="Y953" s="305"/>
      <c r="Z953" s="305"/>
    </row>
    <row r="954" spans="1:26" ht="15.75" customHeight="1">
      <c r="A954" s="305"/>
      <c r="B954" s="305"/>
      <c r="C954" s="305"/>
      <c r="D954" s="305"/>
      <c r="E954" s="305"/>
      <c r="F954" s="305"/>
      <c r="G954" s="305"/>
      <c r="H954" s="305"/>
      <c r="I954" s="305"/>
      <c r="J954" s="305"/>
      <c r="K954" s="305"/>
      <c r="L954" s="305"/>
      <c r="M954" s="305"/>
      <c r="N954" s="305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  <c r="Y954" s="305"/>
      <c r="Z954" s="305"/>
    </row>
    <row r="955" spans="1:26" ht="15.75" customHeight="1">
      <c r="A955" s="305"/>
      <c r="B955" s="305"/>
      <c r="C955" s="305"/>
      <c r="D955" s="305"/>
      <c r="E955" s="305"/>
      <c r="F955" s="305"/>
      <c r="G955" s="305"/>
      <c r="H955" s="305"/>
      <c r="I955" s="305"/>
      <c r="J955" s="305"/>
      <c r="K955" s="305"/>
      <c r="L955" s="305"/>
      <c r="M955" s="305"/>
      <c r="N955" s="305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  <c r="Y955" s="305"/>
      <c r="Z955" s="305"/>
    </row>
    <row r="956" spans="1:26" ht="15.75" customHeight="1">
      <c r="A956" s="305"/>
      <c r="B956" s="305"/>
      <c r="C956" s="305"/>
      <c r="D956" s="305"/>
      <c r="E956" s="305"/>
      <c r="F956" s="305"/>
      <c r="G956" s="305"/>
      <c r="H956" s="305"/>
      <c r="I956" s="305"/>
      <c r="J956" s="305"/>
      <c r="K956" s="305"/>
      <c r="L956" s="305"/>
      <c r="M956" s="305"/>
      <c r="N956" s="305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  <c r="Y956" s="305"/>
      <c r="Z956" s="305"/>
    </row>
    <row r="957" spans="1:26" ht="15.75" customHeight="1">
      <c r="A957" s="305"/>
      <c r="B957" s="305"/>
      <c r="C957" s="305"/>
      <c r="D957" s="305"/>
      <c r="E957" s="305"/>
      <c r="F957" s="305"/>
      <c r="G957" s="305"/>
      <c r="H957" s="305"/>
      <c r="I957" s="305"/>
      <c r="J957" s="305"/>
      <c r="K957" s="305"/>
      <c r="L957" s="305"/>
      <c r="M957" s="305"/>
      <c r="N957" s="305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  <c r="Y957" s="305"/>
      <c r="Z957" s="305"/>
    </row>
    <row r="958" spans="1:26" ht="15.75" customHeight="1">
      <c r="A958" s="305"/>
      <c r="B958" s="305"/>
      <c r="C958" s="305"/>
      <c r="D958" s="305"/>
      <c r="E958" s="305"/>
      <c r="F958" s="305"/>
      <c r="G958" s="305"/>
      <c r="H958" s="305"/>
      <c r="I958" s="305"/>
      <c r="J958" s="305"/>
      <c r="K958" s="305"/>
      <c r="L958" s="305"/>
      <c r="M958" s="305"/>
      <c r="N958" s="305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  <c r="Y958" s="305"/>
      <c r="Z958" s="305"/>
    </row>
    <row r="959" spans="1:26" ht="15.75" customHeight="1">
      <c r="A959" s="305"/>
      <c r="B959" s="305"/>
      <c r="C959" s="305"/>
      <c r="D959" s="305"/>
      <c r="E959" s="305"/>
      <c r="F959" s="305"/>
      <c r="G959" s="305"/>
      <c r="H959" s="305"/>
      <c r="I959" s="305"/>
      <c r="J959" s="305"/>
      <c r="K959" s="305"/>
      <c r="L959" s="305"/>
      <c r="M959" s="305"/>
      <c r="N959" s="305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  <c r="Y959" s="305"/>
      <c r="Z959" s="305"/>
    </row>
    <row r="960" spans="1:26" ht="15.75" customHeight="1">
      <c r="A960" s="305"/>
      <c r="B960" s="305"/>
      <c r="C960" s="305"/>
      <c r="D960" s="305"/>
      <c r="E960" s="305"/>
      <c r="F960" s="305"/>
      <c r="G960" s="305"/>
      <c r="H960" s="305"/>
      <c r="I960" s="305"/>
      <c r="J960" s="305"/>
      <c r="K960" s="305"/>
      <c r="L960" s="305"/>
      <c r="M960" s="305"/>
      <c r="N960" s="305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  <c r="Y960" s="305"/>
      <c r="Z960" s="305"/>
    </row>
    <row r="961" spans="1:26" ht="15.75" customHeight="1">
      <c r="A961" s="305"/>
      <c r="B961" s="305"/>
      <c r="C961" s="305"/>
      <c r="D961" s="305"/>
      <c r="E961" s="305"/>
      <c r="F961" s="305"/>
      <c r="G961" s="305"/>
      <c r="H961" s="305"/>
      <c r="I961" s="305"/>
      <c r="J961" s="305"/>
      <c r="K961" s="305"/>
      <c r="L961" s="305"/>
      <c r="M961" s="305"/>
      <c r="N961" s="305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  <c r="Y961" s="305"/>
      <c r="Z961" s="305"/>
    </row>
    <row r="962" spans="1:26" ht="15.75" customHeight="1">
      <c r="A962" s="305"/>
      <c r="B962" s="305"/>
      <c r="C962" s="305"/>
      <c r="D962" s="305"/>
      <c r="E962" s="305"/>
      <c r="F962" s="305"/>
      <c r="G962" s="305"/>
      <c r="H962" s="305"/>
      <c r="I962" s="305"/>
      <c r="J962" s="305"/>
      <c r="K962" s="305"/>
      <c r="L962" s="305"/>
      <c r="M962" s="305"/>
      <c r="N962" s="305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  <c r="Y962" s="305"/>
      <c r="Z962" s="305"/>
    </row>
    <row r="963" spans="1:26" ht="15.75" customHeight="1">
      <c r="A963" s="305"/>
      <c r="B963" s="305"/>
      <c r="C963" s="305"/>
      <c r="D963" s="305"/>
      <c r="E963" s="305"/>
      <c r="F963" s="305"/>
      <c r="G963" s="305"/>
      <c r="H963" s="305"/>
      <c r="I963" s="305"/>
      <c r="J963" s="305"/>
      <c r="K963" s="305"/>
      <c r="L963" s="305"/>
      <c r="M963" s="305"/>
      <c r="N963" s="305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  <c r="Y963" s="305"/>
      <c r="Z963" s="305"/>
    </row>
    <row r="964" spans="1:26" ht="15.75" customHeight="1">
      <c r="A964" s="305"/>
      <c r="B964" s="305"/>
      <c r="C964" s="305"/>
      <c r="D964" s="305"/>
      <c r="E964" s="305"/>
      <c r="F964" s="305"/>
      <c r="G964" s="305"/>
      <c r="H964" s="305"/>
      <c r="I964" s="305"/>
      <c r="J964" s="305"/>
      <c r="K964" s="305"/>
      <c r="L964" s="305"/>
      <c r="M964" s="305"/>
      <c r="N964" s="305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  <c r="Y964" s="305"/>
      <c r="Z964" s="305"/>
    </row>
    <row r="965" spans="1:26" ht="15.75" customHeight="1">
      <c r="A965" s="305"/>
      <c r="B965" s="305"/>
      <c r="C965" s="305"/>
      <c r="D965" s="305"/>
      <c r="E965" s="305"/>
      <c r="F965" s="305"/>
      <c r="G965" s="305"/>
      <c r="H965" s="305"/>
      <c r="I965" s="305"/>
      <c r="J965" s="305"/>
      <c r="K965" s="305"/>
      <c r="L965" s="305"/>
      <c r="M965" s="305"/>
      <c r="N965" s="305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  <c r="Y965" s="305"/>
      <c r="Z965" s="305"/>
    </row>
    <row r="966" spans="1:26" ht="15.75" customHeight="1">
      <c r="A966" s="305"/>
      <c r="B966" s="305"/>
      <c r="C966" s="305"/>
      <c r="D966" s="305"/>
      <c r="E966" s="305"/>
      <c r="F966" s="305"/>
      <c r="G966" s="305"/>
      <c r="H966" s="305"/>
      <c r="I966" s="305"/>
      <c r="J966" s="305"/>
      <c r="K966" s="305"/>
      <c r="L966" s="305"/>
      <c r="M966" s="305"/>
      <c r="N966" s="305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  <c r="Y966" s="305"/>
      <c r="Z966" s="305"/>
    </row>
    <row r="967" spans="1:26" ht="15.75" customHeight="1">
      <c r="A967" s="305"/>
      <c r="B967" s="305"/>
      <c r="C967" s="305"/>
      <c r="D967" s="305"/>
      <c r="E967" s="305"/>
      <c r="F967" s="305"/>
      <c r="G967" s="305"/>
      <c r="H967" s="305"/>
      <c r="I967" s="305"/>
      <c r="J967" s="305"/>
      <c r="K967" s="305"/>
      <c r="L967" s="305"/>
      <c r="M967" s="305"/>
      <c r="N967" s="305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  <c r="Y967" s="305"/>
      <c r="Z967" s="305"/>
    </row>
    <row r="968" spans="1:26" ht="15.75" customHeight="1">
      <c r="A968" s="305"/>
      <c r="B968" s="305"/>
      <c r="C968" s="305"/>
      <c r="D968" s="305"/>
      <c r="E968" s="305"/>
      <c r="F968" s="305"/>
      <c r="G968" s="305"/>
      <c r="H968" s="305"/>
      <c r="I968" s="305"/>
      <c r="J968" s="305"/>
      <c r="K968" s="305"/>
      <c r="L968" s="305"/>
      <c r="M968" s="305"/>
      <c r="N968" s="305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  <c r="Y968" s="305"/>
      <c r="Z968" s="305"/>
    </row>
    <row r="969" spans="1:26" ht="15.75" customHeight="1">
      <c r="A969" s="305"/>
      <c r="B969" s="305"/>
      <c r="C969" s="305"/>
      <c r="D969" s="305"/>
      <c r="E969" s="305"/>
      <c r="F969" s="305"/>
      <c r="G969" s="305"/>
      <c r="H969" s="305"/>
      <c r="I969" s="305"/>
      <c r="J969" s="305"/>
      <c r="K969" s="305"/>
      <c r="L969" s="305"/>
      <c r="M969" s="305"/>
      <c r="N969" s="305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  <c r="Y969" s="305"/>
      <c r="Z969" s="305"/>
    </row>
    <row r="970" spans="1:26" ht="15.75" customHeight="1">
      <c r="A970" s="305"/>
      <c r="B970" s="305"/>
      <c r="C970" s="305"/>
      <c r="D970" s="305"/>
      <c r="E970" s="305"/>
      <c r="F970" s="305"/>
      <c r="G970" s="305"/>
      <c r="H970" s="305"/>
      <c r="I970" s="305"/>
      <c r="J970" s="305"/>
      <c r="K970" s="305"/>
      <c r="L970" s="305"/>
      <c r="M970" s="305"/>
      <c r="N970" s="305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  <c r="Y970" s="305"/>
      <c r="Z970" s="305"/>
    </row>
    <row r="971" spans="1:26" ht="15.75" customHeight="1">
      <c r="A971" s="305"/>
      <c r="B971" s="305"/>
      <c r="C971" s="305"/>
      <c r="D971" s="305"/>
      <c r="E971" s="305"/>
      <c r="F971" s="305"/>
      <c r="G971" s="305"/>
      <c r="H971" s="305"/>
      <c r="I971" s="305"/>
      <c r="J971" s="305"/>
      <c r="K971" s="305"/>
      <c r="L971" s="305"/>
      <c r="M971" s="305"/>
      <c r="N971" s="305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  <c r="Y971" s="305"/>
      <c r="Z971" s="305"/>
    </row>
    <row r="972" spans="1:26" ht="15.75" customHeight="1">
      <c r="A972" s="305"/>
      <c r="B972" s="305"/>
      <c r="C972" s="305"/>
      <c r="D972" s="305"/>
      <c r="E972" s="305"/>
      <c r="F972" s="305"/>
      <c r="G972" s="305"/>
      <c r="H972" s="305"/>
      <c r="I972" s="305"/>
      <c r="J972" s="305"/>
      <c r="K972" s="305"/>
      <c r="L972" s="305"/>
      <c r="M972" s="305"/>
      <c r="N972" s="305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  <c r="Y972" s="305"/>
      <c r="Z972" s="305"/>
    </row>
    <row r="973" spans="1:26" ht="15.75" customHeight="1">
      <c r="A973" s="305"/>
      <c r="B973" s="305"/>
      <c r="C973" s="305"/>
      <c r="D973" s="305"/>
      <c r="E973" s="305"/>
      <c r="F973" s="305"/>
      <c r="G973" s="305"/>
      <c r="H973" s="305"/>
      <c r="I973" s="305"/>
      <c r="J973" s="305"/>
      <c r="K973" s="305"/>
      <c r="L973" s="305"/>
      <c r="M973" s="305"/>
      <c r="N973" s="305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  <c r="Y973" s="305"/>
      <c r="Z973" s="305"/>
    </row>
    <row r="974" spans="1:26" ht="15.75" customHeight="1">
      <c r="A974" s="305"/>
      <c r="B974" s="305"/>
      <c r="C974" s="305"/>
      <c r="D974" s="305"/>
      <c r="E974" s="305"/>
      <c r="F974" s="305"/>
      <c r="G974" s="305"/>
      <c r="H974" s="305"/>
      <c r="I974" s="305"/>
      <c r="J974" s="305"/>
      <c r="K974" s="305"/>
      <c r="L974" s="305"/>
      <c r="M974" s="305"/>
      <c r="N974" s="305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  <c r="Y974" s="305"/>
      <c r="Z974" s="305"/>
    </row>
    <row r="975" spans="1:26" ht="15.75" customHeight="1">
      <c r="A975" s="305"/>
      <c r="B975" s="305"/>
      <c r="C975" s="305"/>
      <c r="D975" s="305"/>
      <c r="E975" s="305"/>
      <c r="F975" s="305"/>
      <c r="G975" s="305"/>
      <c r="H975" s="305"/>
      <c r="I975" s="305"/>
      <c r="J975" s="305"/>
      <c r="K975" s="305"/>
      <c r="L975" s="305"/>
      <c r="M975" s="305"/>
      <c r="N975" s="305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  <c r="Y975" s="305"/>
      <c r="Z975" s="305"/>
    </row>
    <row r="976" spans="1:26" ht="15.75" customHeight="1">
      <c r="A976" s="305"/>
      <c r="B976" s="305"/>
      <c r="C976" s="305"/>
      <c r="D976" s="305"/>
      <c r="E976" s="305"/>
      <c r="F976" s="305"/>
      <c r="G976" s="305"/>
      <c r="H976" s="305"/>
      <c r="I976" s="305"/>
      <c r="J976" s="305"/>
      <c r="K976" s="305"/>
      <c r="L976" s="305"/>
      <c r="M976" s="305"/>
      <c r="N976" s="305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  <c r="Y976" s="305"/>
      <c r="Z976" s="305"/>
    </row>
    <row r="977" spans="1:26" ht="15.75" customHeight="1">
      <c r="A977" s="305"/>
      <c r="B977" s="305"/>
      <c r="C977" s="305"/>
      <c r="D977" s="305"/>
      <c r="E977" s="305"/>
      <c r="F977" s="305"/>
      <c r="G977" s="305"/>
      <c r="H977" s="305"/>
      <c r="I977" s="305"/>
      <c r="J977" s="305"/>
      <c r="K977" s="305"/>
      <c r="L977" s="305"/>
      <c r="M977" s="305"/>
      <c r="N977" s="305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  <c r="Y977" s="305"/>
      <c r="Z977" s="305"/>
    </row>
    <row r="978" spans="1:26" ht="15.75" customHeight="1">
      <c r="A978" s="305"/>
      <c r="B978" s="305"/>
      <c r="C978" s="305"/>
      <c r="D978" s="305"/>
      <c r="E978" s="305"/>
      <c r="F978" s="305"/>
      <c r="G978" s="305"/>
      <c r="H978" s="305"/>
      <c r="I978" s="305"/>
      <c r="J978" s="305"/>
      <c r="K978" s="305"/>
      <c r="L978" s="305"/>
      <c r="M978" s="305"/>
      <c r="N978" s="305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  <c r="Y978" s="305"/>
      <c r="Z978" s="305"/>
    </row>
    <row r="979" spans="1:26" ht="15.75" customHeight="1">
      <c r="A979" s="305"/>
      <c r="B979" s="305"/>
      <c r="C979" s="305"/>
      <c r="D979" s="305"/>
      <c r="E979" s="305"/>
      <c r="F979" s="305"/>
      <c r="G979" s="305"/>
      <c r="H979" s="305"/>
      <c r="I979" s="305"/>
      <c r="J979" s="305"/>
      <c r="K979" s="305"/>
      <c r="L979" s="305"/>
      <c r="M979" s="305"/>
      <c r="N979" s="305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  <c r="Y979" s="305"/>
      <c r="Z979" s="305"/>
    </row>
    <row r="980" spans="1:26" ht="15.75" customHeight="1">
      <c r="A980" s="305"/>
      <c r="B980" s="305"/>
      <c r="C980" s="305"/>
      <c r="D980" s="305"/>
      <c r="E980" s="305"/>
      <c r="F980" s="305"/>
      <c r="G980" s="305"/>
      <c r="H980" s="305"/>
      <c r="I980" s="305"/>
      <c r="J980" s="305"/>
      <c r="K980" s="305"/>
      <c r="L980" s="305"/>
      <c r="M980" s="305"/>
      <c r="N980" s="305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  <c r="Y980" s="305"/>
      <c r="Z980" s="305"/>
    </row>
    <row r="981" spans="1:26" ht="15.75" customHeight="1">
      <c r="A981" s="305"/>
      <c r="B981" s="305"/>
      <c r="C981" s="305"/>
      <c r="D981" s="305"/>
      <c r="E981" s="305"/>
      <c r="F981" s="305"/>
      <c r="G981" s="305"/>
      <c r="H981" s="305"/>
      <c r="I981" s="305"/>
      <c r="J981" s="305"/>
      <c r="K981" s="305"/>
      <c r="L981" s="305"/>
      <c r="M981" s="305"/>
      <c r="N981" s="305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  <c r="Y981" s="305"/>
      <c r="Z981" s="305"/>
    </row>
    <row r="982" spans="1:26" ht="15.75" customHeight="1">
      <c r="A982" s="305"/>
      <c r="B982" s="305"/>
      <c r="C982" s="305"/>
      <c r="D982" s="305"/>
      <c r="E982" s="305"/>
      <c r="F982" s="305"/>
      <c r="G982" s="305"/>
      <c r="H982" s="305"/>
      <c r="I982" s="305"/>
      <c r="J982" s="305"/>
      <c r="K982" s="305"/>
      <c r="L982" s="305"/>
      <c r="M982" s="305"/>
      <c r="N982" s="305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  <c r="Y982" s="305"/>
      <c r="Z982" s="305"/>
    </row>
    <row r="983" spans="1:26" ht="15.75" customHeight="1">
      <c r="A983" s="305"/>
      <c r="B983" s="305"/>
      <c r="C983" s="305"/>
      <c r="D983" s="305"/>
      <c r="E983" s="305"/>
      <c r="F983" s="305"/>
      <c r="G983" s="305"/>
      <c r="H983" s="305"/>
      <c r="I983" s="305"/>
      <c r="J983" s="305"/>
      <c r="K983" s="305"/>
      <c r="L983" s="305"/>
      <c r="M983" s="305"/>
      <c r="N983" s="305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  <c r="Y983" s="305"/>
      <c r="Z983" s="305"/>
    </row>
    <row r="984" spans="1:26" ht="15.75" customHeight="1">
      <c r="A984" s="305"/>
      <c r="B984" s="305"/>
      <c r="C984" s="305"/>
      <c r="D984" s="305"/>
      <c r="E984" s="305"/>
      <c r="F984" s="305"/>
      <c r="G984" s="305"/>
      <c r="H984" s="305"/>
      <c r="I984" s="305"/>
      <c r="J984" s="305"/>
      <c r="K984" s="305"/>
      <c r="L984" s="305"/>
      <c r="M984" s="305"/>
      <c r="N984" s="305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  <c r="Y984" s="305"/>
      <c r="Z984" s="305"/>
    </row>
    <row r="985" spans="1:26" ht="15.75" customHeight="1">
      <c r="A985" s="305"/>
      <c r="B985" s="305"/>
      <c r="C985" s="305"/>
      <c r="D985" s="305"/>
      <c r="E985" s="305"/>
      <c r="F985" s="305"/>
      <c r="G985" s="305"/>
      <c r="H985" s="305"/>
      <c r="I985" s="305"/>
      <c r="J985" s="305"/>
      <c r="K985" s="305"/>
      <c r="L985" s="305"/>
      <c r="M985" s="305"/>
      <c r="N985" s="305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  <c r="Y985" s="305"/>
      <c r="Z985" s="305"/>
    </row>
    <row r="986" spans="1:26" ht="15.75" customHeight="1">
      <c r="A986" s="305"/>
      <c r="B986" s="305"/>
      <c r="C986" s="305"/>
      <c r="D986" s="305"/>
      <c r="E986" s="305"/>
      <c r="F986" s="305"/>
      <c r="G986" s="305"/>
      <c r="H986" s="305"/>
      <c r="I986" s="305"/>
      <c r="J986" s="305"/>
      <c r="K986" s="305"/>
      <c r="L986" s="305"/>
      <c r="M986" s="305"/>
      <c r="N986" s="305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  <c r="Y986" s="305"/>
      <c r="Z986" s="305"/>
    </row>
    <row r="987" spans="1:26" ht="15.75" customHeight="1">
      <c r="A987" s="305"/>
      <c r="B987" s="305"/>
      <c r="C987" s="305"/>
      <c r="D987" s="305"/>
      <c r="E987" s="305"/>
      <c r="F987" s="305"/>
      <c r="G987" s="305"/>
      <c r="H987" s="305"/>
      <c r="I987" s="305"/>
      <c r="J987" s="305"/>
      <c r="K987" s="305"/>
      <c r="L987" s="305"/>
      <c r="M987" s="305"/>
      <c r="N987" s="305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  <c r="Y987" s="305"/>
      <c r="Z987" s="305"/>
    </row>
    <row r="988" spans="1:26" ht="15.75" customHeight="1">
      <c r="A988" s="305"/>
      <c r="B988" s="305"/>
      <c r="C988" s="305"/>
      <c r="D988" s="305"/>
      <c r="E988" s="305"/>
      <c r="F988" s="305"/>
      <c r="G988" s="305"/>
      <c r="H988" s="305"/>
      <c r="I988" s="305"/>
      <c r="J988" s="305"/>
      <c r="K988" s="305"/>
      <c r="L988" s="305"/>
      <c r="M988" s="305"/>
      <c r="N988" s="305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  <c r="Y988" s="305"/>
      <c r="Z988" s="305"/>
    </row>
    <row r="989" spans="1:26" ht="15.75" customHeight="1">
      <c r="A989" s="305"/>
      <c r="B989" s="305"/>
      <c r="C989" s="305"/>
      <c r="D989" s="305"/>
      <c r="E989" s="305"/>
      <c r="F989" s="305"/>
      <c r="G989" s="305"/>
      <c r="H989" s="305"/>
      <c r="I989" s="305"/>
      <c r="J989" s="305"/>
      <c r="K989" s="305"/>
      <c r="L989" s="305"/>
      <c r="M989" s="305"/>
      <c r="N989" s="305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  <c r="Y989" s="305"/>
      <c r="Z989" s="305"/>
    </row>
    <row r="990" spans="1:26" ht="15.75" customHeight="1">
      <c r="A990" s="305"/>
      <c r="B990" s="305"/>
      <c r="C990" s="305"/>
      <c r="D990" s="305"/>
      <c r="E990" s="305"/>
      <c r="F990" s="305"/>
      <c r="G990" s="305"/>
      <c r="H990" s="305"/>
      <c r="I990" s="305"/>
      <c r="J990" s="305"/>
      <c r="K990" s="305"/>
      <c r="L990" s="305"/>
      <c r="M990" s="305"/>
      <c r="N990" s="305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  <c r="Y990" s="305"/>
      <c r="Z990" s="305"/>
    </row>
    <row r="991" spans="1:26" ht="15.75" customHeight="1">
      <c r="A991" s="305"/>
      <c r="B991" s="305"/>
      <c r="C991" s="305"/>
      <c r="D991" s="305"/>
      <c r="E991" s="305"/>
      <c r="F991" s="305"/>
      <c r="G991" s="305"/>
      <c r="H991" s="305"/>
      <c r="I991" s="305"/>
      <c r="J991" s="305"/>
      <c r="K991" s="305"/>
      <c r="L991" s="305"/>
      <c r="M991" s="305"/>
      <c r="N991" s="305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  <c r="Y991" s="305"/>
      <c r="Z991" s="305"/>
    </row>
    <row r="992" spans="1:26" ht="15.75" customHeight="1">
      <c r="A992" s="305"/>
      <c r="B992" s="305"/>
      <c r="C992" s="305"/>
      <c r="D992" s="305"/>
      <c r="E992" s="305"/>
      <c r="F992" s="305"/>
      <c r="G992" s="305"/>
      <c r="H992" s="305"/>
      <c r="I992" s="305"/>
      <c r="J992" s="305"/>
      <c r="K992" s="305"/>
      <c r="L992" s="305"/>
      <c r="M992" s="305"/>
      <c r="N992" s="305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  <c r="Y992" s="305"/>
      <c r="Z992" s="305"/>
    </row>
    <row r="993" spans="1:26" ht="15.75" customHeight="1">
      <c r="A993" s="305"/>
      <c r="B993" s="305"/>
      <c r="C993" s="305"/>
      <c r="D993" s="305"/>
      <c r="E993" s="305"/>
      <c r="F993" s="305"/>
      <c r="G993" s="305"/>
      <c r="H993" s="305"/>
      <c r="I993" s="305"/>
      <c r="J993" s="305"/>
      <c r="K993" s="305"/>
      <c r="L993" s="305"/>
      <c r="M993" s="305"/>
      <c r="N993" s="305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  <c r="Y993" s="305"/>
      <c r="Z993" s="305"/>
    </row>
    <row r="994" spans="1:26" ht="15.75" customHeight="1">
      <c r="A994" s="305"/>
      <c r="B994" s="305"/>
      <c r="C994" s="305"/>
      <c r="D994" s="305"/>
      <c r="E994" s="305"/>
      <c r="F994" s="305"/>
      <c r="G994" s="305"/>
      <c r="H994" s="305"/>
      <c r="I994" s="305"/>
      <c r="J994" s="305"/>
      <c r="K994" s="305"/>
      <c r="L994" s="305"/>
      <c r="M994" s="305"/>
      <c r="N994" s="305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  <c r="Y994" s="305"/>
      <c r="Z994" s="305"/>
    </row>
    <row r="995" spans="1:26" ht="15.75" customHeight="1">
      <c r="A995" s="305"/>
      <c r="B995" s="305"/>
      <c r="C995" s="305"/>
      <c r="D995" s="305"/>
      <c r="E995" s="305"/>
      <c r="F995" s="305"/>
      <c r="G995" s="305"/>
      <c r="H995" s="305"/>
      <c r="I995" s="305"/>
      <c r="J995" s="305"/>
      <c r="K995" s="305"/>
      <c r="L995" s="305"/>
      <c r="M995" s="305"/>
      <c r="N995" s="305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  <c r="Y995" s="305"/>
      <c r="Z995" s="305"/>
    </row>
    <row r="996" spans="1:26" ht="15.75" customHeight="1">
      <c r="A996" s="305"/>
      <c r="B996" s="305"/>
      <c r="C996" s="305"/>
      <c r="D996" s="305"/>
      <c r="E996" s="305"/>
      <c r="F996" s="305"/>
      <c r="G996" s="305"/>
      <c r="H996" s="305"/>
      <c r="I996" s="305"/>
      <c r="J996" s="305"/>
      <c r="K996" s="305"/>
      <c r="L996" s="305"/>
      <c r="M996" s="305"/>
      <c r="N996" s="305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  <c r="Y996" s="305"/>
      <c r="Z996" s="305"/>
    </row>
    <row r="997" spans="1:26" ht="15.75" customHeight="1">
      <c r="A997" s="305"/>
      <c r="B997" s="305"/>
      <c r="C997" s="305"/>
      <c r="D997" s="305"/>
      <c r="E997" s="305"/>
      <c r="F997" s="305"/>
      <c r="G997" s="305"/>
      <c r="H997" s="305"/>
      <c r="I997" s="305"/>
      <c r="J997" s="305"/>
      <c r="K997" s="305"/>
      <c r="L997" s="305"/>
      <c r="M997" s="305"/>
      <c r="N997" s="305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  <c r="Y997" s="305"/>
      <c r="Z997" s="305"/>
    </row>
    <row r="998" spans="1:26" ht="15.75" customHeight="1">
      <c r="A998" s="305"/>
      <c r="B998" s="305"/>
      <c r="C998" s="305"/>
      <c r="D998" s="305"/>
      <c r="E998" s="305"/>
      <c r="F998" s="305"/>
      <c r="G998" s="305"/>
      <c r="H998" s="305"/>
      <c r="I998" s="305"/>
      <c r="J998" s="305"/>
      <c r="K998" s="305"/>
      <c r="L998" s="305"/>
      <c r="M998" s="305"/>
      <c r="N998" s="305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  <c r="Y998" s="305"/>
      <c r="Z998" s="305"/>
    </row>
    <row r="999" spans="1:26" ht="15.75" customHeight="1">
      <c r="A999" s="305"/>
      <c r="B999" s="305"/>
      <c r="C999" s="305"/>
      <c r="D999" s="305"/>
      <c r="E999" s="305"/>
      <c r="F999" s="305"/>
      <c r="G999" s="305"/>
      <c r="H999" s="305"/>
      <c r="I999" s="305"/>
      <c r="J999" s="305"/>
      <c r="K999" s="305"/>
      <c r="L999" s="305"/>
      <c r="M999" s="305"/>
      <c r="N999" s="305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  <c r="Y999" s="305"/>
      <c r="Z999" s="305"/>
    </row>
    <row r="1000" spans="1:26" ht="15.75" customHeight="1">
      <c r="A1000" s="305"/>
      <c r="B1000" s="305"/>
      <c r="C1000" s="305"/>
      <c r="D1000" s="305"/>
      <c r="E1000" s="305"/>
      <c r="F1000" s="305"/>
      <c r="G1000" s="305"/>
      <c r="H1000" s="305"/>
      <c r="I1000" s="305"/>
      <c r="J1000" s="305"/>
      <c r="K1000" s="305"/>
      <c r="L1000" s="305"/>
      <c r="M1000" s="305"/>
      <c r="N1000" s="305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  <c r="Y1000" s="305"/>
      <c r="Z1000" s="305"/>
    </row>
  </sheetData>
  <mergeCells count="77">
    <mergeCell ref="A113:E113"/>
    <mergeCell ref="G113:I113"/>
    <mergeCell ref="A120:E120"/>
    <mergeCell ref="G120:I120"/>
    <mergeCell ref="A91:A94"/>
    <mergeCell ref="A96:A102"/>
    <mergeCell ref="A103:E103"/>
    <mergeCell ref="G103:I103"/>
    <mergeCell ref="A104:A105"/>
    <mergeCell ref="A106:A107"/>
    <mergeCell ref="A108:A109"/>
    <mergeCell ref="A40:A42"/>
    <mergeCell ref="A43:E43"/>
    <mergeCell ref="G43:I43"/>
    <mergeCell ref="A44:A45"/>
    <mergeCell ref="A110:A111"/>
    <mergeCell ref="A85:A89"/>
    <mergeCell ref="A90:E90"/>
    <mergeCell ref="G90:I90"/>
    <mergeCell ref="A95:E95"/>
    <mergeCell ref="G95:I95"/>
    <mergeCell ref="A74:A77"/>
    <mergeCell ref="A78:E78"/>
    <mergeCell ref="G78:I78"/>
    <mergeCell ref="A79:A83"/>
    <mergeCell ref="A84:E84"/>
    <mergeCell ref="G84:I84"/>
    <mergeCell ref="A33:A34"/>
    <mergeCell ref="A35:E35"/>
    <mergeCell ref="G35:I35"/>
    <mergeCell ref="A36:A38"/>
    <mergeCell ref="A39:E39"/>
    <mergeCell ref="G39:I39"/>
    <mergeCell ref="A26:E26"/>
    <mergeCell ref="G26:I26"/>
    <mergeCell ref="A22:A25"/>
    <mergeCell ref="A27:A31"/>
    <mergeCell ref="A32:E32"/>
    <mergeCell ref="G32:I32"/>
    <mergeCell ref="A13:A14"/>
    <mergeCell ref="A15:E15"/>
    <mergeCell ref="G15:I15"/>
    <mergeCell ref="A16:A20"/>
    <mergeCell ref="A21:E21"/>
    <mergeCell ref="G21:I21"/>
    <mergeCell ref="A5:A8"/>
    <mergeCell ref="A9:E9"/>
    <mergeCell ref="G9:I9"/>
    <mergeCell ref="A10:A11"/>
    <mergeCell ref="A12:E12"/>
    <mergeCell ref="G12:I12"/>
    <mergeCell ref="K2:M2"/>
    <mergeCell ref="M3:M4"/>
    <mergeCell ref="A1:M1"/>
    <mergeCell ref="B2:E2"/>
    <mergeCell ref="G2:I2"/>
    <mergeCell ref="A3:A4"/>
    <mergeCell ref="B3:B4"/>
    <mergeCell ref="E3:E4"/>
    <mergeCell ref="I3:I4"/>
    <mergeCell ref="A62:A66"/>
    <mergeCell ref="A67:E67"/>
    <mergeCell ref="G67:I67"/>
    <mergeCell ref="A68:A72"/>
    <mergeCell ref="A73:E73"/>
    <mergeCell ref="G73:I73"/>
    <mergeCell ref="A55:E55"/>
    <mergeCell ref="G55:I55"/>
    <mergeCell ref="A52:A54"/>
    <mergeCell ref="A56:A60"/>
    <mergeCell ref="A61:E61"/>
    <mergeCell ref="G61:I61"/>
    <mergeCell ref="A46:E46"/>
    <mergeCell ref="G46:I46"/>
    <mergeCell ref="A47:A50"/>
    <mergeCell ref="A51:E51"/>
    <mergeCell ref="G51:I51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34F5C"/>
  </sheetPr>
  <dimension ref="A1:Z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2.625" defaultRowHeight="15" customHeight="1"/>
  <cols>
    <col min="1" max="1" width="21.25" customWidth="1"/>
    <col min="2" max="2" width="11.375" customWidth="1"/>
    <col min="3" max="3" width="9.75" customWidth="1"/>
    <col min="4" max="4" width="10.5" customWidth="1"/>
    <col min="5" max="5" width="12" customWidth="1"/>
    <col min="6" max="6" width="0.875" customWidth="1"/>
    <col min="7" max="7" width="11.875" customWidth="1"/>
    <col min="8" max="8" width="11.375" customWidth="1"/>
    <col min="9" max="9" width="12" customWidth="1"/>
    <col min="10" max="10" width="0.875" customWidth="1"/>
    <col min="11" max="11" width="11.875" customWidth="1"/>
    <col min="12" max="12" width="11.625" customWidth="1"/>
    <col min="13" max="13" width="12" customWidth="1"/>
    <col min="14" max="14" width="5.5" customWidth="1"/>
    <col min="15" max="15" width="9.375" customWidth="1"/>
    <col min="16" max="16" width="9.875" customWidth="1"/>
    <col min="17" max="17" width="7.875" customWidth="1"/>
    <col min="18" max="18" width="0.375" customWidth="1"/>
    <col min="19" max="26" width="7.875" customWidth="1"/>
  </cols>
  <sheetData>
    <row r="1" spans="1:26" ht="15.75" customHeight="1">
      <c r="A1" s="991" t="s">
        <v>155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55"/>
      <c r="N1" s="486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spans="1:26" ht="16.5" customHeight="1">
      <c r="A2" s="306"/>
      <c r="B2" s="992" t="s">
        <v>156</v>
      </c>
      <c r="C2" s="928"/>
      <c r="D2" s="928"/>
      <c r="E2" s="955"/>
      <c r="F2" s="307"/>
      <c r="G2" s="993" t="s">
        <v>4</v>
      </c>
      <c r="H2" s="928"/>
      <c r="I2" s="928"/>
      <c r="J2" s="308"/>
      <c r="K2" s="1004" t="s">
        <v>1</v>
      </c>
      <c r="L2" s="928"/>
      <c r="M2" s="955"/>
      <c r="N2" s="486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</row>
    <row r="3" spans="1:26" ht="48" customHeight="1">
      <c r="A3" s="994" t="s">
        <v>129</v>
      </c>
      <c r="B3" s="994" t="s">
        <v>7</v>
      </c>
      <c r="C3" s="311" t="str">
        <f>K3</f>
        <v xml:space="preserve">OBG 2021-22 </v>
      </c>
      <c r="D3" s="312" t="str">
        <f>H3</f>
        <v>Actual Exp. up to Sept-2021</v>
      </c>
      <c r="E3" s="995" t="s">
        <v>128</v>
      </c>
      <c r="F3" s="314"/>
      <c r="G3" s="313" t="str">
        <f>K3</f>
        <v xml:space="preserve">OBG 2021-22 </v>
      </c>
      <c r="H3" s="315" t="s">
        <v>157</v>
      </c>
      <c r="I3" s="995" t="s">
        <v>128</v>
      </c>
      <c r="J3" s="316"/>
      <c r="K3" s="487" t="s">
        <v>92</v>
      </c>
      <c r="L3" s="315" t="str">
        <f>H3</f>
        <v>Actual Exp. up to Sept-2021</v>
      </c>
      <c r="M3" s="989" t="s">
        <v>128</v>
      </c>
      <c r="N3" s="486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</row>
    <row r="4" spans="1:26" ht="17.25" customHeight="1">
      <c r="A4" s="949"/>
      <c r="B4" s="949"/>
      <c r="C4" s="318" t="s">
        <v>19</v>
      </c>
      <c r="D4" s="319" t="s">
        <v>19</v>
      </c>
      <c r="E4" s="957"/>
      <c r="F4" s="316"/>
      <c r="G4" s="320" t="s">
        <v>19</v>
      </c>
      <c r="H4" s="319" t="s">
        <v>19</v>
      </c>
      <c r="I4" s="957"/>
      <c r="J4" s="316"/>
      <c r="K4" s="488" t="s">
        <v>19</v>
      </c>
      <c r="L4" s="322" t="s">
        <v>19</v>
      </c>
      <c r="M4" s="990"/>
      <c r="N4" s="486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</row>
    <row r="5" spans="1:26" ht="15.75" customHeight="1">
      <c r="A5" s="996" t="s">
        <v>97</v>
      </c>
      <c r="B5" s="323" t="s">
        <v>21</v>
      </c>
      <c r="C5" s="331">
        <v>1</v>
      </c>
      <c r="D5" s="331">
        <v>860</v>
      </c>
      <c r="E5" s="326">
        <f>D5/C5</f>
        <v>860</v>
      </c>
      <c r="F5" s="327"/>
      <c r="G5" s="328">
        <f t="shared" ref="G5:H5" si="0">K5-C5</f>
        <v>0</v>
      </c>
      <c r="H5" s="328">
        <f t="shared" si="0"/>
        <v>0</v>
      </c>
      <c r="I5" s="329"/>
      <c r="J5" s="330"/>
      <c r="K5" s="331">
        <v>1</v>
      </c>
      <c r="L5" s="489">
        <v>860</v>
      </c>
      <c r="M5" s="381">
        <f>L5/K5</f>
        <v>860</v>
      </c>
      <c r="N5" s="486"/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</row>
    <row r="6" spans="1:26" ht="15.75" customHeight="1">
      <c r="A6" s="952"/>
      <c r="B6" s="334" t="s">
        <v>22</v>
      </c>
      <c r="C6" s="339">
        <v>10000</v>
      </c>
      <c r="D6" s="339">
        <v>0</v>
      </c>
      <c r="E6" s="337">
        <v>0</v>
      </c>
      <c r="F6" s="327"/>
      <c r="G6" s="338">
        <f t="shared" ref="G6:H6" si="1">K6-C6</f>
        <v>0</v>
      </c>
      <c r="H6" s="338">
        <f t="shared" si="1"/>
        <v>0</v>
      </c>
      <c r="I6" s="329"/>
      <c r="J6" s="330"/>
      <c r="K6" s="339">
        <v>10000</v>
      </c>
      <c r="L6" s="490">
        <v>0</v>
      </c>
      <c r="M6" s="383">
        <v>0</v>
      </c>
      <c r="N6" s="486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</row>
    <row r="7" spans="1:26" ht="15.75" customHeight="1">
      <c r="A7" s="952"/>
      <c r="B7" s="334" t="s">
        <v>40</v>
      </c>
      <c r="C7" s="339">
        <v>2</v>
      </c>
      <c r="D7" s="339">
        <v>469</v>
      </c>
      <c r="E7" s="337">
        <f t="shared" ref="E7:E8" si="2">D7/C7</f>
        <v>234.5</v>
      </c>
      <c r="F7" s="327"/>
      <c r="G7" s="338">
        <f t="shared" ref="G7:H7" si="3">K7-C7</f>
        <v>0</v>
      </c>
      <c r="H7" s="338">
        <f t="shared" si="3"/>
        <v>0</v>
      </c>
      <c r="I7" s="329"/>
      <c r="J7" s="330"/>
      <c r="K7" s="339">
        <v>2</v>
      </c>
      <c r="L7" s="490">
        <v>469</v>
      </c>
      <c r="M7" s="383">
        <f t="shared" ref="M7:M8" si="4">L7/K7</f>
        <v>234.5</v>
      </c>
      <c r="N7" s="486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</row>
    <row r="8" spans="1:26" ht="15.75" customHeight="1">
      <c r="A8" s="997"/>
      <c r="B8" s="201" t="s">
        <v>25</v>
      </c>
      <c r="C8" s="357">
        <f t="shared" ref="C8:D8" si="5">SUM(C5:C7)</f>
        <v>10003</v>
      </c>
      <c r="D8" s="357">
        <f t="shared" si="5"/>
        <v>1329</v>
      </c>
      <c r="E8" s="342">
        <f t="shared" si="2"/>
        <v>0.13286014195741278</v>
      </c>
      <c r="F8" s="343"/>
      <c r="G8" s="344">
        <f t="shared" ref="G8:H8" si="6">SUM(G5:G6)</f>
        <v>0</v>
      </c>
      <c r="H8" s="183">
        <f t="shared" si="6"/>
        <v>0</v>
      </c>
      <c r="I8" s="345"/>
      <c r="J8" s="330"/>
      <c r="K8" s="357">
        <f t="shared" ref="K8:L8" si="7">SUM(K5:K7)</f>
        <v>10003</v>
      </c>
      <c r="L8" s="184">
        <f t="shared" si="7"/>
        <v>1329</v>
      </c>
      <c r="M8" s="384">
        <f t="shared" si="4"/>
        <v>0.13286014195741278</v>
      </c>
      <c r="N8" s="486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</row>
    <row r="9" spans="1:26" ht="6.75" customHeight="1">
      <c r="A9" s="985"/>
      <c r="B9" s="928"/>
      <c r="C9" s="928"/>
      <c r="D9" s="928"/>
      <c r="E9" s="928"/>
      <c r="F9" s="312"/>
      <c r="G9" s="986"/>
      <c r="H9" s="928"/>
      <c r="I9" s="928"/>
      <c r="J9" s="312"/>
      <c r="K9" s="491"/>
      <c r="L9" s="348"/>
      <c r="M9" s="349"/>
      <c r="N9" s="486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</row>
    <row r="10" spans="1:26" ht="15.75" customHeight="1">
      <c r="A10" s="998" t="s">
        <v>26</v>
      </c>
      <c r="B10" s="350" t="s">
        <v>21</v>
      </c>
      <c r="C10" s="350">
        <v>1810001</v>
      </c>
      <c r="D10" s="351">
        <v>472020</v>
      </c>
      <c r="E10" s="352">
        <f t="shared" ref="E10:E11" si="8">D10/C10</f>
        <v>0.26078438630696887</v>
      </c>
      <c r="F10" s="327"/>
      <c r="G10" s="353">
        <f t="shared" ref="G10:H10" si="9">K10-C10</f>
        <v>0</v>
      </c>
      <c r="H10" s="353">
        <f t="shared" si="9"/>
        <v>0</v>
      </c>
      <c r="I10" s="352"/>
      <c r="J10" s="327"/>
      <c r="K10" s="492">
        <f>260001+1550000</f>
        <v>1810001</v>
      </c>
      <c r="L10" s="355">
        <v>472020</v>
      </c>
      <c r="M10" s="356">
        <f t="shared" ref="M10:M11" si="10">L10/K10</f>
        <v>0.26078438630696887</v>
      </c>
      <c r="N10" s="486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</row>
    <row r="11" spans="1:26" ht="15.75" customHeight="1">
      <c r="A11" s="953"/>
      <c r="B11" s="357" t="s">
        <v>25</v>
      </c>
      <c r="C11" s="357">
        <f t="shared" ref="C11:D11" si="11">SUM(C10)</f>
        <v>1810001</v>
      </c>
      <c r="D11" s="358">
        <f t="shared" si="11"/>
        <v>472020</v>
      </c>
      <c r="E11" s="359">
        <f t="shared" si="8"/>
        <v>0.26078438630696887</v>
      </c>
      <c r="F11" s="343"/>
      <c r="G11" s="360">
        <f t="shared" ref="G11:H11" si="12">SUM(G10)</f>
        <v>0</v>
      </c>
      <c r="H11" s="357">
        <f t="shared" si="12"/>
        <v>0</v>
      </c>
      <c r="I11" s="337"/>
      <c r="J11" s="327"/>
      <c r="K11" s="346">
        <f t="shared" ref="K11:L11" si="13">SUM(K10)</f>
        <v>1810001</v>
      </c>
      <c r="L11" s="362">
        <f t="shared" si="13"/>
        <v>472020</v>
      </c>
      <c r="M11" s="363">
        <f t="shared" si="10"/>
        <v>0.26078438630696887</v>
      </c>
      <c r="N11" s="486"/>
      <c r="O11" s="305" t="s">
        <v>147</v>
      </c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</row>
    <row r="12" spans="1:26" ht="6.75" customHeight="1">
      <c r="A12" s="985"/>
      <c r="B12" s="928"/>
      <c r="C12" s="928"/>
      <c r="D12" s="928"/>
      <c r="E12" s="928"/>
      <c r="F12" s="312"/>
      <c r="G12" s="986"/>
      <c r="H12" s="928"/>
      <c r="I12" s="928"/>
      <c r="J12" s="312"/>
      <c r="K12" s="491"/>
      <c r="L12" s="348"/>
      <c r="M12" s="349"/>
      <c r="N12" s="486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</row>
    <row r="13" spans="1:26" ht="15.75" customHeight="1">
      <c r="A13" s="987" t="s">
        <v>27</v>
      </c>
      <c r="B13" s="386" t="s">
        <v>21</v>
      </c>
      <c r="C13" s="364">
        <f>5600400</f>
        <v>5600400</v>
      </c>
      <c r="D13" s="365">
        <v>80742</v>
      </c>
      <c r="E13" s="326">
        <f t="shared" ref="E13:E15" si="14">D13/C13</f>
        <v>1.441718448682237E-2</v>
      </c>
      <c r="F13" s="327"/>
      <c r="G13" s="338">
        <f t="shared" ref="G13:H13" si="15">K13-C13</f>
        <v>80000</v>
      </c>
      <c r="H13" s="338">
        <f t="shared" si="15"/>
        <v>0</v>
      </c>
      <c r="I13" s="337">
        <f>H13/G13</f>
        <v>0</v>
      </c>
      <c r="J13" s="327"/>
      <c r="K13" s="364">
        <f>5600400+80000</f>
        <v>5680400</v>
      </c>
      <c r="L13" s="365">
        <v>80742</v>
      </c>
      <c r="M13" s="368">
        <f t="shared" ref="M13:M15" si="16">L13/K13</f>
        <v>1.4214139849306386E-2</v>
      </c>
      <c r="N13" s="486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</row>
    <row r="14" spans="1:26" ht="15.75" customHeight="1">
      <c r="A14" s="949"/>
      <c r="B14" s="493" t="s">
        <v>158</v>
      </c>
      <c r="C14" s="494">
        <v>6479400</v>
      </c>
      <c r="D14" s="351">
        <v>2774400</v>
      </c>
      <c r="E14" s="326">
        <f t="shared" si="14"/>
        <v>0.42818779516621908</v>
      </c>
      <c r="F14" s="327"/>
      <c r="G14" s="338">
        <f t="shared" ref="G14:H14" si="17">K14-C14</f>
        <v>0</v>
      </c>
      <c r="H14" s="338">
        <f t="shared" si="17"/>
        <v>0</v>
      </c>
      <c r="I14" s="337">
        <v>0</v>
      </c>
      <c r="J14" s="327"/>
      <c r="K14" s="494">
        <v>6479400</v>
      </c>
      <c r="L14" s="351">
        <v>2774400</v>
      </c>
      <c r="M14" s="368">
        <f t="shared" si="16"/>
        <v>0.42818779516621908</v>
      </c>
      <c r="N14" s="486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</row>
    <row r="15" spans="1:26" ht="15.75" customHeight="1">
      <c r="A15" s="950"/>
      <c r="B15" s="357" t="s">
        <v>25</v>
      </c>
      <c r="C15" s="369">
        <f t="shared" ref="C15:D15" si="18">SUM(C13:C14)</f>
        <v>12079800</v>
      </c>
      <c r="D15" s="369">
        <f t="shared" si="18"/>
        <v>2855142</v>
      </c>
      <c r="E15" s="359">
        <f t="shared" si="14"/>
        <v>0.23635672776039338</v>
      </c>
      <c r="F15" s="343"/>
      <c r="G15" s="370">
        <f t="shared" ref="G15:H15" si="19">SUM(G13)</f>
        <v>80000</v>
      </c>
      <c r="H15" s="369">
        <f t="shared" si="19"/>
        <v>0</v>
      </c>
      <c r="I15" s="337">
        <f>H15/G15</f>
        <v>0</v>
      </c>
      <c r="J15" s="327"/>
      <c r="K15" s="362">
        <f t="shared" ref="K15:L15" si="20">SUM(K13:K14)</f>
        <v>12159800</v>
      </c>
      <c r="L15" s="371">
        <f t="shared" si="20"/>
        <v>2855142</v>
      </c>
      <c r="M15" s="363">
        <f t="shared" si="16"/>
        <v>0.23480172371256106</v>
      </c>
      <c r="N15" s="486"/>
      <c r="O15" s="305" t="s">
        <v>147</v>
      </c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305"/>
    </row>
    <row r="16" spans="1:26" ht="6.75" customHeight="1">
      <c r="A16" s="985"/>
      <c r="B16" s="928"/>
      <c r="C16" s="928"/>
      <c r="D16" s="928"/>
      <c r="E16" s="928"/>
      <c r="F16" s="312"/>
      <c r="G16" s="986"/>
      <c r="H16" s="928"/>
      <c r="I16" s="928"/>
      <c r="J16" s="312"/>
      <c r="K16" s="491"/>
      <c r="L16" s="348"/>
      <c r="M16" s="349"/>
      <c r="N16" s="486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</row>
    <row r="17" spans="1:26" ht="15.75" customHeight="1">
      <c r="A17" s="987" t="s">
        <v>30</v>
      </c>
      <c r="B17" s="323" t="s">
        <v>21</v>
      </c>
      <c r="C17" s="364">
        <v>383504</v>
      </c>
      <c r="D17" s="365">
        <v>109079</v>
      </c>
      <c r="E17" s="326">
        <f>D17/C17</f>
        <v>0.28442728107138388</v>
      </c>
      <c r="F17" s="327"/>
      <c r="G17" s="338">
        <f t="shared" ref="G17:H17" si="21">K17-C17</f>
        <v>280699</v>
      </c>
      <c r="H17" s="338">
        <f t="shared" si="21"/>
        <v>71829</v>
      </c>
      <c r="I17" s="337">
        <f t="shared" ref="I17:I21" si="22">H17/G17</f>
        <v>0.2558933234532364</v>
      </c>
      <c r="J17" s="327"/>
      <c r="K17" s="367">
        <f>150003+514200</f>
        <v>664203</v>
      </c>
      <c r="L17" s="367">
        <v>180908</v>
      </c>
      <c r="M17" s="368">
        <f>L17/K17</f>
        <v>0.27236853793192745</v>
      </c>
      <c r="N17" s="486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</row>
    <row r="18" spans="1:26" ht="15.75" customHeight="1">
      <c r="A18" s="949"/>
      <c r="B18" s="334" t="s">
        <v>28</v>
      </c>
      <c r="C18" s="372">
        <v>0</v>
      </c>
      <c r="D18" s="373">
        <v>0</v>
      </c>
      <c r="E18" s="337">
        <v>0</v>
      </c>
      <c r="F18" s="327"/>
      <c r="G18" s="338">
        <f t="shared" ref="G18:H18" si="23">K18-C18</f>
        <v>0</v>
      </c>
      <c r="H18" s="338">
        <f t="shared" si="23"/>
        <v>256</v>
      </c>
      <c r="I18" s="337" t="e">
        <f t="shared" si="22"/>
        <v>#DIV/0!</v>
      </c>
      <c r="J18" s="327"/>
      <c r="K18" s="375">
        <v>0</v>
      </c>
      <c r="L18" s="375">
        <v>256</v>
      </c>
      <c r="M18" s="376">
        <v>0</v>
      </c>
      <c r="N18" s="486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</row>
    <row r="19" spans="1:26" ht="15.75" customHeight="1">
      <c r="A19" s="949"/>
      <c r="B19" s="334" t="s">
        <v>31</v>
      </c>
      <c r="C19" s="372">
        <f>50026+50000</f>
        <v>100026</v>
      </c>
      <c r="D19" s="373">
        <f>24248+70983</f>
        <v>95231</v>
      </c>
      <c r="E19" s="337">
        <f t="shared" ref="E19:E21" si="24">D19/C19</f>
        <v>0.95206246375942249</v>
      </c>
      <c r="F19" s="327"/>
      <c r="G19" s="338">
        <f t="shared" ref="G19:H19" si="25">K19-C19</f>
        <v>13</v>
      </c>
      <c r="H19" s="338">
        <f t="shared" si="25"/>
        <v>23041</v>
      </c>
      <c r="I19" s="337">
        <f t="shared" si="22"/>
        <v>1772.3846153846155</v>
      </c>
      <c r="J19" s="327"/>
      <c r="K19" s="375">
        <v>100039</v>
      </c>
      <c r="L19" s="375">
        <v>118272</v>
      </c>
      <c r="M19" s="376">
        <f t="shared" ref="M19:M21" si="26">L19/K19</f>
        <v>1.1822589190215815</v>
      </c>
      <c r="N19" s="486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</row>
    <row r="20" spans="1:26" ht="15.75" customHeight="1">
      <c r="A20" s="949"/>
      <c r="B20" s="377" t="s">
        <v>32</v>
      </c>
      <c r="C20" s="378">
        <v>1</v>
      </c>
      <c r="D20" s="373">
        <v>4750</v>
      </c>
      <c r="E20" s="495">
        <f t="shared" si="24"/>
        <v>4750</v>
      </c>
      <c r="F20" s="327"/>
      <c r="G20" s="338">
        <f t="shared" ref="G20:H20" si="27">K20-C20</f>
        <v>1</v>
      </c>
      <c r="H20" s="338">
        <f t="shared" si="27"/>
        <v>13348</v>
      </c>
      <c r="I20" s="495">
        <f t="shared" si="22"/>
        <v>13348</v>
      </c>
      <c r="J20" s="327"/>
      <c r="K20" s="496">
        <v>2</v>
      </c>
      <c r="L20" s="375">
        <v>18098</v>
      </c>
      <c r="M20" s="497">
        <f t="shared" si="26"/>
        <v>9049</v>
      </c>
      <c r="N20" s="486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</row>
    <row r="21" spans="1:26" ht="15.75" customHeight="1">
      <c r="A21" s="950"/>
      <c r="B21" s="357" t="s">
        <v>25</v>
      </c>
      <c r="C21" s="369">
        <f t="shared" ref="C21:D21" si="28">SUM(C17:C20)</f>
        <v>483531</v>
      </c>
      <c r="D21" s="358">
        <f t="shared" si="28"/>
        <v>209060</v>
      </c>
      <c r="E21" s="359">
        <f t="shared" si="24"/>
        <v>0.43236111024939455</v>
      </c>
      <c r="F21" s="343"/>
      <c r="G21" s="370">
        <f t="shared" ref="G21:H21" si="29">SUM(G17:G20)</f>
        <v>280713</v>
      </c>
      <c r="H21" s="369">
        <f t="shared" si="29"/>
        <v>108474</v>
      </c>
      <c r="I21" s="380">
        <f t="shared" si="22"/>
        <v>0.38642314392279659</v>
      </c>
      <c r="J21" s="327"/>
      <c r="K21" s="362">
        <f t="shared" ref="K21:L21" si="30">SUM(K17:K20)</f>
        <v>764244</v>
      </c>
      <c r="L21" s="362">
        <f t="shared" si="30"/>
        <v>317534</v>
      </c>
      <c r="M21" s="363">
        <f t="shared" si="26"/>
        <v>0.41548772381595406</v>
      </c>
      <c r="N21" s="486"/>
      <c r="O21" s="305" t="s">
        <v>147</v>
      </c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</row>
    <row r="22" spans="1:26" ht="6.75" customHeight="1">
      <c r="A22" s="985"/>
      <c r="B22" s="928"/>
      <c r="C22" s="928"/>
      <c r="D22" s="928"/>
      <c r="E22" s="928"/>
      <c r="F22" s="312"/>
      <c r="G22" s="986"/>
      <c r="H22" s="928"/>
      <c r="I22" s="928"/>
      <c r="J22" s="312"/>
      <c r="K22" s="491"/>
      <c r="L22" s="348"/>
      <c r="M22" s="349"/>
      <c r="N22" s="486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</row>
    <row r="23" spans="1:26" ht="15.75" customHeight="1">
      <c r="A23" s="987" t="s">
        <v>34</v>
      </c>
      <c r="B23" s="323" t="s">
        <v>21</v>
      </c>
      <c r="C23" s="364">
        <v>0</v>
      </c>
      <c r="D23" s="365">
        <v>0</v>
      </c>
      <c r="E23" s="326">
        <v>0</v>
      </c>
      <c r="F23" s="327"/>
      <c r="G23" s="338">
        <f t="shared" ref="G23:H23" si="31">K23-C23</f>
        <v>5000</v>
      </c>
      <c r="H23" s="338">
        <f t="shared" si="31"/>
        <v>0</v>
      </c>
      <c r="I23" s="337">
        <f t="shared" ref="I23:I26" si="32">H23/G23</f>
        <v>0</v>
      </c>
      <c r="J23" s="327"/>
      <c r="K23" s="367">
        <v>5000</v>
      </c>
      <c r="L23" s="367">
        <v>0</v>
      </c>
      <c r="M23" s="368">
        <f t="shared" ref="M23:M26" si="33">L23/K23</f>
        <v>0</v>
      </c>
      <c r="N23" s="486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</row>
    <row r="24" spans="1:26" ht="15.75" customHeight="1">
      <c r="A24" s="949"/>
      <c r="B24" s="334" t="s">
        <v>28</v>
      </c>
      <c r="C24" s="372">
        <v>0</v>
      </c>
      <c r="D24" s="373">
        <v>0</v>
      </c>
      <c r="E24" s="337">
        <v>0</v>
      </c>
      <c r="F24" s="327"/>
      <c r="G24" s="338">
        <f t="shared" ref="G24:H24" si="34">K24-C24</f>
        <v>30000</v>
      </c>
      <c r="H24" s="338">
        <f t="shared" si="34"/>
        <v>730</v>
      </c>
      <c r="I24" s="337">
        <f t="shared" si="32"/>
        <v>2.4333333333333332E-2</v>
      </c>
      <c r="J24" s="327"/>
      <c r="K24" s="375">
        <v>30000</v>
      </c>
      <c r="L24" s="375">
        <v>730</v>
      </c>
      <c r="M24" s="376">
        <f t="shared" si="33"/>
        <v>2.4333333333333332E-2</v>
      </c>
      <c r="N24" s="486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305"/>
      <c r="Z24" s="305"/>
    </row>
    <row r="25" spans="1:26" ht="15.75" customHeight="1">
      <c r="A25" s="949"/>
      <c r="B25" s="334" t="s">
        <v>31</v>
      </c>
      <c r="C25" s="372">
        <v>0</v>
      </c>
      <c r="D25" s="373">
        <v>0</v>
      </c>
      <c r="E25" s="337">
        <v>0</v>
      </c>
      <c r="F25" s="327"/>
      <c r="G25" s="338">
        <f t="shared" ref="G25:H25" si="35">K25-C25</f>
        <v>104</v>
      </c>
      <c r="H25" s="338">
        <f t="shared" si="35"/>
        <v>1160</v>
      </c>
      <c r="I25" s="337">
        <f t="shared" si="32"/>
        <v>11.153846153846153</v>
      </c>
      <c r="J25" s="327"/>
      <c r="K25" s="375">
        <v>104</v>
      </c>
      <c r="L25" s="375">
        <v>1160</v>
      </c>
      <c r="M25" s="376">
        <f t="shared" si="33"/>
        <v>11.153846153846153</v>
      </c>
      <c r="N25" s="486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</row>
    <row r="26" spans="1:26" ht="15.75" customHeight="1">
      <c r="A26" s="950"/>
      <c r="B26" s="357" t="s">
        <v>25</v>
      </c>
      <c r="C26" s="369">
        <f t="shared" ref="C26:D26" si="36">SUM(C23:C25)</f>
        <v>0</v>
      </c>
      <c r="D26" s="358">
        <f t="shared" si="36"/>
        <v>0</v>
      </c>
      <c r="E26" s="359">
        <v>0</v>
      </c>
      <c r="F26" s="343"/>
      <c r="G26" s="370">
        <f t="shared" ref="G26:H26" si="37">SUM(G23:G25)</f>
        <v>35104</v>
      </c>
      <c r="H26" s="369">
        <f t="shared" si="37"/>
        <v>1890</v>
      </c>
      <c r="I26" s="380">
        <f t="shared" si="32"/>
        <v>5.3840018231540568E-2</v>
      </c>
      <c r="J26" s="327"/>
      <c r="K26" s="362">
        <f t="shared" ref="K26:L26" si="38">SUM(K23:K25)</f>
        <v>35104</v>
      </c>
      <c r="L26" s="362">
        <f t="shared" si="38"/>
        <v>1890</v>
      </c>
      <c r="M26" s="363">
        <f t="shared" si="33"/>
        <v>5.3840018231540568E-2</v>
      </c>
      <c r="N26" s="486"/>
      <c r="O26" s="305" t="s">
        <v>147</v>
      </c>
      <c r="P26" s="305"/>
      <c r="Q26" s="305"/>
      <c r="R26" s="305"/>
      <c r="S26" s="305"/>
      <c r="T26" s="305"/>
      <c r="U26" s="305"/>
      <c r="V26" s="305"/>
      <c r="W26" s="305"/>
      <c r="X26" s="305"/>
      <c r="Y26" s="305"/>
      <c r="Z26" s="305"/>
    </row>
    <row r="27" spans="1:26" ht="7.5" customHeight="1">
      <c r="A27" s="985"/>
      <c r="B27" s="928"/>
      <c r="C27" s="928"/>
      <c r="D27" s="928"/>
      <c r="E27" s="928"/>
      <c r="F27" s="312"/>
      <c r="G27" s="986"/>
      <c r="H27" s="928"/>
      <c r="I27" s="928"/>
      <c r="J27" s="312"/>
      <c r="K27" s="491"/>
      <c r="L27" s="348"/>
      <c r="M27" s="349"/>
      <c r="N27" s="486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305"/>
      <c r="Z27" s="305"/>
    </row>
    <row r="28" spans="1:26" ht="15.75" customHeight="1">
      <c r="A28" s="987" t="s">
        <v>159</v>
      </c>
      <c r="B28" s="323" t="s">
        <v>21</v>
      </c>
      <c r="C28" s="364">
        <v>0</v>
      </c>
      <c r="D28" s="365">
        <v>0</v>
      </c>
      <c r="E28" s="381">
        <v>0</v>
      </c>
      <c r="F28" s="382"/>
      <c r="G28" s="338">
        <f t="shared" ref="G28:H28" si="39">K28-C28</f>
        <v>17001</v>
      </c>
      <c r="H28" s="338">
        <f t="shared" si="39"/>
        <v>34180</v>
      </c>
      <c r="I28" s="337">
        <f t="shared" ref="I28:I32" si="40">H28/G28</f>
        <v>2.0104699723545676</v>
      </c>
      <c r="J28" s="327"/>
      <c r="K28" s="367">
        <v>17001</v>
      </c>
      <c r="L28" s="367">
        <v>34180</v>
      </c>
      <c r="M28" s="368">
        <f>L28/K28</f>
        <v>2.0104699723545676</v>
      </c>
      <c r="N28" s="486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</row>
    <row r="29" spans="1:26" ht="15.75" customHeight="1">
      <c r="A29" s="949"/>
      <c r="B29" s="334" t="s">
        <v>28</v>
      </c>
      <c r="C29" s="372">
        <v>0</v>
      </c>
      <c r="D29" s="373">
        <v>0</v>
      </c>
      <c r="E29" s="383">
        <v>0</v>
      </c>
      <c r="F29" s="382"/>
      <c r="G29" s="338">
        <f t="shared" ref="G29:H29" si="41">K29-C29</f>
        <v>0</v>
      </c>
      <c r="H29" s="338">
        <f t="shared" si="41"/>
        <v>439</v>
      </c>
      <c r="I29" s="337" t="e">
        <f t="shared" si="40"/>
        <v>#DIV/0!</v>
      </c>
      <c r="J29" s="327"/>
      <c r="K29" s="375">
        <v>0</v>
      </c>
      <c r="L29" s="375">
        <v>439</v>
      </c>
      <c r="M29" s="376">
        <v>0</v>
      </c>
      <c r="N29" s="486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</row>
    <row r="30" spans="1:26" ht="15.75" customHeight="1">
      <c r="A30" s="949"/>
      <c r="B30" s="334" t="s">
        <v>31</v>
      </c>
      <c r="C30" s="372">
        <v>0</v>
      </c>
      <c r="D30" s="373">
        <v>0</v>
      </c>
      <c r="E30" s="383">
        <v>0</v>
      </c>
      <c r="F30" s="382"/>
      <c r="G30" s="338">
        <f t="shared" ref="G30:H30" si="42">K30-C30</f>
        <v>75646</v>
      </c>
      <c r="H30" s="338">
        <f t="shared" si="42"/>
        <v>0</v>
      </c>
      <c r="I30" s="337">
        <f t="shared" si="40"/>
        <v>0</v>
      </c>
      <c r="J30" s="327"/>
      <c r="K30" s="375">
        <v>75646</v>
      </c>
      <c r="L30" s="375">
        <v>0</v>
      </c>
      <c r="M30" s="376">
        <f t="shared" ref="M30:M32" si="43">L30/K30</f>
        <v>0</v>
      </c>
      <c r="N30" s="486"/>
      <c r="O30" s="305"/>
      <c r="P30" s="305"/>
      <c r="Q30" s="305">
        <f>1281400-1203450</f>
        <v>77950</v>
      </c>
      <c r="R30" s="305"/>
      <c r="S30" s="305"/>
      <c r="T30" s="305"/>
      <c r="U30" s="305"/>
      <c r="V30" s="305"/>
      <c r="W30" s="305"/>
      <c r="X30" s="305"/>
      <c r="Y30" s="305"/>
      <c r="Z30" s="305"/>
    </row>
    <row r="31" spans="1:26" ht="15.75" customHeight="1">
      <c r="A31" s="949"/>
      <c r="B31" s="377" t="s">
        <v>32</v>
      </c>
      <c r="C31" s="378">
        <v>0</v>
      </c>
      <c r="D31" s="373">
        <v>0</v>
      </c>
      <c r="E31" s="383">
        <v>0</v>
      </c>
      <c r="F31" s="382"/>
      <c r="G31" s="338">
        <f t="shared" ref="G31:H31" si="44">K31-C31</f>
        <v>87373</v>
      </c>
      <c r="H31" s="338">
        <f t="shared" si="44"/>
        <v>38464</v>
      </c>
      <c r="I31" s="337">
        <f t="shared" si="40"/>
        <v>0.44022753024389688</v>
      </c>
      <c r="J31" s="327"/>
      <c r="K31" s="496">
        <v>87373</v>
      </c>
      <c r="L31" s="375">
        <v>38464</v>
      </c>
      <c r="M31" s="376">
        <f t="shared" si="43"/>
        <v>0.44022753024389688</v>
      </c>
      <c r="N31" s="486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</row>
    <row r="32" spans="1:26" ht="15.75" customHeight="1">
      <c r="A32" s="950"/>
      <c r="B32" s="357" t="s">
        <v>25</v>
      </c>
      <c r="C32" s="369">
        <f t="shared" ref="C32:D32" si="45">SUM(C28:C31)</f>
        <v>0</v>
      </c>
      <c r="D32" s="358">
        <f t="shared" si="45"/>
        <v>0</v>
      </c>
      <c r="E32" s="384">
        <v>0</v>
      </c>
      <c r="F32" s="385"/>
      <c r="G32" s="370">
        <f t="shared" ref="G32:H32" si="46">SUM(G28:G31)</f>
        <v>180020</v>
      </c>
      <c r="H32" s="369">
        <f t="shared" si="46"/>
        <v>73083</v>
      </c>
      <c r="I32" s="380">
        <f t="shared" si="40"/>
        <v>0.40597155871569823</v>
      </c>
      <c r="J32" s="327"/>
      <c r="K32" s="362">
        <f t="shared" ref="K32:L32" si="47">SUM(K28:K31)</f>
        <v>180020</v>
      </c>
      <c r="L32" s="362">
        <f t="shared" si="47"/>
        <v>73083</v>
      </c>
      <c r="M32" s="363">
        <f t="shared" si="43"/>
        <v>0.40597155871569823</v>
      </c>
      <c r="N32" s="486"/>
      <c r="O32" s="305" t="s">
        <v>147</v>
      </c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</row>
    <row r="33" spans="1:26" ht="7.5" customHeight="1">
      <c r="A33" s="985"/>
      <c r="B33" s="928"/>
      <c r="C33" s="928"/>
      <c r="D33" s="928"/>
      <c r="E33" s="928"/>
      <c r="F33" s="312"/>
      <c r="G33" s="986"/>
      <c r="H33" s="928"/>
      <c r="I33" s="928"/>
      <c r="J33" s="312"/>
      <c r="K33" s="491"/>
      <c r="L33" s="348"/>
      <c r="M33" s="349"/>
      <c r="N33" s="486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</row>
    <row r="34" spans="1:26" ht="18.75" customHeight="1">
      <c r="A34" s="1005" t="s">
        <v>160</v>
      </c>
      <c r="B34" s="323" t="s">
        <v>21</v>
      </c>
      <c r="C34" s="364">
        <v>0</v>
      </c>
      <c r="D34" s="365">
        <v>0</v>
      </c>
      <c r="E34" s="326">
        <v>0</v>
      </c>
      <c r="F34" s="327"/>
      <c r="G34" s="338">
        <f t="shared" ref="G34:H34" si="48">K34-C34</f>
        <v>6167100</v>
      </c>
      <c r="H34" s="338">
        <f t="shared" si="48"/>
        <v>6003023</v>
      </c>
      <c r="I34" s="337">
        <f t="shared" ref="I34:I35" si="49">H34/G34</f>
        <v>0.97339478847432348</v>
      </c>
      <c r="J34" s="327"/>
      <c r="K34" s="367">
        <v>6167100</v>
      </c>
      <c r="L34" s="367">
        <v>6003023</v>
      </c>
      <c r="M34" s="368">
        <f t="shared" ref="M34:M35" si="50">L34/K34</f>
        <v>0.97339478847432348</v>
      </c>
      <c r="N34" s="486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</row>
    <row r="35" spans="1:26" ht="18" customHeight="1">
      <c r="A35" s="950"/>
      <c r="B35" s="357" t="s">
        <v>25</v>
      </c>
      <c r="C35" s="369">
        <f t="shared" ref="C35:D35" si="51">SUM(C34)</f>
        <v>0</v>
      </c>
      <c r="D35" s="358">
        <f t="shared" si="51"/>
        <v>0</v>
      </c>
      <c r="E35" s="359">
        <v>0</v>
      </c>
      <c r="F35" s="343"/>
      <c r="G35" s="370">
        <f t="shared" ref="G35:H35" si="52">SUM(G34)</f>
        <v>6167100</v>
      </c>
      <c r="H35" s="369">
        <f t="shared" si="52"/>
        <v>6003023</v>
      </c>
      <c r="I35" s="380">
        <f t="shared" si="49"/>
        <v>0.97339478847432348</v>
      </c>
      <c r="J35" s="327"/>
      <c r="K35" s="362">
        <f t="shared" ref="K35:L35" si="53">SUM(K34)</f>
        <v>6167100</v>
      </c>
      <c r="L35" s="362">
        <f t="shared" si="53"/>
        <v>6003023</v>
      </c>
      <c r="M35" s="363">
        <f t="shared" si="50"/>
        <v>0.97339478847432348</v>
      </c>
      <c r="N35" s="486"/>
      <c r="O35" s="305" t="s">
        <v>147</v>
      </c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</row>
    <row r="36" spans="1:26" ht="9.75" customHeight="1">
      <c r="A36" s="985"/>
      <c r="B36" s="928"/>
      <c r="C36" s="928"/>
      <c r="D36" s="928"/>
      <c r="E36" s="928"/>
      <c r="F36" s="312"/>
      <c r="G36" s="986"/>
      <c r="H36" s="928"/>
      <c r="I36" s="928"/>
      <c r="J36" s="312"/>
      <c r="K36" s="491"/>
      <c r="L36" s="348"/>
      <c r="M36" s="349"/>
      <c r="N36" s="486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</row>
    <row r="37" spans="1:26" ht="15.75" customHeight="1">
      <c r="A37" s="987" t="s">
        <v>161</v>
      </c>
      <c r="B37" s="386" t="s">
        <v>40</v>
      </c>
      <c r="C37" s="386">
        <v>10000</v>
      </c>
      <c r="D37" s="387">
        <v>0</v>
      </c>
      <c r="E37" s="326">
        <f>D37/C37</f>
        <v>0</v>
      </c>
      <c r="F37" s="327"/>
      <c r="G37" s="338">
        <f t="shared" ref="G37:H37" si="54">K37-C37</f>
        <v>234105</v>
      </c>
      <c r="H37" s="338">
        <f t="shared" si="54"/>
        <v>11467</v>
      </c>
      <c r="I37" s="337">
        <f>H37/G37</f>
        <v>4.898229426966532E-2</v>
      </c>
      <c r="J37" s="327"/>
      <c r="K37" s="498">
        <v>244105</v>
      </c>
      <c r="L37" s="389">
        <v>11467</v>
      </c>
      <c r="M37" s="368">
        <f>L37/K37</f>
        <v>4.6975686692202125E-2</v>
      </c>
      <c r="N37" s="486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305"/>
      <c r="Z37" s="305"/>
    </row>
    <row r="38" spans="1:26" ht="15.75" customHeight="1">
      <c r="A38" s="949"/>
      <c r="B38" s="377" t="s">
        <v>32</v>
      </c>
      <c r="C38" s="377">
        <v>0</v>
      </c>
      <c r="D38" s="373">
        <v>0</v>
      </c>
      <c r="E38" s="337">
        <v>0</v>
      </c>
      <c r="F38" s="327"/>
      <c r="G38" s="338">
        <f t="shared" ref="G38:H38" si="55">K38-C38</f>
        <v>0</v>
      </c>
      <c r="H38" s="338">
        <f t="shared" si="55"/>
        <v>1401</v>
      </c>
      <c r="I38" s="337">
        <v>0</v>
      </c>
      <c r="J38" s="327"/>
      <c r="K38" s="499">
        <v>0</v>
      </c>
      <c r="L38" s="375">
        <v>1401</v>
      </c>
      <c r="M38" s="376">
        <v>0</v>
      </c>
      <c r="N38" s="486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</row>
    <row r="39" spans="1:26" ht="15.75" customHeight="1">
      <c r="A39" s="950"/>
      <c r="B39" s="357" t="s">
        <v>25</v>
      </c>
      <c r="C39" s="357">
        <f>SUM(C37:C38)</f>
        <v>10000</v>
      </c>
      <c r="D39" s="358">
        <f>SUM(D38)</f>
        <v>0</v>
      </c>
      <c r="E39" s="359">
        <v>0</v>
      </c>
      <c r="F39" s="343"/>
      <c r="G39" s="360">
        <f t="shared" ref="G39:H39" si="56">SUM(G37:G38)</f>
        <v>234105</v>
      </c>
      <c r="H39" s="357">
        <f t="shared" si="56"/>
        <v>12868</v>
      </c>
      <c r="I39" s="380">
        <f>H39/G39</f>
        <v>5.4966788406911431E-2</v>
      </c>
      <c r="J39" s="327"/>
      <c r="K39" s="346">
        <f t="shared" ref="K39:L39" si="57">SUM(K37:K38)</f>
        <v>244105</v>
      </c>
      <c r="L39" s="362">
        <f t="shared" si="57"/>
        <v>12868</v>
      </c>
      <c r="M39" s="363">
        <f>L39/K39</f>
        <v>5.2715020175744046E-2</v>
      </c>
      <c r="N39" s="486"/>
      <c r="O39" s="305" t="s">
        <v>147</v>
      </c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</row>
    <row r="40" spans="1:26" ht="6" customHeight="1">
      <c r="A40" s="985"/>
      <c r="B40" s="928"/>
      <c r="C40" s="928"/>
      <c r="D40" s="928"/>
      <c r="E40" s="928"/>
      <c r="F40" s="312"/>
      <c r="G40" s="986"/>
      <c r="H40" s="928"/>
      <c r="I40" s="928"/>
      <c r="J40" s="312"/>
      <c r="K40" s="491"/>
      <c r="L40" s="348"/>
      <c r="M40" s="349"/>
      <c r="N40" s="486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</row>
    <row r="41" spans="1:26" ht="14.25" customHeight="1">
      <c r="A41" s="987" t="s">
        <v>162</v>
      </c>
      <c r="B41" s="323" t="s">
        <v>40</v>
      </c>
      <c r="C41" s="364">
        <v>1232779</v>
      </c>
      <c r="D41" s="365">
        <v>327518</v>
      </c>
      <c r="E41" s="326">
        <f t="shared" ref="E41:E43" si="58">D41/C41</f>
        <v>0.26567454507255556</v>
      </c>
      <c r="F41" s="327"/>
      <c r="G41" s="338">
        <f t="shared" ref="G41:H41" si="59">K41-C41</f>
        <v>3380525</v>
      </c>
      <c r="H41" s="338">
        <f t="shared" si="59"/>
        <v>93245</v>
      </c>
      <c r="I41" s="337">
        <f t="shared" ref="I41:I43" si="60">H41/G41</f>
        <v>2.7582993765761236E-2</v>
      </c>
      <c r="J41" s="327"/>
      <c r="K41" s="367">
        <v>4613304</v>
      </c>
      <c r="L41" s="367">
        <v>420763</v>
      </c>
      <c r="M41" s="368">
        <f t="shared" ref="M41:M43" si="61">L41/K41</f>
        <v>9.1206432526449596E-2</v>
      </c>
      <c r="N41" s="486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</row>
    <row r="42" spans="1:26" ht="15.75" customHeight="1">
      <c r="A42" s="949"/>
      <c r="B42" s="377" t="s">
        <v>32</v>
      </c>
      <c r="C42" s="378">
        <v>135532</v>
      </c>
      <c r="D42" s="373">
        <v>29268</v>
      </c>
      <c r="E42" s="337">
        <f t="shared" si="58"/>
        <v>0.21594900097393974</v>
      </c>
      <c r="F42" s="327"/>
      <c r="G42" s="338">
        <f t="shared" ref="G42:H42" si="62">K42-C42</f>
        <v>501203</v>
      </c>
      <c r="H42" s="338">
        <f t="shared" si="62"/>
        <v>440292</v>
      </c>
      <c r="I42" s="337">
        <f t="shared" si="60"/>
        <v>0.87847040021707767</v>
      </c>
      <c r="J42" s="327"/>
      <c r="K42" s="496">
        <v>636735</v>
      </c>
      <c r="L42" s="375">
        <v>469560</v>
      </c>
      <c r="M42" s="376">
        <f t="shared" si="61"/>
        <v>0.73744964545690117</v>
      </c>
      <c r="N42" s="486"/>
      <c r="O42" s="305"/>
      <c r="P42" s="305"/>
      <c r="Q42" s="305"/>
      <c r="R42" s="305"/>
      <c r="S42" s="305"/>
      <c r="T42" s="305"/>
      <c r="U42" s="305"/>
      <c r="V42" s="305"/>
      <c r="W42" s="305"/>
      <c r="X42" s="305"/>
      <c r="Y42" s="305"/>
      <c r="Z42" s="305"/>
    </row>
    <row r="43" spans="1:26" ht="15.75" customHeight="1">
      <c r="A43" s="950"/>
      <c r="B43" s="357" t="s">
        <v>25</v>
      </c>
      <c r="C43" s="369">
        <f t="shared" ref="C43:D43" si="63">SUM(C41:C42)</f>
        <v>1368311</v>
      </c>
      <c r="D43" s="369">
        <f t="shared" si="63"/>
        <v>356786</v>
      </c>
      <c r="E43" s="359">
        <f t="shared" si="58"/>
        <v>0.26074920102228222</v>
      </c>
      <c r="F43" s="343"/>
      <c r="G43" s="370">
        <f t="shared" ref="G43:H43" si="64">SUM(G41:G42)</f>
        <v>3881728</v>
      </c>
      <c r="H43" s="369">
        <f t="shared" si="64"/>
        <v>533537</v>
      </c>
      <c r="I43" s="380">
        <f t="shared" si="60"/>
        <v>0.1374483219844358</v>
      </c>
      <c r="J43" s="327"/>
      <c r="K43" s="362">
        <f t="shared" ref="K43:L43" si="65">SUM(K41:K42)</f>
        <v>5250039</v>
      </c>
      <c r="L43" s="362">
        <f t="shared" si="65"/>
        <v>890323</v>
      </c>
      <c r="M43" s="363">
        <f t="shared" si="61"/>
        <v>0.16958407356592969</v>
      </c>
      <c r="N43" s="486"/>
      <c r="O43" s="305" t="s">
        <v>147</v>
      </c>
      <c r="P43" s="305"/>
      <c r="Q43" s="305"/>
      <c r="R43" s="305"/>
      <c r="S43" s="305"/>
      <c r="T43" s="305"/>
      <c r="U43" s="305"/>
      <c r="V43" s="305"/>
      <c r="W43" s="305"/>
      <c r="X43" s="305"/>
      <c r="Y43" s="305"/>
      <c r="Z43" s="305"/>
    </row>
    <row r="44" spans="1:26" ht="6.75" customHeight="1">
      <c r="A44" s="985"/>
      <c r="B44" s="928"/>
      <c r="C44" s="928"/>
      <c r="D44" s="928"/>
      <c r="E44" s="928"/>
      <c r="F44" s="312"/>
      <c r="G44" s="986"/>
      <c r="H44" s="928"/>
      <c r="I44" s="928"/>
      <c r="J44" s="312"/>
      <c r="K44" s="491"/>
      <c r="L44" s="348"/>
      <c r="M44" s="349"/>
      <c r="N44" s="486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</row>
    <row r="45" spans="1:26" ht="15.75" customHeight="1">
      <c r="A45" s="987" t="s">
        <v>163</v>
      </c>
      <c r="B45" s="391" t="s">
        <v>32</v>
      </c>
      <c r="C45" s="392">
        <v>0</v>
      </c>
      <c r="D45" s="365">
        <v>0</v>
      </c>
      <c r="E45" s="326">
        <v>0</v>
      </c>
      <c r="F45" s="327"/>
      <c r="G45" s="338">
        <f t="shared" ref="G45:H45" si="66">K45-C45</f>
        <v>6000000</v>
      </c>
      <c r="H45" s="338">
        <f t="shared" si="66"/>
        <v>4051773</v>
      </c>
      <c r="I45" s="337">
        <f t="shared" ref="I45:I46" si="67">H45/G45</f>
        <v>0.67529550000000005</v>
      </c>
      <c r="J45" s="327"/>
      <c r="K45" s="500">
        <v>6000000</v>
      </c>
      <c r="L45" s="367">
        <v>4051773</v>
      </c>
      <c r="M45" s="368">
        <f t="shared" ref="M45:M46" si="68">L45/K45</f>
        <v>0.67529550000000005</v>
      </c>
      <c r="N45" s="486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</row>
    <row r="46" spans="1:26" ht="15.75" customHeight="1">
      <c r="A46" s="950"/>
      <c r="B46" s="357" t="s">
        <v>25</v>
      </c>
      <c r="C46" s="369">
        <f t="shared" ref="C46:D46" si="69">SUM(C45)</f>
        <v>0</v>
      </c>
      <c r="D46" s="358">
        <f t="shared" si="69"/>
        <v>0</v>
      </c>
      <c r="E46" s="359">
        <v>0</v>
      </c>
      <c r="F46" s="343"/>
      <c r="G46" s="370">
        <f t="shared" ref="G46:H46" si="70">SUM(G45)</f>
        <v>6000000</v>
      </c>
      <c r="H46" s="369">
        <f t="shared" si="70"/>
        <v>4051773</v>
      </c>
      <c r="I46" s="380">
        <f t="shared" si="67"/>
        <v>0.67529550000000005</v>
      </c>
      <c r="J46" s="327"/>
      <c r="K46" s="362">
        <f t="shared" ref="K46:L46" si="71">SUM(K45)</f>
        <v>6000000</v>
      </c>
      <c r="L46" s="362">
        <f t="shared" si="71"/>
        <v>4051773</v>
      </c>
      <c r="M46" s="363">
        <f t="shared" si="68"/>
        <v>0.67529550000000005</v>
      </c>
      <c r="N46" s="486"/>
      <c r="O46" s="305" t="s">
        <v>147</v>
      </c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</row>
    <row r="47" spans="1:26" ht="6.75" customHeight="1">
      <c r="A47" s="985"/>
      <c r="B47" s="928"/>
      <c r="C47" s="928"/>
      <c r="D47" s="928"/>
      <c r="E47" s="928"/>
      <c r="F47" s="312"/>
      <c r="G47" s="986"/>
      <c r="H47" s="928"/>
      <c r="I47" s="928"/>
      <c r="J47" s="312"/>
      <c r="K47" s="491"/>
      <c r="L47" s="348"/>
      <c r="M47" s="349"/>
      <c r="N47" s="486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</row>
    <row r="48" spans="1:26" ht="15.75" customHeight="1">
      <c r="A48" s="987" t="s">
        <v>164</v>
      </c>
      <c r="B48" s="323" t="s">
        <v>21</v>
      </c>
      <c r="C48" s="364">
        <v>0</v>
      </c>
      <c r="D48" s="365">
        <v>0</v>
      </c>
      <c r="E48" s="326">
        <v>0</v>
      </c>
      <c r="F48" s="327"/>
      <c r="G48" s="338">
        <f t="shared" ref="G48:H48" si="72">K48-C48</f>
        <v>4500</v>
      </c>
      <c r="H48" s="338">
        <f t="shared" si="72"/>
        <v>0</v>
      </c>
      <c r="I48" s="337">
        <f>H48/G48</f>
        <v>0</v>
      </c>
      <c r="J48" s="327"/>
      <c r="K48" s="367">
        <v>4500</v>
      </c>
      <c r="L48" s="367">
        <v>0</v>
      </c>
      <c r="M48" s="368">
        <f>L48/K48</f>
        <v>0</v>
      </c>
      <c r="N48" s="486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</row>
    <row r="49" spans="1:26" ht="15.75" customHeight="1">
      <c r="A49" s="949"/>
      <c r="B49" s="334" t="s">
        <v>28</v>
      </c>
      <c r="C49" s="372">
        <v>0</v>
      </c>
      <c r="D49" s="373">
        <v>0</v>
      </c>
      <c r="E49" s="337">
        <v>0</v>
      </c>
      <c r="F49" s="327"/>
      <c r="G49" s="338">
        <f t="shared" ref="G49:H49" si="73">K49-C49</f>
        <v>0</v>
      </c>
      <c r="H49" s="338">
        <f t="shared" si="73"/>
        <v>4957</v>
      </c>
      <c r="I49" s="337">
        <v>0</v>
      </c>
      <c r="J49" s="327"/>
      <c r="K49" s="375">
        <v>0</v>
      </c>
      <c r="L49" s="375">
        <v>4957</v>
      </c>
      <c r="M49" s="376">
        <v>0</v>
      </c>
      <c r="N49" s="486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</row>
    <row r="50" spans="1:26" ht="15.75" customHeight="1">
      <c r="A50" s="949"/>
      <c r="B50" s="377" t="s">
        <v>32</v>
      </c>
      <c r="C50" s="378">
        <v>2</v>
      </c>
      <c r="D50" s="373">
        <v>0</v>
      </c>
      <c r="E50" s="337">
        <f t="shared" ref="E50:E51" si="74">D50/C50</f>
        <v>0</v>
      </c>
      <c r="F50" s="327"/>
      <c r="G50" s="338">
        <f t="shared" ref="G50:H50" si="75">K50-C50</f>
        <v>145498</v>
      </c>
      <c r="H50" s="338">
        <f t="shared" si="75"/>
        <v>66068</v>
      </c>
      <c r="I50" s="337">
        <f t="shared" ref="I50:I51" si="76">H50/G50</f>
        <v>0.45408184304938898</v>
      </c>
      <c r="J50" s="327"/>
      <c r="K50" s="496">
        <v>145500</v>
      </c>
      <c r="L50" s="375">
        <v>66068</v>
      </c>
      <c r="M50" s="376">
        <f t="shared" ref="M50:M51" si="77">L50/K50</f>
        <v>0.45407560137457043</v>
      </c>
      <c r="N50" s="486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</row>
    <row r="51" spans="1:26" ht="15.75" customHeight="1">
      <c r="A51" s="950"/>
      <c r="B51" s="357" t="s">
        <v>25</v>
      </c>
      <c r="C51" s="369">
        <f t="shared" ref="C51:D51" si="78">SUM(C48:C50)</f>
        <v>2</v>
      </c>
      <c r="D51" s="358">
        <f t="shared" si="78"/>
        <v>0</v>
      </c>
      <c r="E51" s="359">
        <f t="shared" si="74"/>
        <v>0</v>
      </c>
      <c r="F51" s="343"/>
      <c r="G51" s="370">
        <f t="shared" ref="G51:H51" si="79">SUM(G48:G50)</f>
        <v>149998</v>
      </c>
      <c r="H51" s="369">
        <f t="shared" si="79"/>
        <v>71025</v>
      </c>
      <c r="I51" s="380">
        <f t="shared" si="76"/>
        <v>0.47350631341751226</v>
      </c>
      <c r="J51" s="327"/>
      <c r="K51" s="362">
        <f t="shared" ref="K51:L51" si="80">SUM(K48:K50)</f>
        <v>150000</v>
      </c>
      <c r="L51" s="362">
        <f t="shared" si="80"/>
        <v>71025</v>
      </c>
      <c r="M51" s="363">
        <f t="shared" si="77"/>
        <v>0.47349999999999998</v>
      </c>
      <c r="N51" s="486"/>
      <c r="O51" s="305" t="s">
        <v>147</v>
      </c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</row>
    <row r="52" spans="1:26" ht="6.75" customHeight="1">
      <c r="A52" s="985"/>
      <c r="B52" s="928"/>
      <c r="C52" s="928"/>
      <c r="D52" s="928"/>
      <c r="E52" s="928"/>
      <c r="F52" s="312"/>
      <c r="G52" s="986"/>
      <c r="H52" s="928"/>
      <c r="I52" s="928"/>
      <c r="J52" s="312"/>
      <c r="K52" s="491"/>
      <c r="L52" s="348"/>
      <c r="M52" s="349"/>
      <c r="N52" s="486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</row>
    <row r="53" spans="1:26" ht="15.75" customHeight="1">
      <c r="A53" s="987" t="s">
        <v>165</v>
      </c>
      <c r="B53" s="323" t="s">
        <v>21</v>
      </c>
      <c r="C53" s="364">
        <f>330003</f>
        <v>330003</v>
      </c>
      <c r="D53" s="394">
        <v>54539</v>
      </c>
      <c r="E53" s="329">
        <f t="shared" ref="E53:E55" si="81">D53/C53</f>
        <v>0.16526819453156485</v>
      </c>
      <c r="F53" s="327"/>
      <c r="G53" s="338">
        <f t="shared" ref="G53:H53" si="82">K53-C53</f>
        <v>189981</v>
      </c>
      <c r="H53" s="338">
        <f t="shared" si="82"/>
        <v>7706</v>
      </c>
      <c r="I53" s="337">
        <f t="shared" ref="I53:I55" si="83">H53/G53</f>
        <v>4.0561950931935299E-2</v>
      </c>
      <c r="J53" s="327"/>
      <c r="K53" s="367">
        <v>519984</v>
      </c>
      <c r="L53" s="367">
        <v>62245</v>
      </c>
      <c r="M53" s="368">
        <f t="shared" ref="M53:M55" si="84">L53/K53</f>
        <v>0.11970560632634851</v>
      </c>
      <c r="N53" s="486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305"/>
      <c r="Z53" s="305"/>
    </row>
    <row r="54" spans="1:26" ht="15.75" customHeight="1">
      <c r="A54" s="949"/>
      <c r="B54" s="377" t="s">
        <v>32</v>
      </c>
      <c r="C54" s="378">
        <f>1004+1035010</f>
        <v>1036014</v>
      </c>
      <c r="D54" s="396">
        <f>16168+564302</f>
        <v>580470</v>
      </c>
      <c r="E54" s="329">
        <f t="shared" si="81"/>
        <v>0.56029165629035904</v>
      </c>
      <c r="F54" s="327"/>
      <c r="G54" s="338">
        <f t="shared" ref="G54:H54" si="85">K54-C54</f>
        <v>1497425</v>
      </c>
      <c r="H54" s="338">
        <f t="shared" si="85"/>
        <v>493010</v>
      </c>
      <c r="I54" s="337">
        <f t="shared" si="83"/>
        <v>0.32923852613653437</v>
      </c>
      <c r="J54" s="327"/>
      <c r="K54" s="496">
        <v>2533439</v>
      </c>
      <c r="L54" s="375">
        <v>1073480</v>
      </c>
      <c r="M54" s="376">
        <f t="shared" si="84"/>
        <v>0.42372443149410743</v>
      </c>
      <c r="N54" s="486"/>
      <c r="O54" s="305"/>
      <c r="P54" s="305"/>
      <c r="Q54" s="305"/>
      <c r="R54" s="305"/>
      <c r="S54" s="305"/>
      <c r="T54" s="305"/>
      <c r="U54" s="305"/>
      <c r="V54" s="305"/>
      <c r="W54" s="305"/>
      <c r="X54" s="305"/>
      <c r="Y54" s="305"/>
      <c r="Z54" s="305"/>
    </row>
    <row r="55" spans="1:26" ht="15.75" customHeight="1">
      <c r="A55" s="950"/>
      <c r="B55" s="357" t="s">
        <v>25</v>
      </c>
      <c r="C55" s="369">
        <f t="shared" ref="C55:D55" si="86">SUM(C53:C54)</f>
        <v>1366017</v>
      </c>
      <c r="D55" s="357">
        <f t="shared" si="86"/>
        <v>635009</v>
      </c>
      <c r="E55" s="397">
        <f t="shared" si="81"/>
        <v>0.46486171109144325</v>
      </c>
      <c r="F55" s="343"/>
      <c r="G55" s="370">
        <f t="shared" ref="G55:H55" si="87">SUM(G53:G54)</f>
        <v>1687406</v>
      </c>
      <c r="H55" s="369">
        <f t="shared" si="87"/>
        <v>500716</v>
      </c>
      <c r="I55" s="380">
        <f t="shared" si="83"/>
        <v>0.29673712194931157</v>
      </c>
      <c r="J55" s="327"/>
      <c r="K55" s="362">
        <f t="shared" ref="K55:L55" si="88">SUM(K53:K54)</f>
        <v>3053423</v>
      </c>
      <c r="L55" s="362">
        <f t="shared" si="88"/>
        <v>1135725</v>
      </c>
      <c r="M55" s="363">
        <f t="shared" si="84"/>
        <v>0.37195141321723196</v>
      </c>
      <c r="N55" s="486"/>
      <c r="O55" s="305" t="s">
        <v>147</v>
      </c>
      <c r="P55" s="305"/>
      <c r="Q55" s="305"/>
      <c r="R55" s="305"/>
      <c r="S55" s="305"/>
      <c r="T55" s="305"/>
      <c r="U55" s="305"/>
      <c r="V55" s="305"/>
      <c r="W55" s="305"/>
      <c r="X55" s="305"/>
      <c r="Y55" s="305"/>
      <c r="Z55" s="305"/>
    </row>
    <row r="56" spans="1:26" ht="6.75" customHeight="1">
      <c r="A56" s="985"/>
      <c r="B56" s="928"/>
      <c r="C56" s="928"/>
      <c r="D56" s="928"/>
      <c r="E56" s="928"/>
      <c r="F56" s="312"/>
      <c r="G56" s="986"/>
      <c r="H56" s="928"/>
      <c r="I56" s="928"/>
      <c r="J56" s="312"/>
      <c r="K56" s="491"/>
      <c r="L56" s="348"/>
      <c r="M56" s="349"/>
      <c r="N56" s="486"/>
      <c r="O56" s="305"/>
      <c r="P56" s="305"/>
      <c r="Q56" s="305"/>
      <c r="R56" s="305"/>
      <c r="S56" s="305"/>
      <c r="T56" s="305"/>
      <c r="U56" s="305"/>
      <c r="V56" s="305"/>
      <c r="W56" s="305"/>
      <c r="X56" s="305"/>
      <c r="Y56" s="305"/>
      <c r="Z56" s="305"/>
    </row>
    <row r="57" spans="1:26" ht="15.75" customHeight="1">
      <c r="A57" s="987" t="s">
        <v>166</v>
      </c>
      <c r="B57" s="323" t="s">
        <v>21</v>
      </c>
      <c r="C57" s="364">
        <v>350210</v>
      </c>
      <c r="D57" s="365">
        <v>89643</v>
      </c>
      <c r="E57" s="326">
        <f>D57/C57</f>
        <v>0.25596927557751065</v>
      </c>
      <c r="F57" s="327"/>
      <c r="G57" s="338">
        <f t="shared" ref="G57:H57" si="89">K57-C57</f>
        <v>18111</v>
      </c>
      <c r="H57" s="338">
        <f t="shared" si="89"/>
        <v>11385</v>
      </c>
      <c r="I57" s="337">
        <f t="shared" ref="I57:I61" si="90">H57/G57</f>
        <v>0.62862348848765948</v>
      </c>
      <c r="J57" s="327"/>
      <c r="K57" s="367">
        <v>368321</v>
      </c>
      <c r="L57" s="367">
        <v>101028</v>
      </c>
      <c r="M57" s="368">
        <f t="shared" ref="M57:M61" si="91">L57/K57</f>
        <v>0.27429334737905253</v>
      </c>
      <c r="N57" s="486"/>
      <c r="O57" s="305"/>
      <c r="P57" s="305"/>
      <c r="Q57" s="305"/>
      <c r="R57" s="305"/>
      <c r="S57" s="305"/>
      <c r="T57" s="305"/>
      <c r="U57" s="305"/>
      <c r="V57" s="305"/>
      <c r="W57" s="305"/>
      <c r="X57" s="305"/>
      <c r="Y57" s="305"/>
      <c r="Z57" s="305"/>
    </row>
    <row r="58" spans="1:26" ht="15.75" customHeight="1">
      <c r="A58" s="949"/>
      <c r="B58" s="334" t="s">
        <v>28</v>
      </c>
      <c r="C58" s="372">
        <v>0</v>
      </c>
      <c r="D58" s="373">
        <v>0</v>
      </c>
      <c r="E58" s="337">
        <v>0</v>
      </c>
      <c r="F58" s="327"/>
      <c r="G58" s="338">
        <f t="shared" ref="G58:H58" si="92">K58-C58</f>
        <v>33979</v>
      </c>
      <c r="H58" s="338">
        <f t="shared" si="92"/>
        <v>92</v>
      </c>
      <c r="I58" s="337">
        <f t="shared" si="90"/>
        <v>2.7075546661173076E-3</v>
      </c>
      <c r="J58" s="327"/>
      <c r="K58" s="375">
        <v>33979</v>
      </c>
      <c r="L58" s="375">
        <v>92</v>
      </c>
      <c r="M58" s="376">
        <f t="shared" si="91"/>
        <v>2.7075546661173076E-3</v>
      </c>
      <c r="N58" s="486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305"/>
      <c r="Z58" s="305"/>
    </row>
    <row r="59" spans="1:26" ht="15.75" customHeight="1">
      <c r="A59" s="949"/>
      <c r="B59" s="334" t="s">
        <v>31</v>
      </c>
      <c r="C59" s="372">
        <v>84000</v>
      </c>
      <c r="D59" s="373">
        <v>72911</v>
      </c>
      <c r="E59" s="337">
        <f t="shared" ref="E59:E61" si="93">D59/C59</f>
        <v>0.86798809523809528</v>
      </c>
      <c r="F59" s="327"/>
      <c r="G59" s="338">
        <f t="shared" ref="G59:H59" si="94">K59-C59</f>
        <v>20631</v>
      </c>
      <c r="H59" s="338">
        <f t="shared" si="94"/>
        <v>1679</v>
      </c>
      <c r="I59" s="337">
        <f t="shared" si="90"/>
        <v>8.1382385730211823E-2</v>
      </c>
      <c r="J59" s="327"/>
      <c r="K59" s="375">
        <v>104631</v>
      </c>
      <c r="L59" s="375">
        <v>74590</v>
      </c>
      <c r="M59" s="376">
        <f t="shared" si="91"/>
        <v>0.71288623830413544</v>
      </c>
      <c r="N59" s="486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05"/>
      <c r="Z59" s="305"/>
    </row>
    <row r="60" spans="1:26" ht="15.75" customHeight="1">
      <c r="A60" s="949"/>
      <c r="B60" s="377" t="s">
        <v>32</v>
      </c>
      <c r="C60" s="378">
        <v>76700</v>
      </c>
      <c r="D60" s="373">
        <v>14556</v>
      </c>
      <c r="E60" s="337">
        <f t="shared" si="93"/>
        <v>0.18977835723598435</v>
      </c>
      <c r="F60" s="327"/>
      <c r="G60" s="338">
        <f t="shared" ref="G60:H60" si="95">K60-C60</f>
        <v>418722</v>
      </c>
      <c r="H60" s="338">
        <f t="shared" si="95"/>
        <v>102822</v>
      </c>
      <c r="I60" s="337">
        <f t="shared" si="90"/>
        <v>0.24556149426110879</v>
      </c>
      <c r="J60" s="327"/>
      <c r="K60" s="496">
        <v>495422</v>
      </c>
      <c r="L60" s="375">
        <v>117378</v>
      </c>
      <c r="M60" s="376">
        <f t="shared" si="91"/>
        <v>0.23692528793634518</v>
      </c>
      <c r="N60" s="486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5"/>
    </row>
    <row r="61" spans="1:26" ht="15.75" customHeight="1">
      <c r="A61" s="950"/>
      <c r="B61" s="357" t="s">
        <v>25</v>
      </c>
      <c r="C61" s="369">
        <f t="shared" ref="C61:D61" si="96">SUM(C57:C60)</f>
        <v>510910</v>
      </c>
      <c r="D61" s="369">
        <f t="shared" si="96"/>
        <v>177110</v>
      </c>
      <c r="E61" s="359">
        <f t="shared" si="93"/>
        <v>0.34665596680432953</v>
      </c>
      <c r="F61" s="343"/>
      <c r="G61" s="370">
        <f t="shared" ref="G61:H61" si="97">SUM(G57:G60)</f>
        <v>491443</v>
      </c>
      <c r="H61" s="369">
        <f t="shared" si="97"/>
        <v>115978</v>
      </c>
      <c r="I61" s="380">
        <f t="shared" si="90"/>
        <v>0.23599481526850519</v>
      </c>
      <c r="J61" s="327"/>
      <c r="K61" s="362">
        <f t="shared" ref="K61:L61" si="98">SUM(K57:K60)</f>
        <v>1002353</v>
      </c>
      <c r="L61" s="362">
        <f t="shared" si="98"/>
        <v>293088</v>
      </c>
      <c r="M61" s="363">
        <f t="shared" si="91"/>
        <v>0.2923999828403766</v>
      </c>
      <c r="N61" s="486"/>
      <c r="O61" s="305" t="s">
        <v>147</v>
      </c>
      <c r="P61" s="305"/>
      <c r="Q61" s="305"/>
      <c r="R61" s="305"/>
      <c r="S61" s="305"/>
      <c r="T61" s="305"/>
      <c r="U61" s="305"/>
      <c r="V61" s="305"/>
      <c r="W61" s="305"/>
      <c r="X61" s="305"/>
      <c r="Y61" s="305"/>
      <c r="Z61" s="305"/>
    </row>
    <row r="62" spans="1:26" ht="7.5" customHeight="1">
      <c r="A62" s="985"/>
      <c r="B62" s="928"/>
      <c r="C62" s="928"/>
      <c r="D62" s="928"/>
      <c r="E62" s="928"/>
      <c r="F62" s="312"/>
      <c r="G62" s="986"/>
      <c r="H62" s="928"/>
      <c r="I62" s="928"/>
      <c r="J62" s="312"/>
      <c r="K62" s="491"/>
      <c r="L62" s="348"/>
      <c r="M62" s="349"/>
      <c r="N62" s="486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05"/>
      <c r="Z62" s="305"/>
    </row>
    <row r="63" spans="1:26" ht="15.75" customHeight="1">
      <c r="A63" s="987" t="s">
        <v>167</v>
      </c>
      <c r="B63" s="323" t="s">
        <v>21</v>
      </c>
      <c r="C63" s="364">
        <v>0</v>
      </c>
      <c r="D63" s="365">
        <v>0</v>
      </c>
      <c r="E63" s="381">
        <v>0</v>
      </c>
      <c r="F63" s="382"/>
      <c r="G63" s="338">
        <f t="shared" ref="G63:H63" si="99">K63-C63</f>
        <v>83415</v>
      </c>
      <c r="H63" s="338">
        <f t="shared" si="99"/>
        <v>64269</v>
      </c>
      <c r="I63" s="337">
        <f t="shared" ref="I63:I67" si="100">H63/G63</f>
        <v>0.77047293652220827</v>
      </c>
      <c r="J63" s="327"/>
      <c r="K63" s="367">
        <v>83415</v>
      </c>
      <c r="L63" s="367">
        <v>64269</v>
      </c>
      <c r="M63" s="368">
        <f t="shared" ref="M63:M67" si="101">L63/K63</f>
        <v>0.77047293652220827</v>
      </c>
      <c r="N63" s="486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5"/>
    </row>
    <row r="64" spans="1:26" ht="15.75" customHeight="1">
      <c r="A64" s="949"/>
      <c r="B64" s="334" t="s">
        <v>28</v>
      </c>
      <c r="C64" s="372">
        <v>0</v>
      </c>
      <c r="D64" s="373">
        <v>0</v>
      </c>
      <c r="E64" s="383">
        <v>0</v>
      </c>
      <c r="F64" s="382"/>
      <c r="G64" s="338">
        <f t="shared" ref="G64:H64" si="102">K64-C64</f>
        <v>19235</v>
      </c>
      <c r="H64" s="338">
        <f t="shared" si="102"/>
        <v>171760</v>
      </c>
      <c r="I64" s="337">
        <f t="shared" si="100"/>
        <v>8.9295554977904867</v>
      </c>
      <c r="J64" s="327"/>
      <c r="K64" s="375">
        <v>19235</v>
      </c>
      <c r="L64" s="375">
        <v>171760</v>
      </c>
      <c r="M64" s="376">
        <f t="shared" si="101"/>
        <v>8.9295554977904867</v>
      </c>
      <c r="N64" s="486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5"/>
    </row>
    <row r="65" spans="1:26" ht="15.75" customHeight="1">
      <c r="A65" s="949"/>
      <c r="B65" s="334" t="s">
        <v>31</v>
      </c>
      <c r="C65" s="372">
        <v>0</v>
      </c>
      <c r="D65" s="373">
        <v>0</v>
      </c>
      <c r="E65" s="383">
        <v>0</v>
      </c>
      <c r="F65" s="382"/>
      <c r="G65" s="338">
        <f t="shared" ref="G65:H65" si="103">K65-C65</f>
        <v>40499</v>
      </c>
      <c r="H65" s="338">
        <f t="shared" si="103"/>
        <v>28299</v>
      </c>
      <c r="I65" s="337">
        <f t="shared" si="100"/>
        <v>0.69875799402454386</v>
      </c>
      <c r="J65" s="327"/>
      <c r="K65" s="375">
        <v>40499</v>
      </c>
      <c r="L65" s="375">
        <v>28299</v>
      </c>
      <c r="M65" s="376">
        <f t="shared" si="101"/>
        <v>0.69875799402454386</v>
      </c>
      <c r="N65" s="486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5"/>
    </row>
    <row r="66" spans="1:26" ht="15.75" customHeight="1">
      <c r="A66" s="949"/>
      <c r="B66" s="377" t="s">
        <v>32</v>
      </c>
      <c r="C66" s="378">
        <v>0</v>
      </c>
      <c r="D66" s="373">
        <v>0</v>
      </c>
      <c r="E66" s="383">
        <v>0</v>
      </c>
      <c r="F66" s="382"/>
      <c r="G66" s="338">
        <f t="shared" ref="G66:H66" si="104">K66-C66</f>
        <v>184800</v>
      </c>
      <c r="H66" s="338">
        <f t="shared" si="104"/>
        <v>4516</v>
      </c>
      <c r="I66" s="337">
        <f t="shared" si="100"/>
        <v>2.4437229437229438E-2</v>
      </c>
      <c r="J66" s="327"/>
      <c r="K66" s="496">
        <v>184800</v>
      </c>
      <c r="L66" s="375">
        <v>4516</v>
      </c>
      <c r="M66" s="376">
        <f t="shared" si="101"/>
        <v>2.4437229437229438E-2</v>
      </c>
      <c r="N66" s="486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5"/>
    </row>
    <row r="67" spans="1:26" ht="15.75" customHeight="1">
      <c r="A67" s="950"/>
      <c r="B67" s="357" t="s">
        <v>25</v>
      </c>
      <c r="C67" s="369">
        <f t="shared" ref="C67:D67" si="105">SUM(C63:C66)</f>
        <v>0</v>
      </c>
      <c r="D67" s="358">
        <f t="shared" si="105"/>
        <v>0</v>
      </c>
      <c r="E67" s="384">
        <v>0</v>
      </c>
      <c r="F67" s="385"/>
      <c r="G67" s="370">
        <f t="shared" ref="G67:H67" si="106">SUM(G63:G66)</f>
        <v>327949</v>
      </c>
      <c r="H67" s="369">
        <f t="shared" si="106"/>
        <v>268844</v>
      </c>
      <c r="I67" s="380">
        <f t="shared" si="100"/>
        <v>0.81977380629305163</v>
      </c>
      <c r="J67" s="327"/>
      <c r="K67" s="362">
        <f t="shared" ref="K67:L67" si="107">SUM(K63:K66)</f>
        <v>327949</v>
      </c>
      <c r="L67" s="362">
        <f t="shared" si="107"/>
        <v>268844</v>
      </c>
      <c r="M67" s="363">
        <f t="shared" si="101"/>
        <v>0.81977380629305163</v>
      </c>
      <c r="N67" s="486"/>
      <c r="O67" s="305" t="s">
        <v>147</v>
      </c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5"/>
    </row>
    <row r="68" spans="1:26" ht="7.5" customHeight="1">
      <c r="A68" s="985"/>
      <c r="B68" s="928"/>
      <c r="C68" s="928"/>
      <c r="D68" s="928"/>
      <c r="E68" s="928"/>
      <c r="F68" s="312"/>
      <c r="G68" s="986"/>
      <c r="H68" s="928"/>
      <c r="I68" s="928"/>
      <c r="J68" s="312"/>
      <c r="K68" s="491"/>
      <c r="L68" s="348"/>
      <c r="M68" s="349"/>
      <c r="N68" s="486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5"/>
    </row>
    <row r="69" spans="1:26" ht="15.75" customHeight="1">
      <c r="A69" s="987" t="s">
        <v>168</v>
      </c>
      <c r="B69" s="323" t="s">
        <v>21</v>
      </c>
      <c r="C69" s="364">
        <f>5000+590000</f>
        <v>595000</v>
      </c>
      <c r="D69" s="365">
        <f>0+590000</f>
        <v>590000</v>
      </c>
      <c r="E69" s="326">
        <f t="shared" ref="E69:E71" si="108">D69/C69</f>
        <v>0.99159663865546221</v>
      </c>
      <c r="F69" s="327"/>
      <c r="G69" s="328">
        <f t="shared" ref="G69:H69" si="109">K69-C69</f>
        <v>181580</v>
      </c>
      <c r="H69" s="323">
        <f t="shared" si="109"/>
        <v>102039</v>
      </c>
      <c r="I69" s="337">
        <f t="shared" ref="I69:I73" si="110">H69/G69</f>
        <v>0.56195065535851962</v>
      </c>
      <c r="J69" s="327"/>
      <c r="K69" s="367">
        <f>286580+490000</f>
        <v>776580</v>
      </c>
      <c r="L69" s="367">
        <v>692039</v>
      </c>
      <c r="M69" s="368">
        <f t="shared" ref="M69:M73" si="111">L69/K69</f>
        <v>0.8911367792114141</v>
      </c>
      <c r="N69" s="486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5"/>
    </row>
    <row r="70" spans="1:26" ht="15.75" customHeight="1">
      <c r="A70" s="949"/>
      <c r="B70" s="334" t="s">
        <v>28</v>
      </c>
      <c r="C70" s="372">
        <v>57501</v>
      </c>
      <c r="D70" s="373">
        <v>2641</v>
      </c>
      <c r="E70" s="337">
        <f t="shared" si="108"/>
        <v>4.5929636006330328E-2</v>
      </c>
      <c r="F70" s="327"/>
      <c r="G70" s="338">
        <f t="shared" ref="G70:H70" si="112">K70-C70</f>
        <v>33499</v>
      </c>
      <c r="H70" s="334">
        <f t="shared" si="112"/>
        <v>1636</v>
      </c>
      <c r="I70" s="337">
        <f t="shared" si="110"/>
        <v>4.8837278724738052E-2</v>
      </c>
      <c r="J70" s="327"/>
      <c r="K70" s="375">
        <v>91000</v>
      </c>
      <c r="L70" s="375">
        <v>4277</v>
      </c>
      <c r="M70" s="376">
        <f t="shared" si="111"/>
        <v>4.7E-2</v>
      </c>
      <c r="N70" s="486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5"/>
    </row>
    <row r="71" spans="1:26" ht="15.75" customHeight="1">
      <c r="A71" s="949"/>
      <c r="B71" s="334" t="s">
        <v>31</v>
      </c>
      <c r="C71" s="372">
        <v>34006</v>
      </c>
      <c r="D71" s="373">
        <v>58944</v>
      </c>
      <c r="E71" s="337">
        <f t="shared" si="108"/>
        <v>1.7333411750867493</v>
      </c>
      <c r="F71" s="327"/>
      <c r="G71" s="338">
        <f t="shared" ref="G71:H71" si="113">K71-C71</f>
        <v>47000</v>
      </c>
      <c r="H71" s="334">
        <f t="shared" si="113"/>
        <v>18989</v>
      </c>
      <c r="I71" s="337">
        <f t="shared" si="110"/>
        <v>0.40402127659574466</v>
      </c>
      <c r="J71" s="327"/>
      <c r="K71" s="375">
        <v>81006</v>
      </c>
      <c r="L71" s="375">
        <v>77933</v>
      </c>
      <c r="M71" s="376">
        <f t="shared" si="111"/>
        <v>0.9620645384292521</v>
      </c>
      <c r="N71" s="486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5"/>
    </row>
    <row r="72" spans="1:26" ht="15.75" customHeight="1">
      <c r="A72" s="949"/>
      <c r="B72" s="377" t="s">
        <v>32</v>
      </c>
      <c r="C72" s="378">
        <v>0</v>
      </c>
      <c r="D72" s="373">
        <v>0</v>
      </c>
      <c r="E72" s="337">
        <v>0</v>
      </c>
      <c r="F72" s="327"/>
      <c r="G72" s="338">
        <f t="shared" ref="G72:H72" si="114">K72-C72</f>
        <v>125000</v>
      </c>
      <c r="H72" s="334">
        <f t="shared" si="114"/>
        <v>20857</v>
      </c>
      <c r="I72" s="337">
        <f t="shared" si="110"/>
        <v>0.166856</v>
      </c>
      <c r="J72" s="327"/>
      <c r="K72" s="496">
        <v>125000</v>
      </c>
      <c r="L72" s="375">
        <v>20857</v>
      </c>
      <c r="M72" s="376">
        <f t="shared" si="111"/>
        <v>0.166856</v>
      </c>
      <c r="N72" s="486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5"/>
    </row>
    <row r="73" spans="1:26" ht="15.75" customHeight="1">
      <c r="A73" s="950"/>
      <c r="B73" s="357" t="s">
        <v>25</v>
      </c>
      <c r="C73" s="369">
        <f t="shared" ref="C73:D73" si="115">SUM(C69:C72)</f>
        <v>686507</v>
      </c>
      <c r="D73" s="358">
        <f t="shared" si="115"/>
        <v>651585</v>
      </c>
      <c r="E73" s="359">
        <f>D73/C73</f>
        <v>0.94913089014387331</v>
      </c>
      <c r="F73" s="343"/>
      <c r="G73" s="360">
        <f t="shared" ref="G73:H73" si="116">SUM(G69:G72)</f>
        <v>387079</v>
      </c>
      <c r="H73" s="357">
        <f t="shared" si="116"/>
        <v>143521</v>
      </c>
      <c r="I73" s="380">
        <f t="shared" si="110"/>
        <v>0.37077960829701428</v>
      </c>
      <c r="J73" s="327"/>
      <c r="K73" s="362">
        <f t="shared" ref="K73:L73" si="117">SUM(K69:K72)</f>
        <v>1073586</v>
      </c>
      <c r="L73" s="362">
        <f t="shared" si="117"/>
        <v>795106</v>
      </c>
      <c r="M73" s="363">
        <f t="shared" si="111"/>
        <v>0.74060764577779514</v>
      </c>
      <c r="N73" s="486"/>
      <c r="O73" s="305" t="s">
        <v>147</v>
      </c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5"/>
    </row>
    <row r="74" spans="1:26" ht="7.5" customHeight="1">
      <c r="A74" s="985"/>
      <c r="B74" s="928"/>
      <c r="C74" s="928"/>
      <c r="D74" s="928"/>
      <c r="E74" s="928"/>
      <c r="F74" s="312"/>
      <c r="G74" s="986"/>
      <c r="H74" s="928"/>
      <c r="I74" s="928"/>
      <c r="J74" s="312"/>
      <c r="K74" s="491"/>
      <c r="L74" s="348"/>
      <c r="M74" s="349"/>
      <c r="N74" s="486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</row>
    <row r="75" spans="1:26" ht="15.75" customHeight="1">
      <c r="A75" s="987" t="s">
        <v>169</v>
      </c>
      <c r="B75" s="323" t="s">
        <v>21</v>
      </c>
      <c r="C75" s="364">
        <v>102</v>
      </c>
      <c r="D75" s="365">
        <v>6594</v>
      </c>
      <c r="E75" s="326">
        <f t="shared" ref="E75:E78" si="118">D75/C75</f>
        <v>64.647058823529406</v>
      </c>
      <c r="F75" s="327"/>
      <c r="G75" s="323">
        <f t="shared" ref="G75:H75" si="119">K75-C75</f>
        <v>71000</v>
      </c>
      <c r="H75" s="323">
        <f t="shared" si="119"/>
        <v>3194</v>
      </c>
      <c r="I75" s="381">
        <f t="shared" ref="I75:I78" si="120">H75/G75</f>
        <v>4.4985915492957745E-2</v>
      </c>
      <c r="J75" s="327"/>
      <c r="K75" s="367">
        <v>71102</v>
      </c>
      <c r="L75" s="367">
        <v>9788</v>
      </c>
      <c r="M75" s="368">
        <f t="shared" ref="M75:M78" si="121">L75/K75</f>
        <v>0.13766138786532026</v>
      </c>
      <c r="N75" s="486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05"/>
      <c r="Z75" s="305"/>
    </row>
    <row r="76" spans="1:26" ht="15.75" customHeight="1">
      <c r="A76" s="949"/>
      <c r="B76" s="334" t="s">
        <v>102</v>
      </c>
      <c r="C76" s="372">
        <v>87509</v>
      </c>
      <c r="D76" s="373">
        <v>38988</v>
      </c>
      <c r="E76" s="337">
        <f t="shared" si="118"/>
        <v>0.44553131677884561</v>
      </c>
      <c r="F76" s="327"/>
      <c r="G76" s="334">
        <f t="shared" ref="G76:H76" si="122">K76-C76</f>
        <v>108507</v>
      </c>
      <c r="H76" s="334">
        <f t="shared" si="122"/>
        <v>35048</v>
      </c>
      <c r="I76" s="383">
        <f t="shared" si="120"/>
        <v>0.32300220262287227</v>
      </c>
      <c r="J76" s="327"/>
      <c r="K76" s="375">
        <v>196016</v>
      </c>
      <c r="L76" s="375">
        <v>74036</v>
      </c>
      <c r="M76" s="376">
        <f t="shared" si="121"/>
        <v>0.37770386090931352</v>
      </c>
      <c r="N76" s="486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5"/>
    </row>
    <row r="77" spans="1:26" ht="15.75" customHeight="1">
      <c r="A77" s="949"/>
      <c r="B77" s="334" t="s">
        <v>31</v>
      </c>
      <c r="C77" s="372">
        <v>1303</v>
      </c>
      <c r="D77" s="373">
        <v>0</v>
      </c>
      <c r="E77" s="337">
        <f t="shared" si="118"/>
        <v>0</v>
      </c>
      <c r="F77" s="327"/>
      <c r="G77" s="334">
        <f t="shared" ref="G77:H77" si="123">K77-C77</f>
        <v>41722</v>
      </c>
      <c r="H77" s="334">
        <f t="shared" si="123"/>
        <v>1651</v>
      </c>
      <c r="I77" s="383">
        <f t="shared" si="120"/>
        <v>3.9571449115574517E-2</v>
      </c>
      <c r="J77" s="327"/>
      <c r="K77" s="375">
        <v>43025</v>
      </c>
      <c r="L77" s="375">
        <v>1651</v>
      </c>
      <c r="M77" s="376">
        <f t="shared" si="121"/>
        <v>3.8373038930854156E-2</v>
      </c>
      <c r="N77" s="486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5"/>
    </row>
    <row r="78" spans="1:26" ht="15.75" customHeight="1">
      <c r="A78" s="950"/>
      <c r="B78" s="357" t="s">
        <v>25</v>
      </c>
      <c r="C78" s="369">
        <f t="shared" ref="C78:D78" si="124">SUM(C75:C77)</f>
        <v>88914</v>
      </c>
      <c r="D78" s="358">
        <f t="shared" si="124"/>
        <v>45582</v>
      </c>
      <c r="E78" s="359">
        <f t="shared" si="118"/>
        <v>0.51265267561913763</v>
      </c>
      <c r="F78" s="343"/>
      <c r="G78" s="357">
        <f t="shared" ref="G78:H78" si="125">SUM(G75:G77)</f>
        <v>221229</v>
      </c>
      <c r="H78" s="357">
        <f t="shared" si="125"/>
        <v>39893</v>
      </c>
      <c r="I78" s="384">
        <f t="shared" si="120"/>
        <v>0.18032446017475104</v>
      </c>
      <c r="J78" s="327"/>
      <c r="K78" s="362">
        <f t="shared" ref="K78:L78" si="126">SUM(K75:K77)</f>
        <v>310143</v>
      </c>
      <c r="L78" s="362">
        <f t="shared" si="126"/>
        <v>85475</v>
      </c>
      <c r="M78" s="363">
        <f t="shared" si="121"/>
        <v>0.27559867544971189</v>
      </c>
      <c r="N78" s="486"/>
      <c r="O78" s="305" t="s">
        <v>147</v>
      </c>
      <c r="P78" s="305"/>
      <c r="Q78" s="305"/>
      <c r="R78" s="305"/>
      <c r="S78" s="305"/>
      <c r="T78" s="305"/>
      <c r="U78" s="305"/>
      <c r="V78" s="305"/>
      <c r="W78" s="305"/>
      <c r="X78" s="305"/>
      <c r="Y78" s="305"/>
      <c r="Z78" s="305"/>
    </row>
    <row r="79" spans="1:26" ht="6" customHeight="1">
      <c r="A79" s="985"/>
      <c r="B79" s="928"/>
      <c r="C79" s="928"/>
      <c r="D79" s="928"/>
      <c r="E79" s="928"/>
      <c r="F79" s="312"/>
      <c r="G79" s="986"/>
      <c r="H79" s="928"/>
      <c r="I79" s="928"/>
      <c r="J79" s="312"/>
      <c r="K79" s="491"/>
      <c r="L79" s="348"/>
      <c r="M79" s="349"/>
      <c r="N79" s="486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305"/>
      <c r="Z79" s="305"/>
    </row>
    <row r="80" spans="1:26" ht="15.75" customHeight="1">
      <c r="A80" s="987" t="s">
        <v>170</v>
      </c>
      <c r="B80" s="323" t="s">
        <v>21</v>
      </c>
      <c r="C80" s="364">
        <v>0</v>
      </c>
      <c r="D80" s="365">
        <v>0</v>
      </c>
      <c r="E80" s="326">
        <v>0</v>
      </c>
      <c r="F80" s="327"/>
      <c r="G80" s="338">
        <f t="shared" ref="G80:H80" si="127">K80-C80</f>
        <v>482000</v>
      </c>
      <c r="H80" s="338">
        <f t="shared" si="127"/>
        <v>75375</v>
      </c>
      <c r="I80" s="337">
        <f t="shared" ref="I80:I84" si="128">H80/G80</f>
        <v>0.15637966804979253</v>
      </c>
      <c r="J80" s="327"/>
      <c r="K80" s="367">
        <v>482000</v>
      </c>
      <c r="L80" s="367">
        <v>75375</v>
      </c>
      <c r="M80" s="368">
        <f t="shared" ref="M80:M84" si="129">L80/K80</f>
        <v>0.15637966804979253</v>
      </c>
      <c r="N80" s="486"/>
      <c r="O80" s="305"/>
      <c r="P80" s="305"/>
      <c r="Q80" s="305"/>
      <c r="R80" s="305"/>
      <c r="S80" s="305"/>
      <c r="T80" s="305"/>
      <c r="U80" s="305"/>
      <c r="V80" s="305"/>
      <c r="W80" s="305"/>
      <c r="X80" s="305"/>
      <c r="Y80" s="305"/>
      <c r="Z80" s="305"/>
    </row>
    <row r="81" spans="1:26" ht="15.75" customHeight="1">
      <c r="A81" s="949"/>
      <c r="B81" s="334" t="s">
        <v>28</v>
      </c>
      <c r="C81" s="372">
        <v>0</v>
      </c>
      <c r="D81" s="373">
        <v>0</v>
      </c>
      <c r="E81" s="337">
        <v>0</v>
      </c>
      <c r="F81" s="327"/>
      <c r="G81" s="338">
        <f t="shared" ref="G81:H81" si="130">K81-C81</f>
        <v>141003</v>
      </c>
      <c r="H81" s="338">
        <f t="shared" si="130"/>
        <v>10803</v>
      </c>
      <c r="I81" s="337">
        <f t="shared" si="128"/>
        <v>7.6615391161890173E-2</v>
      </c>
      <c r="J81" s="327"/>
      <c r="K81" s="375">
        <v>141003</v>
      </c>
      <c r="L81" s="375">
        <v>10803</v>
      </c>
      <c r="M81" s="376">
        <f t="shared" si="129"/>
        <v>7.6615391161890173E-2</v>
      </c>
      <c r="N81" s="486"/>
      <c r="O81" s="305"/>
      <c r="P81" s="305"/>
      <c r="Q81" s="305"/>
      <c r="R81" s="305"/>
      <c r="S81" s="305"/>
      <c r="T81" s="305"/>
      <c r="U81" s="305"/>
      <c r="V81" s="305"/>
      <c r="W81" s="305"/>
      <c r="X81" s="305"/>
      <c r="Y81" s="305"/>
      <c r="Z81" s="305"/>
    </row>
    <row r="82" spans="1:26" ht="15.75" customHeight="1">
      <c r="A82" s="949"/>
      <c r="B82" s="334" t="s">
        <v>31</v>
      </c>
      <c r="C82" s="372">
        <v>165102</v>
      </c>
      <c r="D82" s="373">
        <v>57711</v>
      </c>
      <c r="E82" s="337">
        <f t="shared" ref="E82:E84" si="131">D82/C82</f>
        <v>0.34954755242213903</v>
      </c>
      <c r="F82" s="327"/>
      <c r="G82" s="338">
        <f t="shared" ref="G82:H82" si="132">K82-C82</f>
        <v>270414</v>
      </c>
      <c r="H82" s="338">
        <f t="shared" si="132"/>
        <v>85607</v>
      </c>
      <c r="I82" s="337">
        <f t="shared" si="128"/>
        <v>0.31657754406206778</v>
      </c>
      <c r="J82" s="327"/>
      <c r="K82" s="375">
        <v>435516</v>
      </c>
      <c r="L82" s="375">
        <v>143318</v>
      </c>
      <c r="M82" s="376">
        <f t="shared" si="129"/>
        <v>0.32907631407342097</v>
      </c>
      <c r="N82" s="486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305"/>
      <c r="Z82" s="305"/>
    </row>
    <row r="83" spans="1:26" ht="15.75" customHeight="1">
      <c r="A83" s="949"/>
      <c r="B83" s="377" t="s">
        <v>32</v>
      </c>
      <c r="C83" s="378">
        <v>1</v>
      </c>
      <c r="D83" s="373">
        <v>0</v>
      </c>
      <c r="E83" s="337">
        <f t="shared" si="131"/>
        <v>0</v>
      </c>
      <c r="F83" s="327"/>
      <c r="G83" s="338">
        <f t="shared" ref="G83:H83" si="133">K83-C83</f>
        <v>707810</v>
      </c>
      <c r="H83" s="338">
        <f t="shared" si="133"/>
        <v>262313</v>
      </c>
      <c r="I83" s="337">
        <f t="shared" si="128"/>
        <v>0.37059804184738843</v>
      </c>
      <c r="J83" s="327"/>
      <c r="K83" s="496">
        <v>707811</v>
      </c>
      <c r="L83" s="375">
        <v>262313</v>
      </c>
      <c r="M83" s="376">
        <f t="shared" si="129"/>
        <v>0.37059751826405635</v>
      </c>
      <c r="N83" s="486"/>
      <c r="O83" s="305"/>
      <c r="P83" s="305"/>
      <c r="Q83" s="305"/>
      <c r="R83" s="305"/>
      <c r="S83" s="305"/>
      <c r="T83" s="305"/>
      <c r="U83" s="305"/>
      <c r="V83" s="305"/>
      <c r="W83" s="305"/>
      <c r="X83" s="305"/>
      <c r="Y83" s="305"/>
      <c r="Z83" s="305"/>
    </row>
    <row r="84" spans="1:26" ht="15.75" customHeight="1">
      <c r="A84" s="950"/>
      <c r="B84" s="357" t="s">
        <v>25</v>
      </c>
      <c r="C84" s="369">
        <f t="shared" ref="C84:D84" si="134">SUM(C80:C83)</f>
        <v>165103</v>
      </c>
      <c r="D84" s="358">
        <f t="shared" si="134"/>
        <v>57711</v>
      </c>
      <c r="E84" s="359">
        <f t="shared" si="131"/>
        <v>0.34954543527373821</v>
      </c>
      <c r="F84" s="343"/>
      <c r="G84" s="370">
        <f t="shared" ref="G84:H84" si="135">SUM(G80:G83)</f>
        <v>1601227</v>
      </c>
      <c r="H84" s="398">
        <f t="shared" si="135"/>
        <v>434098</v>
      </c>
      <c r="I84" s="380">
        <f t="shared" si="128"/>
        <v>0.2711033476202937</v>
      </c>
      <c r="J84" s="327"/>
      <c r="K84" s="362">
        <f t="shared" ref="K84:L84" si="136">SUM(K80:K83)</f>
        <v>1766330</v>
      </c>
      <c r="L84" s="362">
        <f t="shared" si="136"/>
        <v>491809</v>
      </c>
      <c r="M84" s="363">
        <f t="shared" si="129"/>
        <v>0.27843551318270088</v>
      </c>
      <c r="N84" s="486"/>
      <c r="O84" s="305" t="s">
        <v>147</v>
      </c>
      <c r="P84" s="305"/>
      <c r="Q84" s="305"/>
      <c r="R84" s="305"/>
      <c r="S84" s="305"/>
      <c r="T84" s="305"/>
      <c r="U84" s="305"/>
      <c r="V84" s="305"/>
      <c r="W84" s="305"/>
      <c r="X84" s="305"/>
      <c r="Y84" s="305"/>
      <c r="Z84" s="305"/>
    </row>
    <row r="85" spans="1:26" ht="6" customHeight="1">
      <c r="A85" s="985"/>
      <c r="B85" s="928"/>
      <c r="C85" s="928"/>
      <c r="D85" s="928"/>
      <c r="E85" s="928"/>
      <c r="F85" s="312"/>
      <c r="G85" s="986"/>
      <c r="H85" s="928"/>
      <c r="I85" s="928"/>
      <c r="J85" s="312"/>
      <c r="K85" s="491"/>
      <c r="L85" s="348"/>
      <c r="M85" s="349"/>
      <c r="N85" s="486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</row>
    <row r="86" spans="1:26" ht="15.75" customHeight="1">
      <c r="A86" s="987" t="s">
        <v>56</v>
      </c>
      <c r="B86" s="323" t="s">
        <v>21</v>
      </c>
      <c r="C86" s="364">
        <v>441</v>
      </c>
      <c r="D86" s="365">
        <v>0</v>
      </c>
      <c r="E86" s="326">
        <f t="shared" ref="E86:E88" si="137">D86/C86</f>
        <v>0</v>
      </c>
      <c r="F86" s="327"/>
      <c r="G86" s="338">
        <f t="shared" ref="G86:H86" si="138">K86-C86</f>
        <v>31100</v>
      </c>
      <c r="H86" s="338">
        <f t="shared" si="138"/>
        <v>446</v>
      </c>
      <c r="I86" s="337">
        <f t="shared" ref="I86:I90" si="139">H86/G86</f>
        <v>1.4340836012861737E-2</v>
      </c>
      <c r="J86" s="327"/>
      <c r="K86" s="367">
        <v>31541</v>
      </c>
      <c r="L86" s="367">
        <v>446</v>
      </c>
      <c r="M86" s="368">
        <f t="shared" ref="M86:M90" si="140">L86/K86</f>
        <v>1.4140325290891221E-2</v>
      </c>
      <c r="N86" s="486"/>
      <c r="O86" s="305"/>
      <c r="P86" s="305"/>
      <c r="Q86" s="305"/>
      <c r="R86" s="305"/>
      <c r="S86" s="305"/>
      <c r="T86" s="305"/>
      <c r="U86" s="305"/>
      <c r="V86" s="305"/>
      <c r="W86" s="305"/>
      <c r="X86" s="305"/>
      <c r="Y86" s="305"/>
      <c r="Z86" s="305"/>
    </row>
    <row r="87" spans="1:26" ht="15.75" customHeight="1">
      <c r="A87" s="949"/>
      <c r="B87" s="334" t="s">
        <v>28</v>
      </c>
      <c r="C87" s="372">
        <v>1</v>
      </c>
      <c r="D87" s="373">
        <v>0</v>
      </c>
      <c r="E87" s="337">
        <f t="shared" si="137"/>
        <v>0</v>
      </c>
      <c r="F87" s="327"/>
      <c r="G87" s="338">
        <f t="shared" ref="G87:H87" si="141">K87-C87</f>
        <v>9730</v>
      </c>
      <c r="H87" s="338">
        <f t="shared" si="141"/>
        <v>4890</v>
      </c>
      <c r="I87" s="337">
        <f t="shared" si="139"/>
        <v>0.50256937307297023</v>
      </c>
      <c r="J87" s="327"/>
      <c r="K87" s="375">
        <v>9731</v>
      </c>
      <c r="L87" s="375">
        <v>4890</v>
      </c>
      <c r="M87" s="376">
        <f t="shared" si="140"/>
        <v>0.50251772685232765</v>
      </c>
      <c r="N87" s="486"/>
      <c r="O87" s="305"/>
      <c r="P87" s="305"/>
      <c r="Q87" s="305"/>
      <c r="R87" s="305"/>
      <c r="S87" s="305"/>
      <c r="T87" s="305"/>
      <c r="U87" s="305"/>
      <c r="V87" s="305"/>
      <c r="W87" s="305"/>
      <c r="X87" s="305"/>
      <c r="Y87" s="305"/>
      <c r="Z87" s="305"/>
    </row>
    <row r="88" spans="1:26" ht="15.75" customHeight="1">
      <c r="A88" s="949"/>
      <c r="B88" s="334" t="s">
        <v>103</v>
      </c>
      <c r="C88" s="372">
        <v>1544</v>
      </c>
      <c r="D88" s="373">
        <v>0</v>
      </c>
      <c r="E88" s="337">
        <f t="shared" si="137"/>
        <v>0</v>
      </c>
      <c r="F88" s="327"/>
      <c r="G88" s="338">
        <f t="shared" ref="G88:H88" si="142">K88-C88</f>
        <v>23059</v>
      </c>
      <c r="H88" s="338">
        <f t="shared" si="142"/>
        <v>70861</v>
      </c>
      <c r="I88" s="337">
        <f t="shared" si="139"/>
        <v>3.0730300533414283</v>
      </c>
      <c r="J88" s="327"/>
      <c r="K88" s="375">
        <v>24603</v>
      </c>
      <c r="L88" s="375">
        <v>70861</v>
      </c>
      <c r="M88" s="376">
        <f t="shared" si="140"/>
        <v>2.8801772141608746</v>
      </c>
      <c r="N88" s="486"/>
      <c r="O88" s="305"/>
      <c r="P88" s="305"/>
      <c r="Q88" s="305"/>
      <c r="R88" s="305"/>
      <c r="S88" s="305"/>
      <c r="T88" s="305"/>
      <c r="U88" s="305"/>
      <c r="V88" s="305"/>
      <c r="W88" s="305"/>
      <c r="X88" s="305"/>
      <c r="Y88" s="305"/>
      <c r="Z88" s="305"/>
    </row>
    <row r="89" spans="1:26" ht="15.75" customHeight="1">
      <c r="A89" s="949"/>
      <c r="B89" s="377" t="s">
        <v>32</v>
      </c>
      <c r="C89" s="378">
        <v>0</v>
      </c>
      <c r="D89" s="373">
        <v>0</v>
      </c>
      <c r="E89" s="337">
        <v>0</v>
      </c>
      <c r="F89" s="327"/>
      <c r="G89" s="338">
        <f t="shared" ref="G89:H89" si="143">K89-C89</f>
        <v>334764</v>
      </c>
      <c r="H89" s="338">
        <f t="shared" si="143"/>
        <v>101000</v>
      </c>
      <c r="I89" s="337">
        <f t="shared" si="139"/>
        <v>0.30170508178896177</v>
      </c>
      <c r="J89" s="327"/>
      <c r="K89" s="496">
        <v>334764</v>
      </c>
      <c r="L89" s="375">
        <v>101000</v>
      </c>
      <c r="M89" s="376">
        <f t="shared" si="140"/>
        <v>0.30170508178896177</v>
      </c>
      <c r="N89" s="486"/>
      <c r="O89" s="305"/>
      <c r="P89" s="305"/>
      <c r="Q89" s="305"/>
      <c r="R89" s="305"/>
      <c r="S89" s="305"/>
      <c r="T89" s="305"/>
      <c r="U89" s="305"/>
      <c r="V89" s="305"/>
      <c r="W89" s="305"/>
      <c r="X89" s="305"/>
      <c r="Y89" s="305"/>
      <c r="Z89" s="305"/>
    </row>
    <row r="90" spans="1:26" ht="15.75" customHeight="1">
      <c r="A90" s="950"/>
      <c r="B90" s="357" t="s">
        <v>25</v>
      </c>
      <c r="C90" s="369">
        <f t="shared" ref="C90:D90" si="144">SUM(C86:C89)</f>
        <v>1986</v>
      </c>
      <c r="D90" s="358">
        <f t="shared" si="144"/>
        <v>0</v>
      </c>
      <c r="E90" s="359">
        <f>D90/C90</f>
        <v>0</v>
      </c>
      <c r="F90" s="343"/>
      <c r="G90" s="370">
        <f t="shared" ref="G90:H90" si="145">SUM(G86:G89)</f>
        <v>398653</v>
      </c>
      <c r="H90" s="398">
        <f t="shared" si="145"/>
        <v>177197</v>
      </c>
      <c r="I90" s="380">
        <f t="shared" si="139"/>
        <v>0.44448931777761613</v>
      </c>
      <c r="J90" s="327"/>
      <c r="K90" s="362">
        <f t="shared" ref="K90:L90" si="146">SUM(K86:K89)</f>
        <v>400639</v>
      </c>
      <c r="L90" s="362">
        <f t="shared" si="146"/>
        <v>177197</v>
      </c>
      <c r="M90" s="363">
        <f t="shared" si="140"/>
        <v>0.44228594819775408</v>
      </c>
      <c r="N90" s="486"/>
      <c r="O90" s="305" t="s">
        <v>147</v>
      </c>
      <c r="P90" s="305"/>
      <c r="Q90" s="305"/>
      <c r="R90" s="305"/>
      <c r="S90" s="305"/>
      <c r="T90" s="305"/>
      <c r="U90" s="305"/>
      <c r="V90" s="305"/>
      <c r="W90" s="305"/>
      <c r="X90" s="305"/>
      <c r="Y90" s="305"/>
      <c r="Z90" s="305"/>
    </row>
    <row r="91" spans="1:26" ht="7.5" customHeight="1">
      <c r="A91" s="985"/>
      <c r="B91" s="928"/>
      <c r="C91" s="928"/>
      <c r="D91" s="928"/>
      <c r="E91" s="928"/>
      <c r="F91" s="312"/>
      <c r="G91" s="986"/>
      <c r="H91" s="928"/>
      <c r="I91" s="928"/>
      <c r="J91" s="312"/>
      <c r="K91" s="491"/>
      <c r="L91" s="348"/>
      <c r="M91" s="349"/>
      <c r="N91" s="486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</row>
    <row r="92" spans="1:26" ht="15.75" customHeight="1">
      <c r="A92" s="987" t="s">
        <v>171</v>
      </c>
      <c r="B92" s="323" t="s">
        <v>21</v>
      </c>
      <c r="C92" s="364">
        <v>0</v>
      </c>
      <c r="D92" s="365">
        <v>0</v>
      </c>
      <c r="E92" s="381" t="e">
        <f t="shared" ref="E92:E93" si="147">D92/C92</f>
        <v>#DIV/0!</v>
      </c>
      <c r="F92" s="327"/>
      <c r="G92" s="338">
        <f t="shared" ref="G92:H92" si="148">K92-C92</f>
        <v>5000</v>
      </c>
      <c r="H92" s="338">
        <f t="shared" si="148"/>
        <v>0</v>
      </c>
      <c r="I92" s="337">
        <f t="shared" ref="I92:I98" si="149">H92/G92</f>
        <v>0</v>
      </c>
      <c r="J92" s="327"/>
      <c r="K92" s="367">
        <v>5000</v>
      </c>
      <c r="L92" s="367">
        <v>0</v>
      </c>
      <c r="M92" s="368">
        <f t="shared" ref="M92:M98" si="150">L92/K92</f>
        <v>0</v>
      </c>
      <c r="N92" s="486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</row>
    <row r="93" spans="1:26" ht="15.75" customHeight="1">
      <c r="A93" s="949"/>
      <c r="B93" s="399" t="s">
        <v>31</v>
      </c>
      <c r="C93" s="400">
        <v>1</v>
      </c>
      <c r="D93" s="401">
        <v>0</v>
      </c>
      <c r="E93" s="383">
        <f t="shared" si="147"/>
        <v>0</v>
      </c>
      <c r="F93" s="327"/>
      <c r="G93" s="338">
        <f t="shared" ref="G93:H93" si="151">K93-C93</f>
        <v>7001</v>
      </c>
      <c r="H93" s="338">
        <f t="shared" si="151"/>
        <v>876</v>
      </c>
      <c r="I93" s="337">
        <f t="shared" si="149"/>
        <v>0.12512498214540779</v>
      </c>
      <c r="J93" s="327"/>
      <c r="K93" s="403">
        <v>7002</v>
      </c>
      <c r="L93" s="403">
        <v>876</v>
      </c>
      <c r="M93" s="376">
        <f t="shared" si="150"/>
        <v>0.12510711225364182</v>
      </c>
      <c r="N93" s="486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5"/>
    </row>
    <row r="94" spans="1:26" ht="15.75" customHeight="1">
      <c r="A94" s="949"/>
      <c r="B94" s="334" t="s">
        <v>32</v>
      </c>
      <c r="C94" s="372">
        <v>0</v>
      </c>
      <c r="D94" s="373">
        <v>0</v>
      </c>
      <c r="E94" s="383">
        <v>0</v>
      </c>
      <c r="F94" s="327"/>
      <c r="G94" s="338">
        <f t="shared" ref="G94:H94" si="152">K94-C94</f>
        <v>19000</v>
      </c>
      <c r="H94" s="338">
        <f t="shared" si="152"/>
        <v>361</v>
      </c>
      <c r="I94" s="337">
        <f t="shared" si="149"/>
        <v>1.9E-2</v>
      </c>
      <c r="J94" s="327"/>
      <c r="K94" s="375">
        <v>19000</v>
      </c>
      <c r="L94" s="375">
        <v>361</v>
      </c>
      <c r="M94" s="376">
        <f t="shared" si="150"/>
        <v>1.9E-2</v>
      </c>
      <c r="N94" s="486"/>
      <c r="O94" s="305"/>
      <c r="P94" s="305"/>
      <c r="Q94" s="305"/>
      <c r="R94" s="305"/>
      <c r="S94" s="305"/>
      <c r="T94" s="305"/>
      <c r="U94" s="305"/>
      <c r="V94" s="305"/>
      <c r="W94" s="305"/>
      <c r="X94" s="305"/>
      <c r="Y94" s="305"/>
      <c r="Z94" s="305"/>
    </row>
    <row r="95" spans="1:26" ht="15.75" customHeight="1">
      <c r="A95" s="1000"/>
      <c r="B95" s="183" t="s">
        <v>25</v>
      </c>
      <c r="C95" s="341">
        <f t="shared" ref="C95:D95" si="153">SUM(C92:C94)</f>
        <v>1</v>
      </c>
      <c r="D95" s="341">
        <f t="shared" si="153"/>
        <v>0</v>
      </c>
      <c r="E95" s="384">
        <f t="shared" ref="E95:E98" si="154">D95/C95</f>
        <v>0</v>
      </c>
      <c r="F95" s="343"/>
      <c r="G95" s="184">
        <f t="shared" ref="G95:H95" si="155">SUM(G92:G94)</f>
        <v>31001</v>
      </c>
      <c r="H95" s="404">
        <f t="shared" si="155"/>
        <v>1237</v>
      </c>
      <c r="I95" s="342">
        <f t="shared" si="149"/>
        <v>3.9901938647140416E-2</v>
      </c>
      <c r="J95" s="327"/>
      <c r="K95" s="406">
        <f t="shared" ref="K95:L95" si="156">SUM(K92:K94)</f>
        <v>31002</v>
      </c>
      <c r="L95" s="406">
        <f t="shared" si="156"/>
        <v>1237</v>
      </c>
      <c r="M95" s="407">
        <f t="shared" si="150"/>
        <v>3.9900651570866398E-2</v>
      </c>
      <c r="N95" s="486"/>
      <c r="O95" s="305" t="s">
        <v>147</v>
      </c>
      <c r="P95" s="305"/>
      <c r="Q95" s="305"/>
      <c r="R95" s="305"/>
      <c r="S95" s="305"/>
      <c r="T95" s="305"/>
      <c r="U95" s="305"/>
      <c r="V95" s="305"/>
      <c r="W95" s="305"/>
      <c r="X95" s="305"/>
      <c r="Y95" s="305"/>
      <c r="Z95" s="305"/>
    </row>
    <row r="96" spans="1:26" ht="15.75" customHeight="1">
      <c r="A96" s="1003" t="s">
        <v>172</v>
      </c>
      <c r="B96" s="955"/>
      <c r="C96" s="501">
        <f t="shared" ref="C96:D96" si="157">C8+C11+C15+C21+C26+C32+C35+C39+C43+C46+C51+C55+C61+C67+C73+C78+C84+C90+C95</f>
        <v>18581086</v>
      </c>
      <c r="D96" s="501">
        <f t="shared" si="157"/>
        <v>5461334</v>
      </c>
      <c r="E96" s="502">
        <f t="shared" si="154"/>
        <v>0.29391898837344599</v>
      </c>
      <c r="F96" s="312"/>
      <c r="G96" s="501">
        <f t="shared" ref="G96:H96" si="158">G8+G11+G15+G21+G26+G32+G35+G39+G43+G46+G51+G55+G61+G67+G73+G78+G84+G90+G95</f>
        <v>22154755</v>
      </c>
      <c r="H96" s="501">
        <f t="shared" si="158"/>
        <v>12537157</v>
      </c>
      <c r="I96" s="503">
        <f t="shared" si="149"/>
        <v>0.56589012155629792</v>
      </c>
      <c r="J96" s="312"/>
      <c r="K96" s="501">
        <f t="shared" ref="K96:L96" si="159">K8+K11+K15+K21+K26+K32+K35+K39+K43+K46+K51+K55+K61+K67+K73+K78+K84+K90+K95</f>
        <v>40735841</v>
      </c>
      <c r="L96" s="501">
        <f t="shared" si="159"/>
        <v>17998491</v>
      </c>
      <c r="M96" s="503">
        <f t="shared" si="150"/>
        <v>0.44183428052952189</v>
      </c>
      <c r="N96" s="486"/>
      <c r="O96" s="305"/>
      <c r="P96" s="305"/>
      <c r="Q96" s="305"/>
      <c r="R96" s="305"/>
      <c r="S96" s="305"/>
      <c r="T96" s="305"/>
      <c r="U96" s="305"/>
      <c r="V96" s="305"/>
      <c r="W96" s="305"/>
      <c r="X96" s="305"/>
      <c r="Y96" s="305"/>
      <c r="Z96" s="305"/>
    </row>
    <row r="97" spans="1:26" ht="15.75" customHeight="1">
      <c r="A97" s="994" t="s">
        <v>173</v>
      </c>
      <c r="B97" s="504" t="s">
        <v>21</v>
      </c>
      <c r="C97" s="505">
        <f t="shared" ref="C97:D97" si="160">C5+C10+C13+C17+C23+C28+C34+C48+C53+C57+C63+C69+C75+C80+C86+C92</f>
        <v>9069662</v>
      </c>
      <c r="D97" s="505">
        <f t="shared" si="160"/>
        <v>1403477</v>
      </c>
      <c r="E97" s="506">
        <f t="shared" si="154"/>
        <v>0.15474413489719904</v>
      </c>
      <c r="F97" s="507"/>
      <c r="G97" s="505">
        <f t="shared" ref="G97:H97" si="161">G5+G10+G13+G17+G23+G28+G34+G48+G53+G57+G63+G69+G75+G80+G86+G92</f>
        <v>7616487</v>
      </c>
      <c r="H97" s="505">
        <f t="shared" si="161"/>
        <v>6373446</v>
      </c>
      <c r="I97" s="508">
        <f t="shared" si="149"/>
        <v>0.83679601895204447</v>
      </c>
      <c r="J97" s="239"/>
      <c r="K97" s="505">
        <f t="shared" ref="K97:L97" si="162">K5+K10+K13+K17+K23+K28+K34+K48+K53+K57+K63+K69+K75+K80+K86+K92</f>
        <v>16686149</v>
      </c>
      <c r="L97" s="505">
        <f t="shared" si="162"/>
        <v>7776923</v>
      </c>
      <c r="M97" s="506">
        <f t="shared" si="150"/>
        <v>0.4660705714661903</v>
      </c>
      <c r="N97" s="486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305"/>
      <c r="Z97" s="305"/>
    </row>
    <row r="98" spans="1:26" ht="15.75" customHeight="1">
      <c r="A98" s="949"/>
      <c r="B98" s="509" t="s">
        <v>158</v>
      </c>
      <c r="C98" s="415">
        <f t="shared" ref="C98:D98" si="163">C14</f>
        <v>6479400</v>
      </c>
      <c r="D98" s="415">
        <f t="shared" si="163"/>
        <v>2774400</v>
      </c>
      <c r="E98" s="416">
        <f t="shared" si="154"/>
        <v>0.42818779516621908</v>
      </c>
      <c r="F98" s="417"/>
      <c r="G98" s="415">
        <f t="shared" ref="G98:H98" si="164">G14</f>
        <v>0</v>
      </c>
      <c r="H98" s="415">
        <f t="shared" si="164"/>
        <v>0</v>
      </c>
      <c r="I98" s="416" t="e">
        <f t="shared" si="149"/>
        <v>#DIV/0!</v>
      </c>
      <c r="J98" s="419"/>
      <c r="K98" s="415">
        <f t="shared" ref="K98:L98" si="165">K14</f>
        <v>6479400</v>
      </c>
      <c r="L98" s="415">
        <f t="shared" si="165"/>
        <v>2774400</v>
      </c>
      <c r="M98" s="416">
        <f t="shared" si="150"/>
        <v>0.42818779516621908</v>
      </c>
      <c r="N98" s="486"/>
      <c r="O98" s="305"/>
      <c r="P98" s="305"/>
      <c r="Q98" s="305"/>
      <c r="R98" s="305"/>
      <c r="S98" s="305"/>
      <c r="T98" s="305"/>
      <c r="U98" s="305"/>
      <c r="V98" s="305"/>
      <c r="W98" s="305"/>
      <c r="X98" s="305"/>
      <c r="Y98" s="305"/>
      <c r="Z98" s="305"/>
    </row>
    <row r="99" spans="1:26" ht="15.75" customHeight="1">
      <c r="A99" s="949"/>
      <c r="B99" s="178" t="s">
        <v>22</v>
      </c>
      <c r="C99" s="415">
        <f t="shared" ref="C99:D99" si="166">C6</f>
        <v>10000</v>
      </c>
      <c r="D99" s="415">
        <f t="shared" si="166"/>
        <v>0</v>
      </c>
      <c r="E99" s="416">
        <v>0</v>
      </c>
      <c r="F99" s="417"/>
      <c r="G99" s="415">
        <f t="shared" ref="G99:H99" si="167">G6</f>
        <v>0</v>
      </c>
      <c r="H99" s="415">
        <f t="shared" si="167"/>
        <v>0</v>
      </c>
      <c r="I99" s="418">
        <v>0</v>
      </c>
      <c r="J99" s="419"/>
      <c r="K99" s="415">
        <f t="shared" ref="K99:L99" si="168">K6</f>
        <v>10000</v>
      </c>
      <c r="L99" s="415">
        <f t="shared" si="168"/>
        <v>0</v>
      </c>
      <c r="M99" s="416">
        <v>0</v>
      </c>
      <c r="N99" s="486"/>
      <c r="O99" s="305"/>
      <c r="P99" s="305"/>
      <c r="Q99" s="305"/>
      <c r="R99" s="305"/>
      <c r="S99" s="305"/>
      <c r="T99" s="305"/>
      <c r="U99" s="305"/>
      <c r="V99" s="305"/>
      <c r="W99" s="305"/>
      <c r="X99" s="305"/>
      <c r="Y99" s="305"/>
      <c r="Z99" s="305"/>
    </row>
    <row r="100" spans="1:26" ht="15.75" customHeight="1">
      <c r="A100" s="949"/>
      <c r="B100" s="178" t="s">
        <v>28</v>
      </c>
      <c r="C100" s="415">
        <f t="shared" ref="C100:D100" si="169">C18+C24+C29+C49+C58+C64+C70+C76+C81+C87</f>
        <v>145011</v>
      </c>
      <c r="D100" s="415">
        <f t="shared" si="169"/>
        <v>41629</v>
      </c>
      <c r="E100" s="416">
        <f t="shared" ref="E100:E104" si="170">D100/C100</f>
        <v>0.28707477363786194</v>
      </c>
      <c r="F100" s="417"/>
      <c r="G100" s="415">
        <f t="shared" ref="G100:H100" si="171">G18+G24+G29+G49+G58+G64+G70+G76+G81+G87</f>
        <v>375953</v>
      </c>
      <c r="H100" s="415">
        <f t="shared" si="171"/>
        <v>230611</v>
      </c>
      <c r="I100" s="418">
        <f t="shared" ref="I100:I104" si="172">H100/G100</f>
        <v>0.61340380313496634</v>
      </c>
      <c r="J100" s="419"/>
      <c r="K100" s="415">
        <f t="shared" ref="K100:L100" si="173">K18+K24+K29+K49+K58+K64+K70+K76+K81+K87</f>
        <v>520964</v>
      </c>
      <c r="L100" s="415">
        <f t="shared" si="173"/>
        <v>272240</v>
      </c>
      <c r="M100" s="416">
        <f t="shared" ref="M100:M104" si="174">L100/K100</f>
        <v>0.52256969771423745</v>
      </c>
      <c r="N100" s="486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  <c r="Y100" s="305"/>
      <c r="Z100" s="305"/>
    </row>
    <row r="101" spans="1:26" ht="15.75" customHeight="1">
      <c r="A101" s="949"/>
      <c r="B101" s="178" t="s">
        <v>31</v>
      </c>
      <c r="C101" s="415">
        <f t="shared" ref="C101:D101" si="175">C19+C25+C30+C59+C65+C71+C77+C82+C88+C93</f>
        <v>385982</v>
      </c>
      <c r="D101" s="415">
        <f t="shared" si="175"/>
        <v>284797</v>
      </c>
      <c r="E101" s="416">
        <f t="shared" si="170"/>
        <v>0.73785046971102275</v>
      </c>
      <c r="F101" s="417"/>
      <c r="G101" s="415">
        <f t="shared" ref="G101:H101" si="176">G19+G25+G30+G59+G65+G71+G77+G82+G88+G93</f>
        <v>526089</v>
      </c>
      <c r="H101" s="415">
        <f t="shared" si="176"/>
        <v>232163</v>
      </c>
      <c r="I101" s="418">
        <f t="shared" si="172"/>
        <v>0.44129985610799694</v>
      </c>
      <c r="J101" s="419"/>
      <c r="K101" s="415">
        <f t="shared" ref="K101:L101" si="177">K19+K25+K30+K59+K65+K71+K77+K82+K88+K93</f>
        <v>912071</v>
      </c>
      <c r="L101" s="415">
        <f t="shared" si="177"/>
        <v>516960</v>
      </c>
      <c r="M101" s="416">
        <f t="shared" si="174"/>
        <v>0.56679797954325928</v>
      </c>
      <c r="N101" s="486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  <c r="Y101" s="305"/>
      <c r="Z101" s="305"/>
    </row>
    <row r="102" spans="1:26" ht="15.75" customHeight="1">
      <c r="A102" s="949"/>
      <c r="B102" s="178" t="s">
        <v>40</v>
      </c>
      <c r="C102" s="415">
        <f t="shared" ref="C102:D102" si="178">C37+C41+C7</f>
        <v>1242781</v>
      </c>
      <c r="D102" s="415">
        <f t="shared" si="178"/>
        <v>327987</v>
      </c>
      <c r="E102" s="416">
        <f t="shared" si="170"/>
        <v>0.26391375471623724</v>
      </c>
      <c r="F102" s="417"/>
      <c r="G102" s="415">
        <f t="shared" ref="G102:H102" si="179">G37+G41+G7</f>
        <v>3614630</v>
      </c>
      <c r="H102" s="415">
        <f t="shared" si="179"/>
        <v>104712</v>
      </c>
      <c r="I102" s="418">
        <f t="shared" si="172"/>
        <v>2.8968940112819294E-2</v>
      </c>
      <c r="J102" s="419"/>
      <c r="K102" s="415">
        <f t="shared" ref="K102:L102" si="180">K37+K41+K7</f>
        <v>4857411</v>
      </c>
      <c r="L102" s="415">
        <f t="shared" si="180"/>
        <v>432699</v>
      </c>
      <c r="M102" s="416">
        <f t="shared" si="174"/>
        <v>8.9080170485882293E-2</v>
      </c>
      <c r="N102" s="486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  <c r="Y102" s="305"/>
      <c r="Z102" s="305"/>
    </row>
    <row r="103" spans="1:26" ht="15.75" customHeight="1">
      <c r="A103" s="950"/>
      <c r="B103" s="510" t="s">
        <v>32</v>
      </c>
      <c r="C103" s="511">
        <f t="shared" ref="C103:D103" si="181">C20+C31++C38+C42+C45+C50+C54+C60+C66+C72+C83+C89+C94</f>
        <v>1248250</v>
      </c>
      <c r="D103" s="511">
        <f t="shared" si="181"/>
        <v>629044</v>
      </c>
      <c r="E103" s="407">
        <f t="shared" si="170"/>
        <v>0.50394071700380538</v>
      </c>
      <c r="F103" s="441"/>
      <c r="G103" s="511">
        <f t="shared" ref="G103:H103" si="182">G20+G31++G38+G42+G45+G50+G54+G60+G66+G72+G83+G89+G94</f>
        <v>10021596</v>
      </c>
      <c r="H103" s="511">
        <f t="shared" si="182"/>
        <v>5596225</v>
      </c>
      <c r="I103" s="512">
        <f t="shared" si="172"/>
        <v>0.55841654363237148</v>
      </c>
      <c r="J103" s="513"/>
      <c r="K103" s="511">
        <f t="shared" ref="K103:L103" si="183">K20+K31++K38+K42+K45+K50+K54+K60+K66+K72+K83+K89+K94</f>
        <v>11269846</v>
      </c>
      <c r="L103" s="511">
        <f t="shared" si="183"/>
        <v>6225269</v>
      </c>
      <c r="M103" s="407">
        <f t="shared" si="174"/>
        <v>0.55238279209849006</v>
      </c>
      <c r="N103" s="486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  <c r="Y103" s="305"/>
      <c r="Z103" s="305"/>
    </row>
    <row r="104" spans="1:26" ht="15.75" customHeight="1">
      <c r="A104" s="1003" t="s">
        <v>172</v>
      </c>
      <c r="B104" s="955"/>
      <c r="C104" s="514">
        <f t="shared" ref="C104:D104" si="184">C97+C98+C99+C100+C101+C102+C103</f>
        <v>18581086</v>
      </c>
      <c r="D104" s="514">
        <f t="shared" si="184"/>
        <v>5461334</v>
      </c>
      <c r="E104" s="503">
        <f t="shared" si="170"/>
        <v>0.29391898837344599</v>
      </c>
      <c r="F104" s="446"/>
      <c r="G104" s="514">
        <f t="shared" ref="G104:H104" si="185">G97+G98+G99+G100+G101+G102+G103</f>
        <v>22154755</v>
      </c>
      <c r="H104" s="514">
        <f t="shared" si="185"/>
        <v>12537157</v>
      </c>
      <c r="I104" s="448">
        <f t="shared" si="172"/>
        <v>0.56589012155629792</v>
      </c>
      <c r="J104" s="515"/>
      <c r="K104" s="514">
        <f t="shared" ref="K104:L104" si="186">K97+K98+K99+K100+K101+K102+K103</f>
        <v>40735841</v>
      </c>
      <c r="L104" s="514">
        <f t="shared" si="186"/>
        <v>17998491</v>
      </c>
      <c r="M104" s="503">
        <f t="shared" si="174"/>
        <v>0.44183428052952189</v>
      </c>
      <c r="N104" s="486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  <c r="Y104" s="305"/>
      <c r="Z104" s="305"/>
    </row>
    <row r="105" spans="1:26" ht="9" customHeight="1">
      <c r="A105" s="985"/>
      <c r="B105" s="928"/>
      <c r="C105" s="928"/>
      <c r="D105" s="928"/>
      <c r="E105" s="955"/>
      <c r="F105" s="516"/>
      <c r="G105" s="986"/>
      <c r="H105" s="928"/>
      <c r="I105" s="928"/>
      <c r="J105" s="312"/>
      <c r="K105" s="491"/>
      <c r="L105" s="348"/>
      <c r="M105" s="349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  <c r="Y105" s="305"/>
      <c r="Z105" s="305"/>
    </row>
    <row r="106" spans="1:26" ht="15.75" customHeight="1">
      <c r="A106" s="1006">
        <v>1500</v>
      </c>
      <c r="B106" s="399" t="s">
        <v>29</v>
      </c>
      <c r="C106" s="399">
        <f>6920014+5000001-1800000</f>
        <v>10120015</v>
      </c>
      <c r="D106" s="517">
        <f>1322921+3200000</f>
        <v>4522921</v>
      </c>
      <c r="E106" s="453">
        <f t="shared" ref="E106:E107" si="187">D106/C106</f>
        <v>0.44692829012605217</v>
      </c>
      <c r="F106" s="427"/>
      <c r="G106" s="518">
        <f t="shared" ref="G106:H106" si="188">K106-C106</f>
        <v>100000</v>
      </c>
      <c r="H106" s="424">
        <f t="shared" si="188"/>
        <v>29543</v>
      </c>
      <c r="I106" s="426">
        <f t="shared" ref="I106:I114" si="189">H106/G106</f>
        <v>0.29543000000000003</v>
      </c>
      <c r="J106" s="427"/>
      <c r="K106" s="323">
        <f>12020015-1800000</f>
        <v>10220015</v>
      </c>
      <c r="L106" s="394">
        <v>4552464</v>
      </c>
      <c r="M106" s="381">
        <f t="shared" ref="M106:M114" si="190">L106/K106</f>
        <v>0.44544592155686658</v>
      </c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  <c r="Y106" s="305"/>
      <c r="Z106" s="305"/>
    </row>
    <row r="107" spans="1:26" ht="15.75" customHeight="1">
      <c r="A107" s="1000"/>
      <c r="B107" s="178" t="s">
        <v>25</v>
      </c>
      <c r="C107" s="178">
        <f t="shared" ref="C107:D107" si="191">SUM(C106)</f>
        <v>10120015</v>
      </c>
      <c r="D107" s="431">
        <f t="shared" si="191"/>
        <v>4522921</v>
      </c>
      <c r="E107" s="457">
        <f t="shared" si="187"/>
        <v>0.44692829012605217</v>
      </c>
      <c r="F107" s="417"/>
      <c r="G107" s="176">
        <f t="shared" ref="G107:H107" si="192">SUM(G106)</f>
        <v>100000</v>
      </c>
      <c r="H107" s="297">
        <f t="shared" si="192"/>
        <v>29543</v>
      </c>
      <c r="I107" s="430">
        <f t="shared" si="189"/>
        <v>0.29543000000000003</v>
      </c>
      <c r="J107" s="417"/>
      <c r="K107" s="178">
        <f t="shared" ref="K107:L107" si="193">SUM(K106)</f>
        <v>10220015</v>
      </c>
      <c r="L107" s="431">
        <f t="shared" si="193"/>
        <v>4552464</v>
      </c>
      <c r="M107" s="418">
        <f t="shared" si="190"/>
        <v>0.44544592155686658</v>
      </c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  <c r="Y107" s="305"/>
      <c r="Z107" s="305"/>
    </row>
    <row r="108" spans="1:26" ht="15.75" customHeight="1">
      <c r="A108" s="1002">
        <v>1600</v>
      </c>
      <c r="B108" s="334" t="s">
        <v>29</v>
      </c>
      <c r="C108" s="377">
        <v>0</v>
      </c>
      <c r="D108" s="396">
        <v>332</v>
      </c>
      <c r="E108" s="461">
        <v>0</v>
      </c>
      <c r="F108" s="436"/>
      <c r="G108" s="519">
        <f t="shared" ref="G108:H108" si="194">K108-C108</f>
        <v>13416785</v>
      </c>
      <c r="H108" s="299">
        <f t="shared" si="194"/>
        <v>863089</v>
      </c>
      <c r="I108" s="435">
        <f t="shared" si="189"/>
        <v>6.4329047532624251E-2</v>
      </c>
      <c r="J108" s="436"/>
      <c r="K108" s="377">
        <v>13416785</v>
      </c>
      <c r="L108" s="396">
        <v>863421</v>
      </c>
      <c r="M108" s="383">
        <f t="shared" si="190"/>
        <v>6.4353792655990241E-2</v>
      </c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  <c r="Y108" s="305"/>
      <c r="Z108" s="305"/>
    </row>
    <row r="109" spans="1:26" ht="17.25" customHeight="1">
      <c r="A109" s="1000"/>
      <c r="B109" s="178" t="s">
        <v>25</v>
      </c>
      <c r="C109" s="178">
        <f t="shared" ref="C109:D109" si="195">SUM(C108)</f>
        <v>0</v>
      </c>
      <c r="D109" s="431">
        <f t="shared" si="195"/>
        <v>332</v>
      </c>
      <c r="E109" s="457">
        <v>0</v>
      </c>
      <c r="F109" s="417"/>
      <c r="G109" s="176">
        <f t="shared" ref="G109:H109" si="196">SUM(G108)</f>
        <v>13416785</v>
      </c>
      <c r="H109" s="297">
        <f t="shared" si="196"/>
        <v>863089</v>
      </c>
      <c r="I109" s="430">
        <f t="shared" si="189"/>
        <v>6.4329047532624251E-2</v>
      </c>
      <c r="J109" s="417"/>
      <c r="K109" s="178">
        <f t="shared" ref="K109:L109" si="197">SUM(K108)</f>
        <v>13416785</v>
      </c>
      <c r="L109" s="431">
        <f t="shared" si="197"/>
        <v>863421</v>
      </c>
      <c r="M109" s="418">
        <f t="shared" si="190"/>
        <v>6.4353792655990241E-2</v>
      </c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  <c r="Y109" s="305"/>
      <c r="Z109" s="305"/>
    </row>
    <row r="110" spans="1:26" ht="16.5" customHeight="1">
      <c r="A110" s="999">
        <v>3300</v>
      </c>
      <c r="B110" s="334" t="s">
        <v>29</v>
      </c>
      <c r="C110" s="377">
        <v>0</v>
      </c>
      <c r="D110" s="396">
        <v>0</v>
      </c>
      <c r="E110" s="461">
        <v>0</v>
      </c>
      <c r="F110" s="436"/>
      <c r="G110" s="519">
        <f t="shared" ref="G110:H110" si="198">K110-C110</f>
        <v>1</v>
      </c>
      <c r="H110" s="299">
        <f t="shared" si="198"/>
        <v>0</v>
      </c>
      <c r="I110" s="435">
        <f t="shared" si="189"/>
        <v>0</v>
      </c>
      <c r="J110" s="436"/>
      <c r="K110" s="377">
        <v>1</v>
      </c>
      <c r="L110" s="396">
        <v>0</v>
      </c>
      <c r="M110" s="383">
        <f t="shared" si="190"/>
        <v>0</v>
      </c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  <c r="Y110" s="305"/>
      <c r="Z110" s="305"/>
    </row>
    <row r="111" spans="1:26" ht="15" customHeight="1">
      <c r="A111" s="1000"/>
      <c r="B111" s="178" t="s">
        <v>25</v>
      </c>
      <c r="C111" s="178">
        <f t="shared" ref="C111:D111" si="199">SUM(C110)</f>
        <v>0</v>
      </c>
      <c r="D111" s="431">
        <f t="shared" si="199"/>
        <v>0</v>
      </c>
      <c r="E111" s="457">
        <v>0</v>
      </c>
      <c r="F111" s="417"/>
      <c r="G111" s="176">
        <f t="shared" ref="G111:H111" si="200">SUM(G110)</f>
        <v>1</v>
      </c>
      <c r="H111" s="297">
        <f t="shared" si="200"/>
        <v>0</v>
      </c>
      <c r="I111" s="435">
        <f t="shared" si="189"/>
        <v>0</v>
      </c>
      <c r="J111" s="417"/>
      <c r="K111" s="178">
        <f t="shared" ref="K111:L111" si="201">SUM(K110)</f>
        <v>1</v>
      </c>
      <c r="L111" s="431">
        <f t="shared" si="201"/>
        <v>0</v>
      </c>
      <c r="M111" s="383">
        <f t="shared" si="190"/>
        <v>0</v>
      </c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  <c r="Y111" s="305"/>
      <c r="Z111" s="305"/>
    </row>
    <row r="112" spans="1:26" ht="15" customHeight="1">
      <c r="A112" s="999">
        <v>4200</v>
      </c>
      <c r="B112" s="334" t="s">
        <v>29</v>
      </c>
      <c r="C112" s="377">
        <v>0</v>
      </c>
      <c r="D112" s="396">
        <v>0</v>
      </c>
      <c r="E112" s="461">
        <v>0</v>
      </c>
      <c r="F112" s="436"/>
      <c r="G112" s="519">
        <f t="shared" ref="G112:H112" si="202">K112-C112</f>
        <v>10000</v>
      </c>
      <c r="H112" s="299">
        <f t="shared" si="202"/>
        <v>647</v>
      </c>
      <c r="I112" s="435">
        <f t="shared" si="189"/>
        <v>6.4699999999999994E-2</v>
      </c>
      <c r="J112" s="436"/>
      <c r="K112" s="377">
        <v>10000</v>
      </c>
      <c r="L112" s="396">
        <v>647</v>
      </c>
      <c r="M112" s="383">
        <f t="shared" si="190"/>
        <v>6.4699999999999994E-2</v>
      </c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  <c r="Y112" s="305"/>
      <c r="Z112" s="305"/>
    </row>
    <row r="113" spans="1:26" ht="16.5" customHeight="1">
      <c r="A113" s="1000"/>
      <c r="B113" s="357" t="s">
        <v>25</v>
      </c>
      <c r="C113" s="357">
        <f t="shared" ref="C113:D113" si="203">SUM(C112)</f>
        <v>0</v>
      </c>
      <c r="D113" s="398">
        <f t="shared" si="203"/>
        <v>0</v>
      </c>
      <c r="E113" s="464">
        <v>0</v>
      </c>
      <c r="F113" s="441"/>
      <c r="G113" s="520">
        <f t="shared" ref="G113:H113" si="204">SUM(G112)</f>
        <v>10000</v>
      </c>
      <c r="H113" s="521">
        <f t="shared" si="204"/>
        <v>647</v>
      </c>
      <c r="I113" s="522">
        <f t="shared" si="189"/>
        <v>6.4699999999999994E-2</v>
      </c>
      <c r="J113" s="417"/>
      <c r="K113" s="357">
        <f t="shared" ref="K113:L113" si="205">SUM(K112)</f>
        <v>10000</v>
      </c>
      <c r="L113" s="398">
        <f t="shared" si="205"/>
        <v>647</v>
      </c>
      <c r="M113" s="384">
        <f t="shared" si="190"/>
        <v>6.4699999999999994E-2</v>
      </c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  <c r="Y113" s="305"/>
      <c r="Z113" s="305"/>
    </row>
    <row r="114" spans="1:26" ht="17.25" customHeight="1">
      <c r="A114" s="442"/>
      <c r="B114" s="523" t="s">
        <v>120</v>
      </c>
      <c r="C114" s="198">
        <f t="shared" ref="C114:D114" si="206">C107+C109+C111+C113</f>
        <v>10120015</v>
      </c>
      <c r="D114" s="198">
        <f t="shared" si="206"/>
        <v>4523253</v>
      </c>
      <c r="E114" s="237">
        <f>D114/C114</f>
        <v>0.44696109640153697</v>
      </c>
      <c r="F114" s="446"/>
      <c r="G114" s="198">
        <f t="shared" ref="G114:H114" si="207">G107+G109+G111+G113</f>
        <v>13526786</v>
      </c>
      <c r="H114" s="198">
        <f t="shared" si="207"/>
        <v>893279</v>
      </c>
      <c r="I114" s="237">
        <f t="shared" si="189"/>
        <v>6.6037786063888354E-2</v>
      </c>
      <c r="J114" s="421"/>
      <c r="K114" s="447">
        <f t="shared" ref="K114:L114" si="208">K107+K109+K111+K113</f>
        <v>23646801</v>
      </c>
      <c r="L114" s="198">
        <f t="shared" si="208"/>
        <v>5416532</v>
      </c>
      <c r="M114" s="448">
        <f t="shared" si="190"/>
        <v>0.22905982081889217</v>
      </c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  <c r="Y114" s="305"/>
      <c r="Z114" s="305"/>
    </row>
    <row r="115" spans="1:26" ht="8.25" customHeight="1">
      <c r="A115" s="985"/>
      <c r="B115" s="928"/>
      <c r="C115" s="928"/>
      <c r="D115" s="928"/>
      <c r="E115" s="928"/>
      <c r="F115" s="312"/>
      <c r="G115" s="986"/>
      <c r="H115" s="928"/>
      <c r="I115" s="928"/>
      <c r="J115" s="312"/>
      <c r="K115" s="491"/>
      <c r="L115" s="348"/>
      <c r="M115" s="349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</row>
    <row r="116" spans="1:26" ht="13.5" customHeight="1">
      <c r="A116" s="449" t="s">
        <v>23</v>
      </c>
      <c r="B116" s="450" t="s">
        <v>7</v>
      </c>
      <c r="C116" s="168" t="s">
        <v>148</v>
      </c>
      <c r="D116" s="169" t="s">
        <v>149</v>
      </c>
      <c r="E116" s="450" t="s">
        <v>150</v>
      </c>
      <c r="F116" s="386"/>
      <c r="G116" s="305"/>
      <c r="H116" s="305"/>
      <c r="I116" s="305"/>
      <c r="J116" s="386"/>
      <c r="K116" s="494"/>
      <c r="L116" s="305"/>
      <c r="M116" s="524"/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  <c r="Y116" s="305"/>
      <c r="Z116" s="305"/>
    </row>
    <row r="117" spans="1:26" ht="17.25" customHeight="1">
      <c r="A117" s="1007">
        <v>3000</v>
      </c>
      <c r="B117" s="452" t="s">
        <v>23</v>
      </c>
      <c r="C117" s="323">
        <v>1093000</v>
      </c>
      <c r="D117" s="394">
        <v>0</v>
      </c>
      <c r="E117" s="453">
        <f t="shared" ref="E117:E121" si="209">D117/C117</f>
        <v>0</v>
      </c>
      <c r="F117" s="327"/>
      <c r="G117" s="305"/>
      <c r="H117" s="305"/>
      <c r="I117" s="246"/>
      <c r="J117" s="201"/>
      <c r="K117" s="525" t="s">
        <v>151</v>
      </c>
      <c r="L117" s="455" t="s">
        <v>152</v>
      </c>
      <c r="M117" s="450" t="s">
        <v>150</v>
      </c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  <c r="Y117" s="305"/>
      <c r="Z117" s="305"/>
    </row>
    <row r="118" spans="1:26" ht="15" customHeight="1">
      <c r="A118" s="1000"/>
      <c r="B118" s="456" t="s">
        <v>25</v>
      </c>
      <c r="C118" s="178">
        <f t="shared" ref="C118:D118" si="210">SUM(C117)</f>
        <v>1093000</v>
      </c>
      <c r="D118" s="431">
        <f t="shared" si="210"/>
        <v>0</v>
      </c>
      <c r="E118" s="457">
        <f t="shared" si="209"/>
        <v>0</v>
      </c>
      <c r="F118" s="343"/>
      <c r="G118" s="305"/>
      <c r="H118" s="198" t="s">
        <v>153</v>
      </c>
      <c r="I118" s="458"/>
      <c r="J118" s="201"/>
      <c r="K118" s="520">
        <f t="shared" ref="K118:L118" si="211">K104+K114+C121</f>
        <v>68635642</v>
      </c>
      <c r="L118" s="460">
        <f t="shared" si="211"/>
        <v>23415023</v>
      </c>
      <c r="M118" s="448">
        <f>L118/K118</f>
        <v>0.34114961727902249</v>
      </c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  <c r="Y118" s="305"/>
      <c r="Z118" s="305"/>
    </row>
    <row r="119" spans="1:26" ht="14.25" customHeight="1">
      <c r="A119" s="1007">
        <v>5300</v>
      </c>
      <c r="B119" s="456" t="s">
        <v>23</v>
      </c>
      <c r="C119" s="334">
        <v>3160000</v>
      </c>
      <c r="D119" s="396">
        <v>0</v>
      </c>
      <c r="E119" s="461">
        <f t="shared" si="209"/>
        <v>0</v>
      </c>
      <c r="F119" s="327"/>
      <c r="G119" s="305"/>
      <c r="H119" s="305"/>
      <c r="I119" s="305"/>
      <c r="J119" s="350"/>
      <c r="K119" s="526"/>
      <c r="L119" s="527"/>
      <c r="M119" s="528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  <c r="Y119" s="305"/>
      <c r="Z119" s="305"/>
    </row>
    <row r="120" spans="1:26" ht="15.75" customHeight="1">
      <c r="A120" s="950"/>
      <c r="B120" s="463" t="s">
        <v>25</v>
      </c>
      <c r="C120" s="183">
        <f t="shared" ref="C120:D120" si="212">SUM(C119)</f>
        <v>3160000</v>
      </c>
      <c r="D120" s="404">
        <f t="shared" si="212"/>
        <v>0</v>
      </c>
      <c r="E120" s="464">
        <f t="shared" si="209"/>
        <v>0</v>
      </c>
      <c r="F120" s="343"/>
      <c r="G120" s="305"/>
      <c r="H120" s="305"/>
      <c r="I120" s="305"/>
      <c r="J120" s="350"/>
      <c r="K120" s="529"/>
      <c r="L120" s="530"/>
      <c r="M120" s="531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  <c r="Y120" s="305"/>
      <c r="Z120" s="305"/>
    </row>
    <row r="121" spans="1:26" ht="15.75" customHeight="1">
      <c r="A121" s="465"/>
      <c r="B121" s="466" t="s">
        <v>121</v>
      </c>
      <c r="C121" s="198">
        <f t="shared" ref="C121:D121" si="213">C117+C120</f>
        <v>4253000</v>
      </c>
      <c r="D121" s="198">
        <f t="shared" si="213"/>
        <v>0</v>
      </c>
      <c r="E121" s="237">
        <f t="shared" si="209"/>
        <v>0</v>
      </c>
      <c r="F121" s="467"/>
      <c r="G121" s="458"/>
      <c r="H121" s="458"/>
      <c r="I121" s="458"/>
      <c r="J121" s="468"/>
      <c r="K121" s="532"/>
      <c r="L121" s="458"/>
      <c r="M121" s="469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  <c r="Y121" s="305"/>
      <c r="Z121" s="305"/>
    </row>
    <row r="122" spans="1:26" ht="9.75" customHeight="1">
      <c r="A122" s="985"/>
      <c r="B122" s="928"/>
      <c r="C122" s="928"/>
      <c r="D122" s="928"/>
      <c r="E122" s="928"/>
      <c r="F122" s="312"/>
      <c r="G122" s="986"/>
      <c r="H122" s="928"/>
      <c r="I122" s="928"/>
      <c r="J122" s="312"/>
      <c r="K122" s="348"/>
      <c r="L122" s="348"/>
      <c r="M122" s="348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  <c r="Y122" s="305"/>
      <c r="Z122" s="305"/>
    </row>
    <row r="123" spans="1:26" ht="15.75" customHeight="1">
      <c r="A123" s="245"/>
      <c r="B123" s="246"/>
      <c r="C123" s="305"/>
      <c r="D123" s="305"/>
      <c r="E123" s="305"/>
      <c r="F123" s="305"/>
      <c r="G123" s="305"/>
      <c r="H123" s="305"/>
      <c r="I123" s="305"/>
      <c r="J123" s="305"/>
      <c r="K123" s="246"/>
      <c r="L123" s="246"/>
      <c r="M123" s="470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  <c r="Y123" s="305"/>
      <c r="Z123" s="305"/>
    </row>
    <row r="124" spans="1:26" ht="15.75" customHeight="1">
      <c r="A124" s="533" t="s">
        <v>174</v>
      </c>
      <c r="B124" s="534" t="s">
        <v>7</v>
      </c>
      <c r="C124" s="535" t="s">
        <v>92</v>
      </c>
      <c r="D124" s="536" t="s">
        <v>175</v>
      </c>
      <c r="E124" s="535" t="s">
        <v>176</v>
      </c>
      <c r="F124" s="305"/>
      <c r="G124" s="535" t="s">
        <v>177</v>
      </c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  <c r="Y124" s="305"/>
      <c r="Z124" s="305"/>
    </row>
    <row r="125" spans="1:26" ht="15.75" customHeight="1">
      <c r="A125" s="471"/>
      <c r="B125" s="472"/>
      <c r="C125" s="537" t="s">
        <v>19</v>
      </c>
      <c r="D125" s="538" t="s">
        <v>19</v>
      </c>
      <c r="E125" s="537" t="s">
        <v>19</v>
      </c>
      <c r="F125" s="305"/>
      <c r="G125" s="537" t="s">
        <v>19</v>
      </c>
      <c r="H125" s="305"/>
      <c r="I125" s="305"/>
      <c r="J125" s="305"/>
      <c r="K125" s="305"/>
      <c r="L125" s="305"/>
      <c r="M125" s="305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  <c r="Y125" s="305"/>
      <c r="Z125" s="305"/>
    </row>
    <row r="126" spans="1:26" ht="15.75" customHeight="1">
      <c r="A126" s="190" t="s">
        <v>109</v>
      </c>
      <c r="B126" s="539" t="s">
        <v>21</v>
      </c>
      <c r="C126" s="424">
        <v>9819593</v>
      </c>
      <c r="D126" s="540">
        <v>1918332</v>
      </c>
      <c r="E126" s="424">
        <v>9819593</v>
      </c>
      <c r="F126" s="305"/>
      <c r="G126" s="424">
        <v>9819593</v>
      </c>
      <c r="H126" s="305"/>
      <c r="I126" s="305"/>
      <c r="J126" s="305"/>
      <c r="K126" s="305"/>
      <c r="L126" s="305"/>
      <c r="M126" s="305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  <c r="Y126" s="305"/>
      <c r="Z126" s="305"/>
    </row>
    <row r="127" spans="1:26" ht="15.75" customHeight="1">
      <c r="A127" s="176" t="s">
        <v>110</v>
      </c>
      <c r="B127" s="297" t="s">
        <v>21</v>
      </c>
      <c r="C127" s="299">
        <v>6871037</v>
      </c>
      <c r="D127" s="541">
        <v>2931074</v>
      </c>
      <c r="E127" s="299">
        <v>6871037</v>
      </c>
      <c r="F127" s="305"/>
      <c r="G127" s="299">
        <v>6871037</v>
      </c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  <c r="Y127" s="305"/>
      <c r="Z127" s="305"/>
    </row>
    <row r="128" spans="1:26" ht="15.75" customHeight="1">
      <c r="A128" s="176" t="s">
        <v>111</v>
      </c>
      <c r="B128" s="438" t="s">
        <v>21</v>
      </c>
      <c r="C128" s="542">
        <v>20000</v>
      </c>
      <c r="D128" s="543">
        <v>293776</v>
      </c>
      <c r="E128" s="542">
        <v>20000</v>
      </c>
      <c r="F128" s="246"/>
      <c r="G128" s="542">
        <v>20000</v>
      </c>
      <c r="H128" s="305"/>
      <c r="I128" s="305"/>
      <c r="J128" s="305"/>
      <c r="K128" s="305"/>
      <c r="L128" s="305"/>
      <c r="M128" s="305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  <c r="Y128" s="305"/>
      <c r="Z128" s="305"/>
    </row>
    <row r="129" spans="1:26" ht="15.75" customHeight="1">
      <c r="A129" s="544"/>
      <c r="B129" s="545" t="s">
        <v>25</v>
      </c>
      <c r="C129" s="444">
        <f t="shared" ref="C129:E129" si="214">SUM(C126:C128)</f>
        <v>16710630</v>
      </c>
      <c r="D129" s="546">
        <f t="shared" si="214"/>
        <v>5143182</v>
      </c>
      <c r="E129" s="444">
        <f t="shared" si="214"/>
        <v>16710630</v>
      </c>
      <c r="F129" s="246"/>
      <c r="G129" s="444">
        <f>SUM(G126:G128)</f>
        <v>16710630</v>
      </c>
      <c r="H129" s="305"/>
      <c r="I129" s="305"/>
      <c r="J129" s="305"/>
      <c r="K129" s="305"/>
      <c r="L129" s="305"/>
      <c r="M129" s="305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  <c r="Y129" s="305"/>
      <c r="Z129" s="305"/>
    </row>
    <row r="130" spans="1:26" ht="15.75" customHeight="1">
      <c r="A130" s="547" t="s">
        <v>79</v>
      </c>
      <c r="B130" s="548"/>
      <c r="C130" s="549"/>
      <c r="D130" s="550"/>
      <c r="E130" s="549"/>
      <c r="F130" s="246"/>
      <c r="G130" s="549"/>
      <c r="H130" s="305"/>
      <c r="I130" s="305"/>
      <c r="J130" s="305"/>
      <c r="K130" s="305"/>
      <c r="L130" s="305"/>
      <c r="M130" s="305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  <c r="Y130" s="305"/>
      <c r="Z130" s="305"/>
    </row>
    <row r="131" spans="1:26" ht="15.75" customHeight="1">
      <c r="A131" s="551" t="s">
        <v>109</v>
      </c>
      <c r="B131" s="525" t="s">
        <v>21</v>
      </c>
      <c r="C131" s="424">
        <v>9905586</v>
      </c>
      <c r="D131" s="540">
        <v>1885357</v>
      </c>
      <c r="E131" s="424">
        <v>9905586</v>
      </c>
      <c r="F131" s="246"/>
      <c r="G131" s="424">
        <v>9905586</v>
      </c>
      <c r="H131" s="305"/>
      <c r="I131" s="305"/>
      <c r="J131" s="305"/>
      <c r="K131" s="305"/>
      <c r="L131" s="305"/>
      <c r="M131" s="305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  <c r="Y131" s="305"/>
      <c r="Z131" s="305"/>
    </row>
    <row r="132" spans="1:26" ht="15.75" customHeight="1">
      <c r="A132" s="178" t="s">
        <v>110</v>
      </c>
      <c r="B132" s="176" t="s">
        <v>21</v>
      </c>
      <c r="C132" s="299">
        <v>6941037</v>
      </c>
      <c r="D132" s="541">
        <v>2695688</v>
      </c>
      <c r="E132" s="299">
        <v>6941037</v>
      </c>
      <c r="F132" s="246"/>
      <c r="G132" s="299">
        <v>6941037</v>
      </c>
      <c r="H132" s="305"/>
      <c r="I132" s="305"/>
      <c r="J132" s="305"/>
      <c r="K132" s="305"/>
      <c r="L132" s="305"/>
      <c r="M132" s="305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  <c r="Y132" s="305"/>
      <c r="Z132" s="305"/>
    </row>
    <row r="133" spans="1:26" ht="15.75" customHeight="1">
      <c r="A133" s="178" t="s">
        <v>111</v>
      </c>
      <c r="B133" s="181" t="s">
        <v>21</v>
      </c>
      <c r="C133" s="542">
        <v>20000</v>
      </c>
      <c r="D133" s="543">
        <v>0</v>
      </c>
      <c r="E133" s="542">
        <v>20000</v>
      </c>
      <c r="F133" s="480"/>
      <c r="G133" s="542">
        <v>20000</v>
      </c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</row>
    <row r="134" spans="1:26" ht="15.75" customHeight="1">
      <c r="A134" s="478"/>
      <c r="B134" s="545" t="s">
        <v>25</v>
      </c>
      <c r="C134" s="444">
        <f t="shared" ref="C134:E134" si="215">SUM(C131:C133)</f>
        <v>16866623</v>
      </c>
      <c r="D134" s="546">
        <f t="shared" si="215"/>
        <v>4581045</v>
      </c>
      <c r="E134" s="444">
        <f t="shared" si="215"/>
        <v>16866623</v>
      </c>
      <c r="F134" s="480"/>
      <c r="G134" s="444">
        <f>SUM(G131:G133)</f>
        <v>16866623</v>
      </c>
      <c r="H134" s="305"/>
      <c r="I134" s="305"/>
      <c r="J134" s="305"/>
      <c r="K134" s="305"/>
      <c r="L134" s="305"/>
      <c r="M134" s="305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</row>
    <row r="135" spans="1:26" ht="15.75" customHeight="1">
      <c r="A135" s="442"/>
      <c r="B135" s="545" t="s">
        <v>83</v>
      </c>
      <c r="C135" s="444">
        <f t="shared" ref="C135:E135" si="216">C129-C134</f>
        <v>-155993</v>
      </c>
      <c r="D135" s="546">
        <f t="shared" si="216"/>
        <v>562137</v>
      </c>
      <c r="E135" s="444">
        <f t="shared" si="216"/>
        <v>-155993</v>
      </c>
      <c r="F135" s="246"/>
      <c r="G135" s="444">
        <f>G129-G134</f>
        <v>-155993</v>
      </c>
      <c r="H135" s="305"/>
      <c r="I135" s="305"/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</row>
    <row r="136" spans="1:26" ht="15.75" customHeight="1">
      <c r="A136" s="552" t="s">
        <v>178</v>
      </c>
      <c r="B136" s="553"/>
      <c r="C136" s="554"/>
      <c r="D136" s="555"/>
      <c r="E136" s="554"/>
      <c r="F136" s="305"/>
      <c r="G136" s="554"/>
      <c r="H136" s="305"/>
      <c r="I136" s="305"/>
      <c r="J136" s="305"/>
      <c r="K136" s="305"/>
      <c r="L136" s="305"/>
      <c r="M136" s="305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</row>
    <row r="137" spans="1:26" ht="15.75" customHeight="1">
      <c r="A137" s="556" t="s">
        <v>118</v>
      </c>
      <c r="B137" s="557" t="s">
        <v>28</v>
      </c>
      <c r="C137" s="424">
        <v>0</v>
      </c>
      <c r="D137" s="540">
        <v>56540</v>
      </c>
      <c r="E137" s="424">
        <v>0</v>
      </c>
      <c r="F137" s="305"/>
      <c r="G137" s="424">
        <v>0</v>
      </c>
      <c r="H137" s="305"/>
      <c r="I137" s="305"/>
      <c r="J137" s="305"/>
      <c r="K137" s="305"/>
      <c r="L137" s="305"/>
      <c r="M137" s="305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</row>
    <row r="138" spans="1:26" ht="15.75" customHeight="1">
      <c r="A138" s="558" t="s">
        <v>112</v>
      </c>
      <c r="B138" s="559" t="s">
        <v>32</v>
      </c>
      <c r="C138" s="299">
        <v>293605</v>
      </c>
      <c r="D138" s="541">
        <v>409502</v>
      </c>
      <c r="E138" s="299">
        <v>293605</v>
      </c>
      <c r="F138" s="305"/>
      <c r="G138" s="299">
        <v>293605</v>
      </c>
      <c r="H138" s="305"/>
      <c r="I138" s="305"/>
      <c r="J138" s="305"/>
      <c r="K138" s="305"/>
      <c r="L138" s="305"/>
      <c r="M138" s="305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</row>
    <row r="139" spans="1:26" ht="15.75" customHeight="1">
      <c r="A139" s="558"/>
      <c r="B139" s="560" t="s">
        <v>143</v>
      </c>
      <c r="C139" s="299">
        <v>0</v>
      </c>
      <c r="D139" s="541">
        <v>5217</v>
      </c>
      <c r="E139" s="299">
        <v>0</v>
      </c>
      <c r="F139" s="305"/>
      <c r="G139" s="299">
        <v>0</v>
      </c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</row>
    <row r="140" spans="1:26" ht="15.75" customHeight="1">
      <c r="A140" s="561"/>
      <c r="B140" s="562" t="s">
        <v>144</v>
      </c>
      <c r="C140" s="542">
        <v>0</v>
      </c>
      <c r="D140" s="543">
        <v>1304</v>
      </c>
      <c r="E140" s="542">
        <v>0</v>
      </c>
      <c r="F140" s="305"/>
      <c r="G140" s="542">
        <v>0</v>
      </c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</row>
    <row r="141" spans="1:26" ht="15.75" customHeight="1">
      <c r="A141" s="563"/>
      <c r="B141" s="564"/>
      <c r="C141" s="565">
        <f t="shared" ref="C141:E141" si="217">SUM(C137:C140)</f>
        <v>293605</v>
      </c>
      <c r="D141" s="566">
        <f t="shared" si="217"/>
        <v>472563</v>
      </c>
      <c r="E141" s="565">
        <f t="shared" si="217"/>
        <v>293605</v>
      </c>
      <c r="F141" s="305"/>
      <c r="G141" s="565">
        <f>SUM(G137:G140)</f>
        <v>293605</v>
      </c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</row>
    <row r="142" spans="1:26" ht="15.75" customHeight="1">
      <c r="A142" s="305"/>
      <c r="B142" s="305"/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</row>
    <row r="143" spans="1:26" ht="15.75" customHeight="1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305"/>
      <c r="L143" s="305"/>
      <c r="M143" s="305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</row>
    <row r="144" spans="1:26" ht="15.75" customHeight="1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305"/>
      <c r="L144" s="305"/>
      <c r="M144" s="305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</row>
    <row r="145" spans="1:26" ht="15.75" customHeight="1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</row>
    <row r="146" spans="1:26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</row>
    <row r="147" spans="1:26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</row>
    <row r="148" spans="1:26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</row>
    <row r="149" spans="1:26" ht="15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</row>
    <row r="150" spans="1:26" ht="15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</row>
    <row r="151" spans="1:26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</row>
    <row r="152" spans="1:26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</row>
    <row r="153" spans="1:26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</row>
    <row r="154" spans="1:26" ht="15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</row>
    <row r="155" spans="1:26" ht="15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</row>
    <row r="156" spans="1:26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</row>
    <row r="157" spans="1:26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</row>
    <row r="158" spans="1:26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</row>
    <row r="159" spans="1:26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</row>
    <row r="160" spans="1:26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</row>
    <row r="161" spans="1:26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</row>
    <row r="162" spans="1:26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</row>
    <row r="163" spans="1:26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</row>
    <row r="164" spans="1:26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</row>
    <row r="165" spans="1:26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</row>
    <row r="166" spans="1:26" ht="15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</row>
    <row r="167" spans="1:26" ht="15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</row>
    <row r="168" spans="1:26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</row>
    <row r="169" spans="1:26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</row>
    <row r="170" spans="1:26" ht="15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</row>
    <row r="171" spans="1:26" ht="15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</row>
    <row r="172" spans="1:26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</row>
    <row r="173" spans="1:26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</row>
    <row r="174" spans="1:26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</row>
    <row r="175" spans="1:26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</row>
    <row r="176" spans="1:26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</row>
    <row r="177" spans="1:26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</row>
    <row r="178" spans="1:26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</row>
    <row r="179" spans="1:26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</row>
    <row r="180" spans="1:26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</row>
    <row r="181" spans="1:26" ht="15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</row>
    <row r="182" spans="1:26" ht="15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</row>
    <row r="183" spans="1:26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</row>
    <row r="184" spans="1:26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</row>
    <row r="185" spans="1:26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</row>
    <row r="186" spans="1:26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</row>
    <row r="187" spans="1:26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</row>
    <row r="188" spans="1:26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</row>
    <row r="189" spans="1:26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</row>
    <row r="190" spans="1:26" ht="15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</row>
    <row r="191" spans="1:26" ht="15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</row>
    <row r="192" spans="1:26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</row>
    <row r="193" spans="1:26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</row>
    <row r="194" spans="1:26" ht="15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</row>
    <row r="195" spans="1:26" ht="15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</row>
    <row r="196" spans="1:26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</row>
    <row r="197" spans="1:26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</row>
    <row r="198" spans="1:26" ht="15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</row>
    <row r="199" spans="1:26" ht="15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</row>
    <row r="200" spans="1:26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</row>
    <row r="201" spans="1:26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</row>
    <row r="202" spans="1:26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  <c r="Y202" s="305"/>
      <c r="Z202" s="305"/>
    </row>
    <row r="203" spans="1:26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  <c r="Y203" s="305"/>
      <c r="Z203" s="305"/>
    </row>
    <row r="204" spans="1:26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  <c r="Y204" s="305"/>
      <c r="Z204" s="305"/>
    </row>
    <row r="205" spans="1:26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  <c r="Y205" s="305"/>
      <c r="Z205" s="305"/>
    </row>
    <row r="206" spans="1:26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</row>
    <row r="207" spans="1:26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</row>
    <row r="208" spans="1:26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  <c r="Y208" s="305"/>
      <c r="Z208" s="305"/>
    </row>
    <row r="209" spans="1:26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  <c r="Y209" s="305"/>
      <c r="Z209" s="305"/>
    </row>
    <row r="210" spans="1:26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  <c r="Y210" s="305"/>
      <c r="Z210" s="305"/>
    </row>
    <row r="211" spans="1:26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  <c r="Y211" s="305"/>
      <c r="Z211" s="305"/>
    </row>
    <row r="212" spans="1:26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  <c r="Y212" s="305"/>
      <c r="Z212" s="305"/>
    </row>
    <row r="213" spans="1:26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  <c r="Y213" s="305"/>
      <c r="Z213" s="305"/>
    </row>
    <row r="214" spans="1:26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  <c r="Y214" s="305"/>
      <c r="Z214" s="305"/>
    </row>
    <row r="215" spans="1:26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  <c r="Y215" s="305"/>
      <c r="Z215" s="305"/>
    </row>
    <row r="216" spans="1:26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  <c r="Y216" s="305"/>
      <c r="Z216" s="305"/>
    </row>
    <row r="217" spans="1:26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  <c r="Y217" s="305"/>
      <c r="Z217" s="305"/>
    </row>
    <row r="218" spans="1:26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  <c r="Y218" s="305"/>
      <c r="Z218" s="305"/>
    </row>
    <row r="219" spans="1:26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  <c r="Y219" s="305"/>
      <c r="Z219" s="305"/>
    </row>
    <row r="220" spans="1:26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  <c r="Y220" s="305"/>
      <c r="Z220" s="305"/>
    </row>
    <row r="221" spans="1:26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  <c r="Y221" s="305"/>
      <c r="Z221" s="305"/>
    </row>
    <row r="222" spans="1:26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  <c r="Y222" s="305"/>
      <c r="Z222" s="305"/>
    </row>
    <row r="223" spans="1:26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  <c r="Y223" s="305"/>
      <c r="Z223" s="305"/>
    </row>
    <row r="224" spans="1:26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  <c r="Y224" s="305"/>
      <c r="Z224" s="305"/>
    </row>
    <row r="225" spans="1:26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  <c r="Y225" s="305"/>
      <c r="Z225" s="305"/>
    </row>
    <row r="226" spans="1:26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  <c r="Y226" s="305"/>
      <c r="Z226" s="305"/>
    </row>
    <row r="227" spans="1:26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  <c r="Y227" s="305"/>
      <c r="Z227" s="305"/>
    </row>
    <row r="228" spans="1:26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  <c r="Y228" s="305"/>
      <c r="Z228" s="305"/>
    </row>
    <row r="229" spans="1:26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  <c r="Y229" s="305"/>
      <c r="Z229" s="305"/>
    </row>
    <row r="230" spans="1:26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  <c r="Y230" s="305"/>
      <c r="Z230" s="305"/>
    </row>
    <row r="231" spans="1:26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  <c r="Y231" s="305"/>
      <c r="Z231" s="305"/>
    </row>
    <row r="232" spans="1:26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  <c r="Y232" s="305"/>
      <c r="Z232" s="305"/>
    </row>
    <row r="233" spans="1:26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  <c r="Y233" s="305"/>
      <c r="Z233" s="305"/>
    </row>
    <row r="234" spans="1:26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  <c r="Y234" s="305"/>
      <c r="Z234" s="305"/>
    </row>
    <row r="235" spans="1:26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  <c r="Y235" s="305"/>
      <c r="Z235" s="305"/>
    </row>
    <row r="236" spans="1:26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  <c r="Y236" s="305"/>
      <c r="Z236" s="305"/>
    </row>
    <row r="237" spans="1:26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  <c r="Y237" s="305"/>
      <c r="Z237" s="305"/>
    </row>
    <row r="238" spans="1:26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  <c r="Y238" s="305"/>
      <c r="Z238" s="305"/>
    </row>
    <row r="239" spans="1:26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  <c r="Y239" s="305"/>
      <c r="Z239" s="305"/>
    </row>
    <row r="240" spans="1:26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  <c r="Y240" s="305"/>
      <c r="Z240" s="305"/>
    </row>
    <row r="241" spans="1:26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  <c r="Y241" s="305"/>
      <c r="Z241" s="305"/>
    </row>
    <row r="242" spans="1:26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  <c r="Y242" s="305"/>
      <c r="Z242" s="305"/>
    </row>
    <row r="243" spans="1:26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  <c r="Y243" s="305"/>
      <c r="Z243" s="305"/>
    </row>
    <row r="244" spans="1:26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  <c r="Y244" s="305"/>
      <c r="Z244" s="305"/>
    </row>
    <row r="245" spans="1:26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  <c r="Y245" s="305"/>
      <c r="Z245" s="305"/>
    </row>
    <row r="246" spans="1:26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  <c r="Y246" s="305"/>
      <c r="Z246" s="305"/>
    </row>
    <row r="247" spans="1:26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  <c r="Y247" s="305"/>
      <c r="Z247" s="305"/>
    </row>
    <row r="248" spans="1:26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  <c r="Y248" s="305"/>
      <c r="Z248" s="305"/>
    </row>
    <row r="249" spans="1:26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  <c r="Y249" s="305"/>
      <c r="Z249" s="305"/>
    </row>
    <row r="250" spans="1:26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  <c r="Y250" s="305"/>
      <c r="Z250" s="305"/>
    </row>
    <row r="251" spans="1:26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  <c r="Y251" s="305"/>
      <c r="Z251" s="305"/>
    </row>
    <row r="252" spans="1:26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  <c r="Y252" s="305"/>
      <c r="Z252" s="305"/>
    </row>
    <row r="253" spans="1:26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  <c r="Y253" s="305"/>
      <c r="Z253" s="305"/>
    </row>
    <row r="254" spans="1:26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  <c r="Y254" s="305"/>
      <c r="Z254" s="305"/>
    </row>
    <row r="255" spans="1:26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  <c r="Y255" s="305"/>
      <c r="Z255" s="305"/>
    </row>
    <row r="256" spans="1:26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  <c r="Y256" s="305"/>
      <c r="Z256" s="305"/>
    </row>
    <row r="257" spans="1:26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  <c r="Y257" s="305"/>
      <c r="Z257" s="305"/>
    </row>
    <row r="258" spans="1:26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  <c r="Y258" s="305"/>
      <c r="Z258" s="305"/>
    </row>
    <row r="259" spans="1:26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  <c r="Y259" s="305"/>
      <c r="Z259" s="305"/>
    </row>
    <row r="260" spans="1:26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  <c r="Y260" s="305"/>
      <c r="Z260" s="305"/>
    </row>
    <row r="261" spans="1:26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  <c r="Y261" s="305"/>
      <c r="Z261" s="305"/>
    </row>
    <row r="262" spans="1:26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  <c r="Y262" s="305"/>
      <c r="Z262" s="305"/>
    </row>
    <row r="263" spans="1:26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  <c r="Y263" s="305"/>
      <c r="Z263" s="305"/>
    </row>
    <row r="264" spans="1:26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  <c r="Y264" s="305"/>
      <c r="Z264" s="305"/>
    </row>
    <row r="265" spans="1:26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  <c r="Y265" s="305"/>
      <c r="Z265" s="305"/>
    </row>
    <row r="266" spans="1:26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  <c r="Y266" s="305"/>
      <c r="Z266" s="305"/>
    </row>
    <row r="267" spans="1:26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  <c r="Y267" s="305"/>
      <c r="Z267" s="305"/>
    </row>
    <row r="268" spans="1:26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  <c r="Y268" s="305"/>
      <c r="Z268" s="305"/>
    </row>
    <row r="269" spans="1:26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  <c r="Y269" s="305"/>
      <c r="Z269" s="305"/>
    </row>
    <row r="270" spans="1:26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  <c r="Y270" s="305"/>
      <c r="Z270" s="305"/>
    </row>
    <row r="271" spans="1:26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  <c r="Y271" s="305"/>
      <c r="Z271" s="305"/>
    </row>
    <row r="272" spans="1:26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  <c r="Y272" s="305"/>
      <c r="Z272" s="305"/>
    </row>
    <row r="273" spans="1:26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  <c r="Y273" s="305"/>
      <c r="Z273" s="305"/>
    </row>
    <row r="274" spans="1:26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  <c r="Y274" s="305"/>
      <c r="Z274" s="305"/>
    </row>
    <row r="275" spans="1:26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  <c r="Y275" s="305"/>
      <c r="Z275" s="305"/>
    </row>
    <row r="276" spans="1:26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  <c r="Y276" s="305"/>
      <c r="Z276" s="305"/>
    </row>
    <row r="277" spans="1:26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  <c r="Y277" s="305"/>
      <c r="Z277" s="305"/>
    </row>
    <row r="278" spans="1:26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  <c r="Y278" s="305"/>
      <c r="Z278" s="305"/>
    </row>
    <row r="279" spans="1:26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  <c r="Y279" s="305"/>
      <c r="Z279" s="305"/>
    </row>
    <row r="280" spans="1:26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  <c r="Y280" s="305"/>
      <c r="Z280" s="305"/>
    </row>
    <row r="281" spans="1:26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  <c r="Y281" s="305"/>
      <c r="Z281" s="305"/>
    </row>
    <row r="282" spans="1:26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  <c r="Y282" s="305"/>
      <c r="Z282" s="305"/>
    </row>
    <row r="283" spans="1:26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  <c r="Y283" s="305"/>
      <c r="Z283" s="305"/>
    </row>
    <row r="284" spans="1:26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  <c r="Y284" s="305"/>
      <c r="Z284" s="305"/>
    </row>
    <row r="285" spans="1:26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  <c r="Y285" s="305"/>
      <c r="Z285" s="305"/>
    </row>
    <row r="286" spans="1:26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  <c r="Y286" s="305"/>
      <c r="Z286" s="305"/>
    </row>
    <row r="287" spans="1:26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  <c r="Y287" s="305"/>
      <c r="Z287" s="305"/>
    </row>
    <row r="288" spans="1:26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  <c r="Y288" s="305"/>
      <c r="Z288" s="305"/>
    </row>
    <row r="289" spans="1:26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  <c r="Y289" s="305"/>
      <c r="Z289" s="305"/>
    </row>
    <row r="290" spans="1:26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  <c r="Y290" s="305"/>
      <c r="Z290" s="305"/>
    </row>
    <row r="291" spans="1:26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  <c r="Y291" s="305"/>
      <c r="Z291" s="305"/>
    </row>
    <row r="292" spans="1:26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  <c r="Y292" s="305"/>
      <c r="Z292" s="305"/>
    </row>
    <row r="293" spans="1:26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  <c r="Y293" s="305"/>
      <c r="Z293" s="305"/>
    </row>
    <row r="294" spans="1:26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  <c r="Y294" s="305"/>
      <c r="Z294" s="305"/>
    </row>
    <row r="295" spans="1:26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  <c r="Y295" s="305"/>
      <c r="Z295" s="305"/>
    </row>
    <row r="296" spans="1:26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  <c r="Y296" s="305"/>
      <c r="Z296" s="305"/>
    </row>
    <row r="297" spans="1:26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  <c r="Y297" s="305"/>
      <c r="Z297" s="305"/>
    </row>
    <row r="298" spans="1:26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  <c r="Y298" s="305"/>
      <c r="Z298" s="305"/>
    </row>
    <row r="299" spans="1:26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  <c r="Y299" s="305"/>
      <c r="Z299" s="305"/>
    </row>
    <row r="300" spans="1:26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  <c r="Y300" s="305"/>
      <c r="Z300" s="305"/>
    </row>
    <row r="301" spans="1:26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  <c r="Y301" s="305"/>
      <c r="Z301" s="305"/>
    </row>
    <row r="302" spans="1:26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  <c r="Y302" s="305"/>
      <c r="Z302" s="305"/>
    </row>
    <row r="303" spans="1:26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  <c r="Y303" s="305"/>
      <c r="Z303" s="305"/>
    </row>
    <row r="304" spans="1:26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  <c r="Y304" s="305"/>
      <c r="Z304" s="305"/>
    </row>
    <row r="305" spans="1:26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  <c r="Y305" s="305"/>
      <c r="Z305" s="305"/>
    </row>
    <row r="306" spans="1:26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</row>
    <row r="307" spans="1:26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  <c r="Y307" s="305"/>
      <c r="Z307" s="305"/>
    </row>
    <row r="308" spans="1:26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  <c r="Y308" s="305"/>
      <c r="Z308" s="305"/>
    </row>
    <row r="309" spans="1:26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  <c r="Y309" s="305"/>
      <c r="Z309" s="305"/>
    </row>
    <row r="310" spans="1:26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  <c r="Y310" s="305"/>
      <c r="Z310" s="305"/>
    </row>
    <row r="311" spans="1:26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  <c r="Y311" s="305"/>
      <c r="Z311" s="305"/>
    </row>
    <row r="312" spans="1:26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  <c r="Y312" s="305"/>
      <c r="Z312" s="305"/>
    </row>
    <row r="313" spans="1:26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</row>
    <row r="314" spans="1:26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</row>
    <row r="315" spans="1:26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</row>
    <row r="316" spans="1:26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</row>
    <row r="317" spans="1:26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</row>
    <row r="318" spans="1:26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</row>
    <row r="319" spans="1:26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</row>
    <row r="320" spans="1:26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</row>
    <row r="321" spans="1:26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</row>
    <row r="322" spans="1:26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</row>
    <row r="323" spans="1:26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</row>
    <row r="324" spans="1:26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Y324" s="305"/>
      <c r="Z324" s="305"/>
    </row>
    <row r="325" spans="1:26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  <c r="Y325" s="305"/>
      <c r="Z325" s="305"/>
    </row>
    <row r="326" spans="1:26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</row>
    <row r="327" spans="1:26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</row>
    <row r="328" spans="1:26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</row>
    <row r="329" spans="1:26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</row>
    <row r="330" spans="1:26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</row>
    <row r="331" spans="1:26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</row>
    <row r="332" spans="1:26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  <c r="Y332" s="305"/>
      <c r="Z332" s="305"/>
    </row>
    <row r="333" spans="1:26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  <c r="Y333" s="305"/>
      <c r="Z333" s="305"/>
    </row>
    <row r="334" spans="1:26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</row>
    <row r="335" spans="1:26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</row>
    <row r="336" spans="1:26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  <c r="Y336" s="305"/>
      <c r="Z336" s="305"/>
    </row>
    <row r="337" spans="1:26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  <c r="Y337" s="305"/>
      <c r="Z337" s="305"/>
    </row>
    <row r="338" spans="1:26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</row>
    <row r="339" spans="1:26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  <c r="Y339" s="305"/>
      <c r="Z339" s="305"/>
    </row>
    <row r="340" spans="1:26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  <c r="Y340" s="305"/>
      <c r="Z340" s="305"/>
    </row>
    <row r="341" spans="1:26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  <c r="Y341" s="305"/>
      <c r="Z341" s="305"/>
    </row>
    <row r="342" spans="1:26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  <c r="Y342" s="305"/>
      <c r="Z342" s="305"/>
    </row>
    <row r="343" spans="1:26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  <c r="Y343" s="305"/>
      <c r="Z343" s="305"/>
    </row>
    <row r="344" spans="1:26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  <c r="Y344" s="305"/>
      <c r="Z344" s="305"/>
    </row>
    <row r="345" spans="1:26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  <c r="Y345" s="305"/>
      <c r="Z345" s="305"/>
    </row>
    <row r="346" spans="1:26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  <c r="Y346" s="305"/>
      <c r="Z346" s="305"/>
    </row>
    <row r="347" spans="1:26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  <c r="Y347" s="305"/>
      <c r="Z347" s="305"/>
    </row>
    <row r="348" spans="1:26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  <c r="Y348" s="305"/>
      <c r="Z348" s="305"/>
    </row>
    <row r="349" spans="1:26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  <c r="Y349" s="305"/>
      <c r="Z349" s="305"/>
    </row>
    <row r="350" spans="1:26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  <c r="Y350" s="305"/>
      <c r="Z350" s="305"/>
    </row>
    <row r="351" spans="1:26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  <c r="Y351" s="305"/>
      <c r="Z351" s="305"/>
    </row>
    <row r="352" spans="1:26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  <c r="Y352" s="305"/>
      <c r="Z352" s="305"/>
    </row>
    <row r="353" spans="1:26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  <c r="Y353" s="305"/>
      <c r="Z353" s="305"/>
    </row>
    <row r="354" spans="1:26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  <c r="Y354" s="305"/>
      <c r="Z354" s="305"/>
    </row>
    <row r="355" spans="1:26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  <c r="Y355" s="305"/>
      <c r="Z355" s="305"/>
    </row>
    <row r="356" spans="1:26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  <c r="Y356" s="305"/>
      <c r="Z356" s="305"/>
    </row>
    <row r="357" spans="1:26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  <c r="Y357" s="305"/>
      <c r="Z357" s="305"/>
    </row>
    <row r="358" spans="1:26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  <c r="Y358" s="305"/>
      <c r="Z358" s="305"/>
    </row>
    <row r="359" spans="1:26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  <c r="Y359" s="305"/>
      <c r="Z359" s="305"/>
    </row>
    <row r="360" spans="1:26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  <c r="Y360" s="305"/>
      <c r="Z360" s="305"/>
    </row>
    <row r="361" spans="1:26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  <c r="Y361" s="305"/>
      <c r="Z361" s="305"/>
    </row>
    <row r="362" spans="1:26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  <c r="Y362" s="305"/>
      <c r="Z362" s="305"/>
    </row>
    <row r="363" spans="1:26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  <c r="Y363" s="305"/>
      <c r="Z363" s="305"/>
    </row>
    <row r="364" spans="1:26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  <c r="Y364" s="305"/>
      <c r="Z364" s="305"/>
    </row>
    <row r="365" spans="1:26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  <c r="Y365" s="305"/>
      <c r="Z365" s="305"/>
    </row>
    <row r="366" spans="1:26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  <c r="Y366" s="305"/>
      <c r="Z366" s="305"/>
    </row>
    <row r="367" spans="1:26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  <c r="Y367" s="305"/>
      <c r="Z367" s="305"/>
    </row>
    <row r="368" spans="1:26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  <c r="Y368" s="305"/>
      <c r="Z368" s="305"/>
    </row>
    <row r="369" spans="1:26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  <c r="Y369" s="305"/>
      <c r="Z369" s="305"/>
    </row>
    <row r="370" spans="1:26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  <c r="Y370" s="305"/>
      <c r="Z370" s="305"/>
    </row>
    <row r="371" spans="1:26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  <c r="Y371" s="305"/>
      <c r="Z371" s="305"/>
    </row>
    <row r="372" spans="1:26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  <c r="Y372" s="305"/>
      <c r="Z372" s="305"/>
    </row>
    <row r="373" spans="1:26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</row>
    <row r="374" spans="1:26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  <c r="Y374" s="305"/>
      <c r="Z374" s="305"/>
    </row>
    <row r="375" spans="1:26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  <c r="Y375" s="305"/>
      <c r="Z375" s="305"/>
    </row>
    <row r="376" spans="1:26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  <c r="Y376" s="305"/>
      <c r="Z376" s="305"/>
    </row>
    <row r="377" spans="1:26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  <c r="Y377" s="305"/>
      <c r="Z377" s="305"/>
    </row>
    <row r="378" spans="1:26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  <c r="Y378" s="305"/>
      <c r="Z378" s="305"/>
    </row>
    <row r="379" spans="1:26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  <c r="Y379" s="305"/>
      <c r="Z379" s="305"/>
    </row>
    <row r="380" spans="1:26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  <c r="Y380" s="305"/>
      <c r="Z380" s="305"/>
    </row>
    <row r="381" spans="1:26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  <c r="Y381" s="305"/>
      <c r="Z381" s="305"/>
    </row>
    <row r="382" spans="1:26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  <c r="Y382" s="305"/>
      <c r="Z382" s="305"/>
    </row>
    <row r="383" spans="1:26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  <c r="Y383" s="305"/>
      <c r="Z383" s="305"/>
    </row>
    <row r="384" spans="1:26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  <c r="Y384" s="305"/>
      <c r="Z384" s="305"/>
    </row>
    <row r="385" spans="1:26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  <c r="Y385" s="305"/>
      <c r="Z385" s="305"/>
    </row>
    <row r="386" spans="1:26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  <c r="Y386" s="305"/>
      <c r="Z386" s="305"/>
    </row>
    <row r="387" spans="1:26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  <c r="Y387" s="305"/>
      <c r="Z387" s="305"/>
    </row>
    <row r="388" spans="1:26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  <c r="Y388" s="305"/>
      <c r="Z388" s="305"/>
    </row>
    <row r="389" spans="1:26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  <c r="Y389" s="305"/>
      <c r="Z389" s="305"/>
    </row>
    <row r="390" spans="1:26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  <c r="Y390" s="305"/>
      <c r="Z390" s="305"/>
    </row>
    <row r="391" spans="1:26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  <c r="Y391" s="305"/>
      <c r="Z391" s="305"/>
    </row>
    <row r="392" spans="1:26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  <c r="Y392" s="305"/>
      <c r="Z392" s="305"/>
    </row>
    <row r="393" spans="1:26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  <c r="Y393" s="305"/>
      <c r="Z393" s="305"/>
    </row>
    <row r="394" spans="1:26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</row>
    <row r="395" spans="1:26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  <c r="Y395" s="305"/>
      <c r="Z395" s="305"/>
    </row>
    <row r="396" spans="1:26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  <c r="Y396" s="305"/>
      <c r="Z396" s="305"/>
    </row>
    <row r="397" spans="1:26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  <c r="Y397" s="305"/>
      <c r="Z397" s="305"/>
    </row>
    <row r="398" spans="1:26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  <c r="Y398" s="305"/>
      <c r="Z398" s="305"/>
    </row>
    <row r="399" spans="1:26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  <c r="Y399" s="305"/>
      <c r="Z399" s="305"/>
    </row>
    <row r="400" spans="1:26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  <c r="Y400" s="305"/>
      <c r="Z400" s="305"/>
    </row>
    <row r="401" spans="1:26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  <c r="Y401" s="305"/>
      <c r="Z401" s="305"/>
    </row>
    <row r="402" spans="1:26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  <c r="Y402" s="305"/>
      <c r="Z402" s="305"/>
    </row>
    <row r="403" spans="1:26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  <c r="Y403" s="305"/>
      <c r="Z403" s="305"/>
    </row>
    <row r="404" spans="1:26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  <c r="Y404" s="305"/>
      <c r="Z404" s="305"/>
    </row>
    <row r="405" spans="1:26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  <c r="Y405" s="305"/>
      <c r="Z405" s="305"/>
    </row>
    <row r="406" spans="1:26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  <c r="Y406" s="305"/>
      <c r="Z406" s="305"/>
    </row>
    <row r="407" spans="1:26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  <c r="Y407" s="305"/>
      <c r="Z407" s="305"/>
    </row>
    <row r="408" spans="1:26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  <c r="Y408" s="305"/>
      <c r="Z408" s="305"/>
    </row>
    <row r="409" spans="1:26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  <c r="Y409" s="305"/>
      <c r="Z409" s="305"/>
    </row>
    <row r="410" spans="1:26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  <c r="Y410" s="305"/>
      <c r="Z410" s="305"/>
    </row>
    <row r="411" spans="1:26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  <c r="Y411" s="305"/>
      <c r="Z411" s="305"/>
    </row>
    <row r="412" spans="1:26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  <c r="Y412" s="305"/>
      <c r="Z412" s="305"/>
    </row>
    <row r="413" spans="1:26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  <c r="Y413" s="305"/>
      <c r="Z413" s="305"/>
    </row>
    <row r="414" spans="1:26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  <c r="Y414" s="305"/>
      <c r="Z414" s="305"/>
    </row>
    <row r="415" spans="1:26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  <c r="Y415" s="305"/>
      <c r="Z415" s="305"/>
    </row>
    <row r="416" spans="1:26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  <c r="Y416" s="305"/>
      <c r="Z416" s="305"/>
    </row>
    <row r="417" spans="1:26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  <c r="Y417" s="305"/>
      <c r="Z417" s="305"/>
    </row>
    <row r="418" spans="1:26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  <c r="Y418" s="305"/>
      <c r="Z418" s="305"/>
    </row>
    <row r="419" spans="1:26" ht="15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  <c r="Y419" s="305"/>
      <c r="Z419" s="305"/>
    </row>
    <row r="420" spans="1:26" ht="15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  <c r="Y420" s="305"/>
      <c r="Z420" s="305"/>
    </row>
    <row r="421" spans="1:26" ht="15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  <c r="Y421" s="305"/>
      <c r="Z421" s="305"/>
    </row>
    <row r="422" spans="1:26" ht="15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  <c r="Y422" s="305"/>
      <c r="Z422" s="305"/>
    </row>
    <row r="423" spans="1:26" ht="15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  <c r="Y423" s="305"/>
      <c r="Z423" s="305"/>
    </row>
    <row r="424" spans="1:26" ht="15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  <c r="Y424" s="305"/>
      <c r="Z424" s="305"/>
    </row>
    <row r="425" spans="1:26" ht="15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  <c r="Y425" s="305"/>
      <c r="Z425" s="305"/>
    </row>
    <row r="426" spans="1:26" ht="15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  <c r="Y426" s="305"/>
      <c r="Z426" s="305"/>
    </row>
    <row r="427" spans="1:26" ht="15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  <c r="Y427" s="305"/>
      <c r="Z427" s="305"/>
    </row>
    <row r="428" spans="1:26" ht="15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  <c r="Y428" s="305"/>
      <c r="Z428" s="305"/>
    </row>
    <row r="429" spans="1:26" ht="15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  <c r="Y429" s="305"/>
      <c r="Z429" s="305"/>
    </row>
    <row r="430" spans="1:26" ht="15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  <c r="Y430" s="305"/>
      <c r="Z430" s="305"/>
    </row>
    <row r="431" spans="1:26" ht="15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  <c r="Y431" s="305"/>
      <c r="Z431" s="305"/>
    </row>
    <row r="432" spans="1:26" ht="15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  <c r="Y432" s="305"/>
      <c r="Z432" s="305"/>
    </row>
    <row r="433" spans="1:26" ht="15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  <c r="Y433" s="305"/>
      <c r="Z433" s="305"/>
    </row>
    <row r="434" spans="1:26" ht="15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  <c r="Y434" s="305"/>
      <c r="Z434" s="305"/>
    </row>
    <row r="435" spans="1:26" ht="15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  <c r="Y435" s="305"/>
      <c r="Z435" s="305"/>
    </row>
    <row r="436" spans="1:26" ht="15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  <c r="Y436" s="305"/>
      <c r="Z436" s="305"/>
    </row>
    <row r="437" spans="1:26" ht="15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  <c r="Y437" s="305"/>
      <c r="Z437" s="305"/>
    </row>
    <row r="438" spans="1:26" ht="15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  <c r="Y438" s="305"/>
      <c r="Z438" s="305"/>
    </row>
    <row r="439" spans="1:26" ht="15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  <c r="Y439" s="305"/>
      <c r="Z439" s="305"/>
    </row>
    <row r="440" spans="1:26" ht="15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  <c r="Y440" s="305"/>
      <c r="Z440" s="305"/>
    </row>
    <row r="441" spans="1:26" ht="15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  <c r="Y441" s="305"/>
      <c r="Z441" s="305"/>
    </row>
    <row r="442" spans="1:26" ht="15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  <c r="Y442" s="305"/>
      <c r="Z442" s="305"/>
    </row>
    <row r="443" spans="1:26" ht="15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  <c r="Y443" s="305"/>
      <c r="Z443" s="305"/>
    </row>
    <row r="444" spans="1:26" ht="15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  <c r="Y444" s="305"/>
      <c r="Z444" s="305"/>
    </row>
    <row r="445" spans="1:26" ht="15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  <c r="Y445" s="305"/>
      <c r="Z445" s="305"/>
    </row>
    <row r="446" spans="1:26" ht="15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  <c r="Y446" s="305"/>
      <c r="Z446" s="305"/>
    </row>
    <row r="447" spans="1:26" ht="15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  <c r="Y447" s="305"/>
      <c r="Z447" s="305"/>
    </row>
    <row r="448" spans="1:26" ht="15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  <c r="Y448" s="305"/>
      <c r="Z448" s="305"/>
    </row>
    <row r="449" spans="1:26" ht="15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  <c r="Y449" s="305"/>
      <c r="Z449" s="305"/>
    </row>
    <row r="450" spans="1:26" ht="15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  <c r="Y450" s="305"/>
      <c r="Z450" s="305"/>
    </row>
    <row r="451" spans="1:26" ht="15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  <c r="Y451" s="305"/>
      <c r="Z451" s="305"/>
    </row>
    <row r="452" spans="1:26" ht="15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  <c r="Y452" s="305"/>
      <c r="Z452" s="305"/>
    </row>
    <row r="453" spans="1:26" ht="15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  <c r="Y453" s="305"/>
      <c r="Z453" s="305"/>
    </row>
    <row r="454" spans="1:26" ht="15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  <c r="Y454" s="305"/>
      <c r="Z454" s="305"/>
    </row>
    <row r="455" spans="1:26" ht="15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  <c r="Y455" s="305"/>
      <c r="Z455" s="305"/>
    </row>
    <row r="456" spans="1:26" ht="15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  <c r="Y456" s="305"/>
      <c r="Z456" s="305"/>
    </row>
    <row r="457" spans="1:26" ht="15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  <c r="Y457" s="305"/>
      <c r="Z457" s="305"/>
    </row>
    <row r="458" spans="1:26" ht="15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  <c r="Y458" s="305"/>
      <c r="Z458" s="305"/>
    </row>
    <row r="459" spans="1:26" ht="15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  <c r="Y459" s="305"/>
      <c r="Z459" s="305"/>
    </row>
    <row r="460" spans="1:26" ht="15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  <c r="Y460" s="305"/>
      <c r="Z460" s="305"/>
    </row>
    <row r="461" spans="1:26" ht="15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  <c r="Y461" s="305"/>
      <c r="Z461" s="305"/>
    </row>
    <row r="462" spans="1:26" ht="15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  <c r="Y462" s="305"/>
      <c r="Z462" s="305"/>
    </row>
    <row r="463" spans="1:26" ht="15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  <c r="Y463" s="305"/>
      <c r="Z463" s="305"/>
    </row>
    <row r="464" spans="1:26" ht="15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  <c r="Y464" s="305"/>
      <c r="Z464" s="305"/>
    </row>
    <row r="465" spans="1:26" ht="15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  <c r="Y465" s="305"/>
      <c r="Z465" s="305"/>
    </row>
    <row r="466" spans="1:26" ht="15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  <c r="Y466" s="305"/>
      <c r="Z466" s="305"/>
    </row>
    <row r="467" spans="1:26" ht="15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  <c r="Z467" s="305"/>
    </row>
    <row r="468" spans="1:26" ht="15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  <c r="Y468" s="305"/>
      <c r="Z468" s="305"/>
    </row>
    <row r="469" spans="1:26" ht="15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  <c r="Y469" s="305"/>
      <c r="Z469" s="305"/>
    </row>
    <row r="470" spans="1:26" ht="15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  <c r="Y470" s="305"/>
      <c r="Z470" s="305"/>
    </row>
    <row r="471" spans="1:26" ht="15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  <c r="Y471" s="305"/>
      <c r="Z471" s="305"/>
    </row>
    <row r="472" spans="1:26" ht="15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  <c r="Y472" s="305"/>
      <c r="Z472" s="305"/>
    </row>
    <row r="473" spans="1:26" ht="15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  <c r="Y473" s="305"/>
      <c r="Z473" s="305"/>
    </row>
    <row r="474" spans="1:26" ht="15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  <c r="Y474" s="305"/>
      <c r="Z474" s="305"/>
    </row>
    <row r="475" spans="1:26" ht="15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  <c r="Y475" s="305"/>
      <c r="Z475" s="305"/>
    </row>
    <row r="476" spans="1:26" ht="15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  <c r="Y476" s="305"/>
      <c r="Z476" s="305"/>
    </row>
    <row r="477" spans="1:26" ht="15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  <c r="Y477" s="305"/>
      <c r="Z477" s="305"/>
    </row>
    <row r="478" spans="1:26" ht="15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  <c r="Y478" s="305"/>
      <c r="Z478" s="305"/>
    </row>
    <row r="479" spans="1:26" ht="15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  <c r="Y479" s="305"/>
      <c r="Z479" s="305"/>
    </row>
    <row r="480" spans="1:26" ht="15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  <c r="Y480" s="305"/>
      <c r="Z480" s="305"/>
    </row>
    <row r="481" spans="1:26" ht="15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  <c r="Y481" s="305"/>
      <c r="Z481" s="305"/>
    </row>
    <row r="482" spans="1:26" ht="15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  <c r="Y482" s="305"/>
      <c r="Z482" s="305"/>
    </row>
    <row r="483" spans="1:26" ht="15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  <c r="Y483" s="305"/>
      <c r="Z483" s="305"/>
    </row>
    <row r="484" spans="1:26" ht="15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  <c r="Y484" s="305"/>
      <c r="Z484" s="305"/>
    </row>
    <row r="485" spans="1:26" ht="15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  <c r="Y485" s="305"/>
      <c r="Z485" s="305"/>
    </row>
    <row r="486" spans="1:26" ht="15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  <c r="Y486" s="305"/>
      <c r="Z486" s="305"/>
    </row>
    <row r="487" spans="1:26" ht="15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  <c r="Y487" s="305"/>
      <c r="Z487" s="305"/>
    </row>
    <row r="488" spans="1:26" ht="15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  <c r="Y488" s="305"/>
      <c r="Z488" s="305"/>
    </row>
    <row r="489" spans="1:26" ht="15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  <c r="Y489" s="305"/>
      <c r="Z489" s="305"/>
    </row>
    <row r="490" spans="1:26" ht="15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  <c r="Y490" s="305"/>
      <c r="Z490" s="305"/>
    </row>
    <row r="491" spans="1:26" ht="15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  <c r="Y491" s="305"/>
      <c r="Z491" s="305"/>
    </row>
    <row r="492" spans="1:26" ht="15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  <c r="Y492" s="305"/>
      <c r="Z492" s="305"/>
    </row>
    <row r="493" spans="1:26" ht="15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  <c r="Y493" s="305"/>
      <c r="Z493" s="305"/>
    </row>
    <row r="494" spans="1:26" ht="15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  <c r="Y494" s="305"/>
      <c r="Z494" s="305"/>
    </row>
    <row r="495" spans="1:26" ht="15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  <c r="Y495" s="305"/>
      <c r="Z495" s="305"/>
    </row>
    <row r="496" spans="1:26" ht="15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  <c r="Y496" s="305"/>
      <c r="Z496" s="305"/>
    </row>
    <row r="497" spans="1:26" ht="15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  <c r="Y497" s="305"/>
      <c r="Z497" s="305"/>
    </row>
    <row r="498" spans="1:26" ht="15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  <c r="Y498" s="305"/>
      <c r="Z498" s="305"/>
    </row>
    <row r="499" spans="1:26" ht="15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  <c r="Y499" s="305"/>
      <c r="Z499" s="305"/>
    </row>
    <row r="500" spans="1:26" ht="15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  <c r="Y500" s="305"/>
      <c r="Z500" s="305"/>
    </row>
    <row r="501" spans="1:26" ht="15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  <c r="Y501" s="305"/>
      <c r="Z501" s="305"/>
    </row>
    <row r="502" spans="1:26" ht="15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  <c r="Y502" s="305"/>
      <c r="Z502" s="305"/>
    </row>
    <row r="503" spans="1:26" ht="15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  <c r="Y503" s="305"/>
      <c r="Z503" s="305"/>
    </row>
    <row r="504" spans="1:26" ht="15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  <c r="Y504" s="305"/>
      <c r="Z504" s="305"/>
    </row>
    <row r="505" spans="1:26" ht="15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  <c r="Y505" s="305"/>
      <c r="Z505" s="305"/>
    </row>
    <row r="506" spans="1:26" ht="15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  <c r="Y506" s="305"/>
      <c r="Z506" s="305"/>
    </row>
    <row r="507" spans="1:26" ht="15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  <c r="Y507" s="305"/>
      <c r="Z507" s="305"/>
    </row>
    <row r="508" spans="1:26" ht="15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  <c r="Y508" s="305"/>
      <c r="Z508" s="305"/>
    </row>
    <row r="509" spans="1:26" ht="15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  <c r="Y509" s="305"/>
      <c r="Z509" s="305"/>
    </row>
    <row r="510" spans="1:26" ht="15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  <c r="Y510" s="305"/>
      <c r="Z510" s="305"/>
    </row>
    <row r="511" spans="1:26" ht="15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  <c r="Y511" s="305"/>
      <c r="Z511" s="305"/>
    </row>
    <row r="512" spans="1:26" ht="15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  <c r="Y512" s="305"/>
      <c r="Z512" s="305"/>
    </row>
    <row r="513" spans="1:26" ht="15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  <c r="Y513" s="305"/>
      <c r="Z513" s="305"/>
    </row>
    <row r="514" spans="1:26" ht="15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  <c r="Y514" s="305"/>
      <c r="Z514" s="305"/>
    </row>
    <row r="515" spans="1:26" ht="15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  <c r="Y515" s="305"/>
      <c r="Z515" s="305"/>
    </row>
    <row r="516" spans="1:26" ht="15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  <c r="Y516" s="305"/>
      <c r="Z516" s="305"/>
    </row>
    <row r="517" spans="1:26" ht="15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  <c r="Y517" s="305"/>
      <c r="Z517" s="305"/>
    </row>
    <row r="518" spans="1:26" ht="15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  <c r="Y518" s="305"/>
      <c r="Z518" s="305"/>
    </row>
    <row r="519" spans="1:26" ht="15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  <c r="Y519" s="305"/>
      <c r="Z519" s="305"/>
    </row>
    <row r="520" spans="1:26" ht="15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  <c r="Y520" s="305"/>
      <c r="Z520" s="305"/>
    </row>
    <row r="521" spans="1:26" ht="15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  <c r="Y521" s="305"/>
      <c r="Z521" s="305"/>
    </row>
    <row r="522" spans="1:26" ht="15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  <c r="Y522" s="305"/>
      <c r="Z522" s="305"/>
    </row>
    <row r="523" spans="1:26" ht="15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</row>
    <row r="524" spans="1:26" ht="15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  <c r="Y524" s="305"/>
      <c r="Z524" s="305"/>
    </row>
    <row r="525" spans="1:26" ht="15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  <c r="Y525" s="305"/>
      <c r="Z525" s="305"/>
    </row>
    <row r="526" spans="1:26" ht="15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  <c r="Y526" s="305"/>
      <c r="Z526" s="305"/>
    </row>
    <row r="527" spans="1:26" ht="15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  <c r="Y527" s="305"/>
      <c r="Z527" s="305"/>
    </row>
    <row r="528" spans="1:26" ht="15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  <c r="Y528" s="305"/>
      <c r="Z528" s="305"/>
    </row>
    <row r="529" spans="1:26" ht="15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  <c r="Y529" s="305"/>
      <c r="Z529" s="305"/>
    </row>
    <row r="530" spans="1:26" ht="15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  <c r="Y530" s="305"/>
      <c r="Z530" s="305"/>
    </row>
    <row r="531" spans="1:26" ht="15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  <c r="Y531" s="305"/>
      <c r="Z531" s="305"/>
    </row>
    <row r="532" spans="1:26" ht="15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  <c r="Y532" s="305"/>
      <c r="Z532" s="305"/>
    </row>
    <row r="533" spans="1:26" ht="15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  <c r="Y533" s="305"/>
      <c r="Z533" s="305"/>
    </row>
    <row r="534" spans="1:26" ht="15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  <c r="Y534" s="305"/>
      <c r="Z534" s="305"/>
    </row>
    <row r="535" spans="1:26" ht="15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  <c r="Y535" s="305"/>
      <c r="Z535" s="305"/>
    </row>
    <row r="536" spans="1:26" ht="15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  <c r="Y536" s="305"/>
      <c r="Z536" s="305"/>
    </row>
    <row r="537" spans="1:26" ht="15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  <c r="Y537" s="305"/>
      <c r="Z537" s="305"/>
    </row>
    <row r="538" spans="1:26" ht="15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  <c r="Y538" s="305"/>
      <c r="Z538" s="305"/>
    </row>
    <row r="539" spans="1:26" ht="15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  <c r="Y539" s="305"/>
      <c r="Z539" s="305"/>
    </row>
    <row r="540" spans="1:26" ht="15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  <c r="Y540" s="305"/>
      <c r="Z540" s="305"/>
    </row>
    <row r="541" spans="1:26" ht="15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  <c r="Y541" s="305"/>
      <c r="Z541" s="305"/>
    </row>
    <row r="542" spans="1:26" ht="15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  <c r="Y542" s="305"/>
      <c r="Z542" s="305"/>
    </row>
    <row r="543" spans="1:26" ht="15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</row>
    <row r="544" spans="1:26" ht="15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</row>
    <row r="545" spans="1:26" ht="15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  <c r="Y545" s="305"/>
      <c r="Z545" s="305"/>
    </row>
    <row r="546" spans="1:26" ht="15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  <c r="Y546" s="305"/>
      <c r="Z546" s="305"/>
    </row>
    <row r="547" spans="1:26" ht="15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  <c r="Y547" s="305"/>
      <c r="Z547" s="305"/>
    </row>
    <row r="548" spans="1:26" ht="15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</row>
    <row r="549" spans="1:26" ht="15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  <c r="Y549" s="305"/>
      <c r="Z549" s="305"/>
    </row>
    <row r="550" spans="1:26" ht="15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  <c r="Y550" s="305"/>
      <c r="Z550" s="305"/>
    </row>
    <row r="551" spans="1:26" ht="15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  <c r="Y551" s="305"/>
      <c r="Z551" s="305"/>
    </row>
    <row r="552" spans="1:26" ht="15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  <c r="Y552" s="305"/>
      <c r="Z552" s="305"/>
    </row>
    <row r="553" spans="1:26" ht="15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  <c r="Y553" s="305"/>
      <c r="Z553" s="305"/>
    </row>
    <row r="554" spans="1:26" ht="15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  <c r="Y554" s="305"/>
      <c r="Z554" s="305"/>
    </row>
    <row r="555" spans="1:26" ht="15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  <c r="Y555" s="305"/>
      <c r="Z555" s="305"/>
    </row>
    <row r="556" spans="1:26" ht="15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  <c r="Y556" s="305"/>
      <c r="Z556" s="305"/>
    </row>
    <row r="557" spans="1:26" ht="15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  <c r="Y557" s="305"/>
      <c r="Z557" s="305"/>
    </row>
    <row r="558" spans="1:26" ht="15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  <c r="Y558" s="305"/>
      <c r="Z558" s="305"/>
    </row>
    <row r="559" spans="1:26" ht="15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  <c r="Y559" s="305"/>
      <c r="Z559" s="305"/>
    </row>
    <row r="560" spans="1:26" ht="15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</row>
    <row r="561" spans="1:26" ht="15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  <c r="Y561" s="305"/>
      <c r="Z561" s="305"/>
    </row>
    <row r="562" spans="1:26" ht="15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  <c r="Y562" s="305"/>
      <c r="Z562" s="305"/>
    </row>
    <row r="563" spans="1:26" ht="15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  <c r="Y563" s="305"/>
      <c r="Z563" s="305"/>
    </row>
    <row r="564" spans="1:26" ht="15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  <c r="Y564" s="305"/>
      <c r="Z564" s="305"/>
    </row>
    <row r="565" spans="1:26" ht="15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  <c r="Y565" s="305"/>
      <c r="Z565" s="305"/>
    </row>
    <row r="566" spans="1:26" ht="15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  <c r="Y566" s="305"/>
      <c r="Z566" s="305"/>
    </row>
    <row r="567" spans="1:26" ht="15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  <c r="Y567" s="305"/>
      <c r="Z567" s="305"/>
    </row>
    <row r="568" spans="1:26" ht="15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  <c r="Y568" s="305"/>
      <c r="Z568" s="305"/>
    </row>
    <row r="569" spans="1:26" ht="15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  <c r="Y569" s="305"/>
      <c r="Z569" s="305"/>
    </row>
    <row r="570" spans="1:26" ht="15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  <c r="Y570" s="305"/>
      <c r="Z570" s="305"/>
    </row>
    <row r="571" spans="1:26" ht="15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  <c r="Y571" s="305"/>
      <c r="Z571" s="305"/>
    </row>
    <row r="572" spans="1:26" ht="15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  <c r="Y572" s="305"/>
      <c r="Z572" s="305"/>
    </row>
    <row r="573" spans="1:26" ht="15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  <c r="Y573" s="305"/>
      <c r="Z573" s="305"/>
    </row>
    <row r="574" spans="1:26" ht="15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  <c r="Y574" s="305"/>
      <c r="Z574" s="305"/>
    </row>
    <row r="575" spans="1:26" ht="15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  <c r="Y575" s="305"/>
      <c r="Z575" s="305"/>
    </row>
    <row r="576" spans="1:26" ht="15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  <c r="Y576" s="305"/>
      <c r="Z576" s="305"/>
    </row>
    <row r="577" spans="1:26" ht="15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</row>
    <row r="578" spans="1:26" ht="15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</row>
    <row r="579" spans="1:26" ht="15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  <c r="Y579" s="305"/>
      <c r="Z579" s="305"/>
    </row>
    <row r="580" spans="1:26" ht="15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  <c r="Y580" s="305"/>
      <c r="Z580" s="305"/>
    </row>
    <row r="581" spans="1:26" ht="15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  <c r="Y581" s="305"/>
      <c r="Z581" s="305"/>
    </row>
    <row r="582" spans="1:26" ht="15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  <c r="Y582" s="305"/>
      <c r="Z582" s="305"/>
    </row>
    <row r="583" spans="1:26" ht="15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  <c r="Y583" s="305"/>
      <c r="Z583" s="305"/>
    </row>
    <row r="584" spans="1:26" ht="15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  <c r="Y584" s="305"/>
      <c r="Z584" s="305"/>
    </row>
    <row r="585" spans="1:26" ht="15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  <c r="Y585" s="305"/>
      <c r="Z585" s="305"/>
    </row>
    <row r="586" spans="1:26" ht="15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  <c r="Y586" s="305"/>
      <c r="Z586" s="305"/>
    </row>
    <row r="587" spans="1:26" ht="15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  <c r="Y587" s="305"/>
      <c r="Z587" s="305"/>
    </row>
    <row r="588" spans="1:26" ht="15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  <c r="Y588" s="305"/>
      <c r="Z588" s="305"/>
    </row>
    <row r="589" spans="1:26" ht="15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  <c r="Y589" s="305"/>
      <c r="Z589" s="305"/>
    </row>
    <row r="590" spans="1:26" ht="15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  <c r="Y590" s="305"/>
      <c r="Z590" s="305"/>
    </row>
    <row r="591" spans="1:26" ht="15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  <c r="Y591" s="305"/>
      <c r="Z591" s="305"/>
    </row>
    <row r="592" spans="1:26" ht="15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  <c r="Y592" s="305"/>
      <c r="Z592" s="305"/>
    </row>
    <row r="593" spans="1:26" ht="15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  <c r="Y593" s="305"/>
      <c r="Z593" s="305"/>
    </row>
    <row r="594" spans="1:26" ht="15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  <c r="Y594" s="305"/>
      <c r="Z594" s="305"/>
    </row>
    <row r="595" spans="1:26" ht="15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  <c r="Y595" s="305"/>
      <c r="Z595" s="305"/>
    </row>
    <row r="596" spans="1:26" ht="15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  <c r="Y596" s="305"/>
      <c r="Z596" s="305"/>
    </row>
    <row r="597" spans="1:26" ht="15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  <c r="Y597" s="305"/>
      <c r="Z597" s="305"/>
    </row>
    <row r="598" spans="1:26" ht="15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  <c r="Y598" s="305"/>
      <c r="Z598" s="305"/>
    </row>
    <row r="599" spans="1:26" ht="15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  <c r="Y599" s="305"/>
      <c r="Z599" s="305"/>
    </row>
    <row r="600" spans="1:26" ht="15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  <c r="Y600" s="305"/>
      <c r="Z600" s="305"/>
    </row>
    <row r="601" spans="1:26" ht="15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  <c r="Y601" s="305"/>
      <c r="Z601" s="305"/>
    </row>
    <row r="602" spans="1:26" ht="15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</row>
    <row r="603" spans="1:26" ht="15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  <c r="Y603" s="305"/>
      <c r="Z603" s="305"/>
    </row>
    <row r="604" spans="1:26" ht="15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  <c r="Y604" s="305"/>
      <c r="Z604" s="305"/>
    </row>
    <row r="605" spans="1:26" ht="15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</row>
    <row r="606" spans="1:26" ht="15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  <c r="Y606" s="305"/>
      <c r="Z606" s="305"/>
    </row>
    <row r="607" spans="1:26" ht="15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  <c r="Y607" s="305"/>
      <c r="Z607" s="305"/>
    </row>
    <row r="608" spans="1:26" ht="15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  <c r="Y608" s="305"/>
      <c r="Z608" s="305"/>
    </row>
    <row r="609" spans="1:26" ht="15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  <c r="Y609" s="305"/>
      <c r="Z609" s="305"/>
    </row>
    <row r="610" spans="1:26" ht="15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  <c r="Y610" s="305"/>
      <c r="Z610" s="305"/>
    </row>
    <row r="611" spans="1:26" ht="15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  <c r="Y611" s="305"/>
      <c r="Z611" s="305"/>
    </row>
    <row r="612" spans="1:26" ht="15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  <c r="Y612" s="305"/>
      <c r="Z612" s="305"/>
    </row>
    <row r="613" spans="1:26" ht="15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  <c r="Y613" s="305"/>
      <c r="Z613" s="305"/>
    </row>
    <row r="614" spans="1:26" ht="15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  <c r="Y614" s="305"/>
      <c r="Z614" s="305"/>
    </row>
    <row r="615" spans="1:26" ht="15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  <c r="Y615" s="305"/>
      <c r="Z615" s="305"/>
    </row>
    <row r="616" spans="1:26" ht="15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  <c r="Y616" s="305"/>
      <c r="Z616" s="305"/>
    </row>
    <row r="617" spans="1:26" ht="15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  <c r="Y617" s="305"/>
      <c r="Z617" s="305"/>
    </row>
    <row r="618" spans="1:26" ht="15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  <c r="Y618" s="305"/>
      <c r="Z618" s="305"/>
    </row>
    <row r="619" spans="1:26" ht="15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  <c r="Y619" s="305"/>
      <c r="Z619" s="305"/>
    </row>
    <row r="620" spans="1:26" ht="15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  <c r="Y620" s="305"/>
      <c r="Z620" s="305"/>
    </row>
    <row r="621" spans="1:26" ht="15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  <c r="Y621" s="305"/>
      <c r="Z621" s="305"/>
    </row>
    <row r="622" spans="1:26" ht="15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  <c r="Y622" s="305"/>
      <c r="Z622" s="305"/>
    </row>
    <row r="623" spans="1:26" ht="15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  <c r="Y623" s="305"/>
      <c r="Z623" s="305"/>
    </row>
    <row r="624" spans="1:26" ht="15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  <c r="Y624" s="305"/>
      <c r="Z624" s="305"/>
    </row>
    <row r="625" spans="1:26" ht="15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  <c r="Y625" s="305"/>
      <c r="Z625" s="305"/>
    </row>
    <row r="626" spans="1:26" ht="15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  <c r="Y626" s="305"/>
      <c r="Z626" s="305"/>
    </row>
    <row r="627" spans="1:26" ht="15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  <c r="Y627" s="305"/>
      <c r="Z627" s="305"/>
    </row>
    <row r="628" spans="1:26" ht="15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  <c r="Y628" s="305"/>
      <c r="Z628" s="305"/>
    </row>
    <row r="629" spans="1:26" ht="15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  <c r="Y629" s="305"/>
      <c r="Z629" s="305"/>
    </row>
    <row r="630" spans="1:26" ht="15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  <c r="Y630" s="305"/>
      <c r="Z630" s="305"/>
    </row>
    <row r="631" spans="1:26" ht="15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  <c r="Y631" s="305"/>
      <c r="Z631" s="305"/>
    </row>
    <row r="632" spans="1:26" ht="15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  <c r="Y632" s="305"/>
      <c r="Z632" s="305"/>
    </row>
    <row r="633" spans="1:26" ht="15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  <c r="Y633" s="305"/>
      <c r="Z633" s="305"/>
    </row>
    <row r="634" spans="1:26" ht="15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  <c r="Y634" s="305"/>
      <c r="Z634" s="305"/>
    </row>
    <row r="635" spans="1:26" ht="15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  <c r="Y635" s="305"/>
      <c r="Z635" s="305"/>
    </row>
    <row r="636" spans="1:26" ht="15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  <c r="Y636" s="305"/>
      <c r="Z636" s="305"/>
    </row>
    <row r="637" spans="1:26" ht="15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  <c r="Y637" s="305"/>
      <c r="Z637" s="305"/>
    </row>
    <row r="638" spans="1:26" ht="15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  <c r="Y638" s="305"/>
      <c r="Z638" s="305"/>
    </row>
    <row r="639" spans="1:26" ht="15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  <c r="Y639" s="305"/>
      <c r="Z639" s="305"/>
    </row>
    <row r="640" spans="1:26" ht="15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  <c r="Y640" s="305"/>
      <c r="Z640" s="305"/>
    </row>
    <row r="641" spans="1:26" ht="15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</row>
    <row r="642" spans="1:26" ht="15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  <c r="Y642" s="305"/>
      <c r="Z642" s="305"/>
    </row>
    <row r="643" spans="1:26" ht="15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  <c r="Y643" s="305"/>
      <c r="Z643" s="305"/>
    </row>
    <row r="644" spans="1:26" ht="15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  <c r="Y644" s="305"/>
      <c r="Z644" s="305"/>
    </row>
    <row r="645" spans="1:26" ht="15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  <c r="Y645" s="305"/>
      <c r="Z645" s="305"/>
    </row>
    <row r="646" spans="1:26" ht="15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  <c r="Y646" s="305"/>
      <c r="Z646" s="305"/>
    </row>
    <row r="647" spans="1:26" ht="15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  <c r="Y647" s="305"/>
      <c r="Z647" s="305"/>
    </row>
    <row r="648" spans="1:26" ht="15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  <c r="Y648" s="305"/>
      <c r="Z648" s="305"/>
    </row>
    <row r="649" spans="1:26" ht="15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</row>
    <row r="650" spans="1:26" ht="15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</row>
    <row r="651" spans="1:26" ht="15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</row>
    <row r="652" spans="1:26" ht="15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</row>
    <row r="653" spans="1:26" ht="15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</row>
    <row r="654" spans="1:26" ht="15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</row>
    <row r="655" spans="1:26" ht="15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</row>
    <row r="656" spans="1:26" ht="15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</row>
    <row r="657" spans="1:26" ht="15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</row>
    <row r="658" spans="1:26" ht="15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</row>
    <row r="659" spans="1:26" ht="15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</row>
    <row r="660" spans="1:26" ht="15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</row>
    <row r="661" spans="1:26" ht="15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</row>
    <row r="662" spans="1:26" ht="15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</row>
    <row r="663" spans="1:26" ht="15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</row>
    <row r="664" spans="1:26" ht="15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  <c r="Y664" s="305"/>
      <c r="Z664" s="305"/>
    </row>
    <row r="665" spans="1:26" ht="15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  <c r="Y665" s="305"/>
      <c r="Z665" s="305"/>
    </row>
    <row r="666" spans="1:26" ht="15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  <c r="Y666" s="305"/>
      <c r="Z666" s="305"/>
    </row>
    <row r="667" spans="1:26" ht="15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</row>
    <row r="668" spans="1:26" ht="15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  <c r="Y668" s="305"/>
      <c r="Z668" s="305"/>
    </row>
    <row r="669" spans="1:26" ht="15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  <c r="Y669" s="305"/>
      <c r="Z669" s="305"/>
    </row>
    <row r="670" spans="1:26" ht="15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</row>
    <row r="671" spans="1:26" ht="15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</row>
    <row r="672" spans="1:26" ht="15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  <c r="Y672" s="305"/>
      <c r="Z672" s="305"/>
    </row>
    <row r="673" spans="1:26" ht="15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  <c r="Y673" s="305"/>
      <c r="Z673" s="305"/>
    </row>
    <row r="674" spans="1:26" ht="15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  <c r="Y674" s="305"/>
      <c r="Z674" s="305"/>
    </row>
    <row r="675" spans="1:26" ht="15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  <c r="Y675" s="305"/>
      <c r="Z675" s="305"/>
    </row>
    <row r="676" spans="1:26" ht="15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  <c r="Y676" s="305"/>
      <c r="Z676" s="305"/>
    </row>
    <row r="677" spans="1:26" ht="15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  <c r="Y677" s="305"/>
      <c r="Z677" s="305"/>
    </row>
    <row r="678" spans="1:26" ht="15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  <c r="Y678" s="305"/>
      <c r="Z678" s="305"/>
    </row>
    <row r="679" spans="1:26" ht="15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  <c r="Y679" s="305"/>
      <c r="Z679" s="305"/>
    </row>
    <row r="680" spans="1:26" ht="15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  <c r="Y680" s="305"/>
      <c r="Z680" s="305"/>
    </row>
    <row r="681" spans="1:26" ht="15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  <c r="Y681" s="305"/>
      <c r="Z681" s="305"/>
    </row>
    <row r="682" spans="1:26" ht="15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  <c r="Y682" s="305"/>
      <c r="Z682" s="305"/>
    </row>
    <row r="683" spans="1:26" ht="15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  <c r="Y683" s="305"/>
      <c r="Z683" s="305"/>
    </row>
    <row r="684" spans="1:26" ht="15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  <c r="Y684" s="305"/>
      <c r="Z684" s="305"/>
    </row>
    <row r="685" spans="1:26" ht="15.75" customHeight="1">
      <c r="A685" s="305"/>
      <c r="B685" s="305"/>
      <c r="C685" s="305"/>
      <c r="D685" s="305"/>
      <c r="E685" s="305"/>
      <c r="F685" s="305"/>
      <c r="G685" s="305"/>
      <c r="H685" s="305"/>
      <c r="I685" s="305"/>
      <c r="J685" s="305"/>
      <c r="K685" s="305"/>
      <c r="L685" s="305"/>
      <c r="M685" s="305"/>
      <c r="N685" s="305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  <c r="Y685" s="305"/>
      <c r="Z685" s="305"/>
    </row>
    <row r="686" spans="1:26" ht="15.75" customHeight="1">
      <c r="A686" s="305"/>
      <c r="B686" s="305"/>
      <c r="C686" s="305"/>
      <c r="D686" s="305"/>
      <c r="E686" s="305"/>
      <c r="F686" s="305"/>
      <c r="G686" s="305"/>
      <c r="H686" s="305"/>
      <c r="I686" s="305"/>
      <c r="J686" s="305"/>
      <c r="K686" s="305"/>
      <c r="L686" s="305"/>
      <c r="M686" s="305"/>
      <c r="N686" s="305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  <c r="Y686" s="305"/>
      <c r="Z686" s="305"/>
    </row>
    <row r="687" spans="1:26" ht="15.75" customHeight="1">
      <c r="A687" s="305"/>
      <c r="B687" s="305"/>
      <c r="C687" s="305"/>
      <c r="D687" s="305"/>
      <c r="E687" s="305"/>
      <c r="F687" s="305"/>
      <c r="G687" s="305"/>
      <c r="H687" s="305"/>
      <c r="I687" s="305"/>
      <c r="J687" s="305"/>
      <c r="K687" s="305"/>
      <c r="L687" s="305"/>
      <c r="M687" s="305"/>
      <c r="N687" s="305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  <c r="Y687" s="305"/>
      <c r="Z687" s="305"/>
    </row>
    <row r="688" spans="1:26" ht="15.75" customHeight="1">
      <c r="A688" s="305"/>
      <c r="B688" s="305"/>
      <c r="C688" s="305"/>
      <c r="D688" s="305"/>
      <c r="E688" s="305"/>
      <c r="F688" s="305"/>
      <c r="G688" s="305"/>
      <c r="H688" s="305"/>
      <c r="I688" s="305"/>
      <c r="J688" s="305"/>
      <c r="K688" s="305"/>
      <c r="L688" s="305"/>
      <c r="M688" s="305"/>
      <c r="N688" s="305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  <c r="Y688" s="305"/>
      <c r="Z688" s="305"/>
    </row>
    <row r="689" spans="1:26" ht="15.75" customHeight="1">
      <c r="A689" s="305"/>
      <c r="B689" s="305"/>
      <c r="C689" s="305"/>
      <c r="D689" s="305"/>
      <c r="E689" s="305"/>
      <c r="F689" s="305"/>
      <c r="G689" s="305"/>
      <c r="H689" s="305"/>
      <c r="I689" s="305"/>
      <c r="J689" s="305"/>
      <c r="K689" s="305"/>
      <c r="L689" s="305"/>
      <c r="M689" s="305"/>
      <c r="N689" s="305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  <c r="Y689" s="305"/>
      <c r="Z689" s="305"/>
    </row>
    <row r="690" spans="1:26" ht="15.75" customHeight="1">
      <c r="A690" s="305"/>
      <c r="B690" s="305"/>
      <c r="C690" s="305"/>
      <c r="D690" s="305"/>
      <c r="E690" s="305"/>
      <c r="F690" s="305"/>
      <c r="G690" s="305"/>
      <c r="H690" s="305"/>
      <c r="I690" s="305"/>
      <c r="J690" s="305"/>
      <c r="K690" s="305"/>
      <c r="L690" s="305"/>
      <c r="M690" s="305"/>
      <c r="N690" s="305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  <c r="Y690" s="305"/>
      <c r="Z690" s="305"/>
    </row>
    <row r="691" spans="1:26" ht="15.75" customHeight="1">
      <c r="A691" s="305"/>
      <c r="B691" s="305"/>
      <c r="C691" s="305"/>
      <c r="D691" s="305"/>
      <c r="E691" s="305"/>
      <c r="F691" s="305"/>
      <c r="G691" s="305"/>
      <c r="H691" s="305"/>
      <c r="I691" s="305"/>
      <c r="J691" s="305"/>
      <c r="K691" s="305"/>
      <c r="L691" s="305"/>
      <c r="M691" s="305"/>
      <c r="N691" s="305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  <c r="Y691" s="305"/>
      <c r="Z691" s="305"/>
    </row>
    <row r="692" spans="1:26" ht="15.75" customHeight="1">
      <c r="A692" s="305"/>
      <c r="B692" s="305"/>
      <c r="C692" s="305"/>
      <c r="D692" s="305"/>
      <c r="E692" s="305"/>
      <c r="F692" s="305"/>
      <c r="G692" s="305"/>
      <c r="H692" s="305"/>
      <c r="I692" s="305"/>
      <c r="J692" s="305"/>
      <c r="K692" s="305"/>
      <c r="L692" s="305"/>
      <c r="M692" s="305"/>
      <c r="N692" s="305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  <c r="Y692" s="305"/>
      <c r="Z692" s="305"/>
    </row>
    <row r="693" spans="1:26" ht="15.75" customHeight="1">
      <c r="A693" s="305"/>
      <c r="B693" s="305"/>
      <c r="C693" s="305"/>
      <c r="D693" s="305"/>
      <c r="E693" s="305"/>
      <c r="F693" s="305"/>
      <c r="G693" s="305"/>
      <c r="H693" s="305"/>
      <c r="I693" s="305"/>
      <c r="J693" s="305"/>
      <c r="K693" s="305"/>
      <c r="L693" s="305"/>
      <c r="M693" s="305"/>
      <c r="N693" s="305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  <c r="Y693" s="305"/>
      <c r="Z693" s="305"/>
    </row>
    <row r="694" spans="1:26" ht="15.75" customHeight="1">
      <c r="A694" s="305"/>
      <c r="B694" s="305"/>
      <c r="C694" s="305"/>
      <c r="D694" s="305"/>
      <c r="E694" s="305"/>
      <c r="F694" s="305"/>
      <c r="G694" s="305"/>
      <c r="H694" s="305"/>
      <c r="I694" s="305"/>
      <c r="J694" s="305"/>
      <c r="K694" s="305"/>
      <c r="L694" s="305"/>
      <c r="M694" s="305"/>
      <c r="N694" s="305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  <c r="Y694" s="305"/>
      <c r="Z694" s="305"/>
    </row>
    <row r="695" spans="1:26" ht="15.75" customHeight="1">
      <c r="A695" s="305"/>
      <c r="B695" s="305"/>
      <c r="C695" s="305"/>
      <c r="D695" s="305"/>
      <c r="E695" s="305"/>
      <c r="F695" s="305"/>
      <c r="G695" s="305"/>
      <c r="H695" s="305"/>
      <c r="I695" s="305"/>
      <c r="J695" s="305"/>
      <c r="K695" s="305"/>
      <c r="L695" s="305"/>
      <c r="M695" s="305"/>
      <c r="N695" s="305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  <c r="Y695" s="305"/>
      <c r="Z695" s="305"/>
    </row>
    <row r="696" spans="1:26" ht="15.75" customHeight="1">
      <c r="A696" s="305"/>
      <c r="B696" s="305"/>
      <c r="C696" s="305"/>
      <c r="D696" s="305"/>
      <c r="E696" s="305"/>
      <c r="F696" s="305"/>
      <c r="G696" s="305"/>
      <c r="H696" s="305"/>
      <c r="I696" s="305"/>
      <c r="J696" s="305"/>
      <c r="K696" s="305"/>
      <c r="L696" s="305"/>
      <c r="M696" s="305"/>
      <c r="N696" s="305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  <c r="Y696" s="305"/>
      <c r="Z696" s="305"/>
    </row>
    <row r="697" spans="1:26" ht="15.75" customHeight="1">
      <c r="A697" s="305"/>
      <c r="B697" s="305"/>
      <c r="C697" s="305"/>
      <c r="D697" s="305"/>
      <c r="E697" s="305"/>
      <c r="F697" s="305"/>
      <c r="G697" s="305"/>
      <c r="H697" s="305"/>
      <c r="I697" s="305"/>
      <c r="J697" s="305"/>
      <c r="K697" s="305"/>
      <c r="L697" s="305"/>
      <c r="M697" s="305"/>
      <c r="N697" s="305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  <c r="Y697" s="305"/>
      <c r="Z697" s="305"/>
    </row>
    <row r="698" spans="1:26" ht="15.75" customHeight="1">
      <c r="A698" s="305"/>
      <c r="B698" s="305"/>
      <c r="C698" s="305"/>
      <c r="D698" s="305"/>
      <c r="E698" s="305"/>
      <c r="F698" s="305"/>
      <c r="G698" s="305"/>
      <c r="H698" s="305"/>
      <c r="I698" s="305"/>
      <c r="J698" s="305"/>
      <c r="K698" s="305"/>
      <c r="L698" s="305"/>
      <c r="M698" s="305"/>
      <c r="N698" s="305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  <c r="Y698" s="305"/>
      <c r="Z698" s="305"/>
    </row>
    <row r="699" spans="1:26" ht="15.75" customHeight="1">
      <c r="A699" s="305"/>
      <c r="B699" s="305"/>
      <c r="C699" s="305"/>
      <c r="D699" s="305"/>
      <c r="E699" s="305"/>
      <c r="F699" s="305"/>
      <c r="G699" s="305"/>
      <c r="H699" s="305"/>
      <c r="I699" s="305"/>
      <c r="J699" s="305"/>
      <c r="K699" s="305"/>
      <c r="L699" s="305"/>
      <c r="M699" s="305"/>
      <c r="N699" s="305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  <c r="Y699" s="305"/>
      <c r="Z699" s="305"/>
    </row>
    <row r="700" spans="1:26" ht="15.75" customHeight="1">
      <c r="A700" s="305"/>
      <c r="B700" s="305"/>
      <c r="C700" s="305"/>
      <c r="D700" s="305"/>
      <c r="E700" s="305"/>
      <c r="F700" s="305"/>
      <c r="G700" s="305"/>
      <c r="H700" s="305"/>
      <c r="I700" s="305"/>
      <c r="J700" s="305"/>
      <c r="K700" s="305"/>
      <c r="L700" s="305"/>
      <c r="M700" s="305"/>
      <c r="N700" s="305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  <c r="Y700" s="305"/>
      <c r="Z700" s="305"/>
    </row>
    <row r="701" spans="1:26" ht="15.75" customHeight="1">
      <c r="A701" s="305"/>
      <c r="B701" s="305"/>
      <c r="C701" s="305"/>
      <c r="D701" s="305"/>
      <c r="E701" s="305"/>
      <c r="F701" s="305"/>
      <c r="G701" s="305"/>
      <c r="H701" s="305"/>
      <c r="I701" s="305"/>
      <c r="J701" s="305"/>
      <c r="K701" s="305"/>
      <c r="L701" s="305"/>
      <c r="M701" s="305"/>
      <c r="N701" s="305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  <c r="Y701" s="305"/>
      <c r="Z701" s="305"/>
    </row>
    <row r="702" spans="1:26" ht="15.75" customHeight="1">
      <c r="A702" s="305"/>
      <c r="B702" s="305"/>
      <c r="C702" s="305"/>
      <c r="D702" s="305"/>
      <c r="E702" s="305"/>
      <c r="F702" s="305"/>
      <c r="G702" s="305"/>
      <c r="H702" s="305"/>
      <c r="I702" s="305"/>
      <c r="J702" s="305"/>
      <c r="K702" s="305"/>
      <c r="L702" s="305"/>
      <c r="M702" s="305"/>
      <c r="N702" s="305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  <c r="Y702" s="305"/>
      <c r="Z702" s="305"/>
    </row>
    <row r="703" spans="1:26" ht="15.75" customHeight="1">
      <c r="A703" s="305"/>
      <c r="B703" s="305"/>
      <c r="C703" s="305"/>
      <c r="D703" s="305"/>
      <c r="E703" s="305"/>
      <c r="F703" s="305"/>
      <c r="G703" s="305"/>
      <c r="H703" s="305"/>
      <c r="I703" s="305"/>
      <c r="J703" s="305"/>
      <c r="K703" s="305"/>
      <c r="L703" s="305"/>
      <c r="M703" s="305"/>
      <c r="N703" s="305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  <c r="Y703" s="305"/>
      <c r="Z703" s="305"/>
    </row>
    <row r="704" spans="1:26" ht="15.75" customHeight="1">
      <c r="A704" s="305"/>
      <c r="B704" s="305"/>
      <c r="C704" s="305"/>
      <c r="D704" s="305"/>
      <c r="E704" s="305"/>
      <c r="F704" s="305"/>
      <c r="G704" s="305"/>
      <c r="H704" s="305"/>
      <c r="I704" s="305"/>
      <c r="J704" s="305"/>
      <c r="K704" s="305"/>
      <c r="L704" s="305"/>
      <c r="M704" s="305"/>
      <c r="N704" s="305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  <c r="Y704" s="305"/>
      <c r="Z704" s="305"/>
    </row>
    <row r="705" spans="1:26" ht="15.75" customHeight="1">
      <c r="A705" s="305"/>
      <c r="B705" s="305"/>
      <c r="C705" s="305"/>
      <c r="D705" s="305"/>
      <c r="E705" s="305"/>
      <c r="F705" s="305"/>
      <c r="G705" s="305"/>
      <c r="H705" s="305"/>
      <c r="I705" s="305"/>
      <c r="J705" s="305"/>
      <c r="K705" s="305"/>
      <c r="L705" s="305"/>
      <c r="M705" s="305"/>
      <c r="N705" s="305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  <c r="Y705" s="305"/>
      <c r="Z705" s="305"/>
    </row>
    <row r="706" spans="1:26" ht="15.75" customHeight="1">
      <c r="A706" s="305"/>
      <c r="B706" s="305"/>
      <c r="C706" s="305"/>
      <c r="D706" s="305"/>
      <c r="E706" s="305"/>
      <c r="F706" s="305"/>
      <c r="G706" s="305"/>
      <c r="H706" s="305"/>
      <c r="I706" s="305"/>
      <c r="J706" s="305"/>
      <c r="K706" s="305"/>
      <c r="L706" s="305"/>
      <c r="M706" s="305"/>
      <c r="N706" s="305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  <c r="Y706" s="305"/>
      <c r="Z706" s="305"/>
    </row>
    <row r="707" spans="1:26" ht="15.75" customHeight="1">
      <c r="A707" s="305"/>
      <c r="B707" s="305"/>
      <c r="C707" s="305"/>
      <c r="D707" s="305"/>
      <c r="E707" s="305"/>
      <c r="F707" s="305"/>
      <c r="G707" s="305"/>
      <c r="H707" s="305"/>
      <c r="I707" s="305"/>
      <c r="J707" s="305"/>
      <c r="K707" s="305"/>
      <c r="L707" s="305"/>
      <c r="M707" s="305"/>
      <c r="N707" s="305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  <c r="Y707" s="305"/>
      <c r="Z707" s="305"/>
    </row>
    <row r="708" spans="1:26" ht="15.75" customHeight="1">
      <c r="A708" s="305"/>
      <c r="B708" s="305"/>
      <c r="C708" s="305"/>
      <c r="D708" s="305"/>
      <c r="E708" s="305"/>
      <c r="F708" s="305"/>
      <c r="G708" s="305"/>
      <c r="H708" s="305"/>
      <c r="I708" s="305"/>
      <c r="J708" s="305"/>
      <c r="K708" s="305"/>
      <c r="L708" s="305"/>
      <c r="M708" s="305"/>
      <c r="N708" s="305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  <c r="Y708" s="305"/>
      <c r="Z708" s="305"/>
    </row>
    <row r="709" spans="1:26" ht="15.75" customHeight="1">
      <c r="A709" s="305"/>
      <c r="B709" s="305"/>
      <c r="C709" s="305"/>
      <c r="D709" s="305"/>
      <c r="E709" s="305"/>
      <c r="F709" s="305"/>
      <c r="G709" s="305"/>
      <c r="H709" s="305"/>
      <c r="I709" s="305"/>
      <c r="J709" s="305"/>
      <c r="K709" s="305"/>
      <c r="L709" s="305"/>
      <c r="M709" s="305"/>
      <c r="N709" s="305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  <c r="Y709" s="305"/>
      <c r="Z709" s="305"/>
    </row>
    <row r="710" spans="1:26" ht="15.75" customHeight="1">
      <c r="A710" s="305"/>
      <c r="B710" s="305"/>
      <c r="C710" s="305"/>
      <c r="D710" s="305"/>
      <c r="E710" s="305"/>
      <c r="F710" s="305"/>
      <c r="G710" s="305"/>
      <c r="H710" s="305"/>
      <c r="I710" s="305"/>
      <c r="J710" s="305"/>
      <c r="K710" s="305"/>
      <c r="L710" s="305"/>
      <c r="M710" s="305"/>
      <c r="N710" s="305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  <c r="Y710" s="305"/>
      <c r="Z710" s="305"/>
    </row>
    <row r="711" spans="1:26" ht="15.75" customHeight="1">
      <c r="A711" s="305"/>
      <c r="B711" s="305"/>
      <c r="C711" s="305"/>
      <c r="D711" s="305"/>
      <c r="E711" s="305"/>
      <c r="F711" s="305"/>
      <c r="G711" s="305"/>
      <c r="H711" s="305"/>
      <c r="I711" s="305"/>
      <c r="J711" s="305"/>
      <c r="K711" s="305"/>
      <c r="L711" s="305"/>
      <c r="M711" s="305"/>
      <c r="N711" s="305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  <c r="Y711" s="305"/>
      <c r="Z711" s="305"/>
    </row>
    <row r="712" spans="1:26" ht="15.75" customHeight="1">
      <c r="A712" s="305"/>
      <c r="B712" s="305"/>
      <c r="C712" s="305"/>
      <c r="D712" s="305"/>
      <c r="E712" s="305"/>
      <c r="F712" s="305"/>
      <c r="G712" s="305"/>
      <c r="H712" s="305"/>
      <c r="I712" s="305"/>
      <c r="J712" s="305"/>
      <c r="K712" s="305"/>
      <c r="L712" s="305"/>
      <c r="M712" s="305"/>
      <c r="N712" s="305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  <c r="Y712" s="305"/>
      <c r="Z712" s="305"/>
    </row>
    <row r="713" spans="1:26" ht="15.75" customHeight="1">
      <c r="A713" s="305"/>
      <c r="B713" s="305"/>
      <c r="C713" s="305"/>
      <c r="D713" s="305"/>
      <c r="E713" s="305"/>
      <c r="F713" s="305"/>
      <c r="G713" s="305"/>
      <c r="H713" s="305"/>
      <c r="I713" s="305"/>
      <c r="J713" s="305"/>
      <c r="K713" s="305"/>
      <c r="L713" s="305"/>
      <c r="M713" s="305"/>
      <c r="N713" s="305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  <c r="Y713" s="305"/>
      <c r="Z713" s="305"/>
    </row>
    <row r="714" spans="1:26" ht="15.75" customHeight="1">
      <c r="A714" s="305"/>
      <c r="B714" s="305"/>
      <c r="C714" s="305"/>
      <c r="D714" s="305"/>
      <c r="E714" s="305"/>
      <c r="F714" s="305"/>
      <c r="G714" s="305"/>
      <c r="H714" s="305"/>
      <c r="I714" s="305"/>
      <c r="J714" s="305"/>
      <c r="K714" s="305"/>
      <c r="L714" s="305"/>
      <c r="M714" s="305"/>
      <c r="N714" s="305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  <c r="Y714" s="305"/>
      <c r="Z714" s="305"/>
    </row>
    <row r="715" spans="1:26" ht="15.75" customHeight="1">
      <c r="A715" s="305"/>
      <c r="B715" s="305"/>
      <c r="C715" s="305"/>
      <c r="D715" s="305"/>
      <c r="E715" s="305"/>
      <c r="F715" s="305"/>
      <c r="G715" s="305"/>
      <c r="H715" s="305"/>
      <c r="I715" s="305"/>
      <c r="J715" s="305"/>
      <c r="K715" s="305"/>
      <c r="L715" s="305"/>
      <c r="M715" s="305"/>
      <c r="N715" s="305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  <c r="Y715" s="305"/>
      <c r="Z715" s="305"/>
    </row>
    <row r="716" spans="1:26" ht="15.75" customHeight="1">
      <c r="A716" s="305"/>
      <c r="B716" s="305"/>
      <c r="C716" s="305"/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  <c r="Y716" s="305"/>
      <c r="Z716" s="305"/>
    </row>
    <row r="717" spans="1:26" ht="15.75" customHeight="1">
      <c r="A717" s="305"/>
      <c r="B717" s="305"/>
      <c r="C717" s="305"/>
      <c r="D717" s="305"/>
      <c r="E717" s="305"/>
      <c r="F717" s="305"/>
      <c r="G717" s="305"/>
      <c r="H717" s="305"/>
      <c r="I717" s="305"/>
      <c r="J717" s="305"/>
      <c r="K717" s="305"/>
      <c r="L717" s="305"/>
      <c r="M717" s="305"/>
      <c r="N717" s="305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  <c r="Y717" s="305"/>
      <c r="Z717" s="305"/>
    </row>
    <row r="718" spans="1:26" ht="15.75" customHeight="1">
      <c r="A718" s="305"/>
      <c r="B718" s="305"/>
      <c r="C718" s="305"/>
      <c r="D718" s="305"/>
      <c r="E718" s="305"/>
      <c r="F718" s="305"/>
      <c r="G718" s="305"/>
      <c r="H718" s="305"/>
      <c r="I718" s="305"/>
      <c r="J718" s="305"/>
      <c r="K718" s="305"/>
      <c r="L718" s="305"/>
      <c r="M718" s="305"/>
      <c r="N718" s="305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  <c r="Y718" s="305"/>
      <c r="Z718" s="305"/>
    </row>
    <row r="719" spans="1:26" ht="15.75" customHeight="1">
      <c r="A719" s="305"/>
      <c r="B719" s="305"/>
      <c r="C719" s="305"/>
      <c r="D719" s="305"/>
      <c r="E719" s="305"/>
      <c r="F719" s="305"/>
      <c r="G719" s="305"/>
      <c r="H719" s="305"/>
      <c r="I719" s="305"/>
      <c r="J719" s="305"/>
      <c r="K719" s="305"/>
      <c r="L719" s="305"/>
      <c r="M719" s="305"/>
      <c r="N719" s="305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  <c r="Y719" s="305"/>
      <c r="Z719" s="305"/>
    </row>
    <row r="720" spans="1:26" ht="15.75" customHeight="1">
      <c r="A720" s="305"/>
      <c r="B720" s="305"/>
      <c r="C720" s="305"/>
      <c r="D720" s="305"/>
      <c r="E720" s="305"/>
      <c r="F720" s="305"/>
      <c r="G720" s="305"/>
      <c r="H720" s="305"/>
      <c r="I720" s="305"/>
      <c r="J720" s="305"/>
      <c r="K720" s="305"/>
      <c r="L720" s="305"/>
      <c r="M720" s="305"/>
      <c r="N720" s="305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  <c r="Y720" s="305"/>
      <c r="Z720" s="305"/>
    </row>
    <row r="721" spans="1:26" ht="15.75" customHeight="1">
      <c r="A721" s="305"/>
      <c r="B721" s="305"/>
      <c r="C721" s="305"/>
      <c r="D721" s="305"/>
      <c r="E721" s="305"/>
      <c r="F721" s="305"/>
      <c r="G721" s="305"/>
      <c r="H721" s="305"/>
      <c r="I721" s="305"/>
      <c r="J721" s="305"/>
      <c r="K721" s="305"/>
      <c r="L721" s="305"/>
      <c r="M721" s="305"/>
      <c r="N721" s="305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  <c r="Y721" s="305"/>
      <c r="Z721" s="305"/>
    </row>
    <row r="722" spans="1:26" ht="15.75" customHeight="1">
      <c r="A722" s="305"/>
      <c r="B722" s="305"/>
      <c r="C722" s="305"/>
      <c r="D722" s="305"/>
      <c r="E722" s="305"/>
      <c r="F722" s="305"/>
      <c r="G722" s="305"/>
      <c r="H722" s="305"/>
      <c r="I722" s="305"/>
      <c r="J722" s="305"/>
      <c r="K722" s="305"/>
      <c r="L722" s="305"/>
      <c r="M722" s="305"/>
      <c r="N722" s="305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  <c r="Y722" s="305"/>
      <c r="Z722" s="305"/>
    </row>
    <row r="723" spans="1:26" ht="15.75" customHeight="1">
      <c r="A723" s="305"/>
      <c r="B723" s="305"/>
      <c r="C723" s="305"/>
      <c r="D723" s="305"/>
      <c r="E723" s="305"/>
      <c r="F723" s="305"/>
      <c r="G723" s="305"/>
      <c r="H723" s="305"/>
      <c r="I723" s="305"/>
      <c r="J723" s="305"/>
      <c r="K723" s="305"/>
      <c r="L723" s="305"/>
      <c r="M723" s="305"/>
      <c r="N723" s="305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  <c r="Y723" s="305"/>
      <c r="Z723" s="305"/>
    </row>
    <row r="724" spans="1:26" ht="15.75" customHeight="1">
      <c r="A724" s="305"/>
      <c r="B724" s="305"/>
      <c r="C724" s="305"/>
      <c r="D724" s="305"/>
      <c r="E724" s="305"/>
      <c r="F724" s="305"/>
      <c r="G724" s="305"/>
      <c r="H724" s="305"/>
      <c r="I724" s="305"/>
      <c r="J724" s="305"/>
      <c r="K724" s="305"/>
      <c r="L724" s="305"/>
      <c r="M724" s="305"/>
      <c r="N724" s="305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  <c r="Y724" s="305"/>
      <c r="Z724" s="305"/>
    </row>
    <row r="725" spans="1:26" ht="15.75" customHeight="1">
      <c r="A725" s="305"/>
      <c r="B725" s="305"/>
      <c r="C725" s="305"/>
      <c r="D725" s="305"/>
      <c r="E725" s="305"/>
      <c r="F725" s="305"/>
      <c r="G725" s="305"/>
      <c r="H725" s="305"/>
      <c r="I725" s="305"/>
      <c r="J725" s="305"/>
      <c r="K725" s="305"/>
      <c r="L725" s="305"/>
      <c r="M725" s="305"/>
      <c r="N725" s="305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  <c r="Y725" s="305"/>
      <c r="Z725" s="305"/>
    </row>
    <row r="726" spans="1:26" ht="15.75" customHeight="1">
      <c r="A726" s="305"/>
      <c r="B726" s="305"/>
      <c r="C726" s="305"/>
      <c r="D726" s="305"/>
      <c r="E726" s="305"/>
      <c r="F726" s="305"/>
      <c r="G726" s="305"/>
      <c r="H726" s="305"/>
      <c r="I726" s="305"/>
      <c r="J726" s="305"/>
      <c r="K726" s="305"/>
      <c r="L726" s="305"/>
      <c r="M726" s="305"/>
      <c r="N726" s="305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  <c r="Y726" s="305"/>
      <c r="Z726" s="305"/>
    </row>
    <row r="727" spans="1:26" ht="15.75" customHeight="1">
      <c r="A727" s="305"/>
      <c r="B727" s="305"/>
      <c r="C727" s="305"/>
      <c r="D727" s="305"/>
      <c r="E727" s="305"/>
      <c r="F727" s="305"/>
      <c r="G727" s="305"/>
      <c r="H727" s="305"/>
      <c r="I727" s="305"/>
      <c r="J727" s="305"/>
      <c r="K727" s="305"/>
      <c r="L727" s="305"/>
      <c r="M727" s="305"/>
      <c r="N727" s="305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  <c r="Y727" s="305"/>
      <c r="Z727" s="305"/>
    </row>
    <row r="728" spans="1:26" ht="15.75" customHeight="1">
      <c r="A728" s="305"/>
      <c r="B728" s="305"/>
      <c r="C728" s="305"/>
      <c r="D728" s="305"/>
      <c r="E728" s="305"/>
      <c r="F728" s="305"/>
      <c r="G728" s="305"/>
      <c r="H728" s="305"/>
      <c r="I728" s="305"/>
      <c r="J728" s="305"/>
      <c r="K728" s="305"/>
      <c r="L728" s="305"/>
      <c r="M728" s="305"/>
      <c r="N728" s="305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  <c r="Y728" s="305"/>
      <c r="Z728" s="305"/>
    </row>
    <row r="729" spans="1:26" ht="15.75" customHeight="1">
      <c r="A729" s="305"/>
      <c r="B729" s="305"/>
      <c r="C729" s="305"/>
      <c r="D729" s="305"/>
      <c r="E729" s="305"/>
      <c r="F729" s="305"/>
      <c r="G729" s="305"/>
      <c r="H729" s="305"/>
      <c r="I729" s="305"/>
      <c r="J729" s="305"/>
      <c r="K729" s="305"/>
      <c r="L729" s="305"/>
      <c r="M729" s="305"/>
      <c r="N729" s="305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  <c r="Y729" s="305"/>
      <c r="Z729" s="305"/>
    </row>
    <row r="730" spans="1:26" ht="15.75" customHeight="1">
      <c r="A730" s="305"/>
      <c r="B730" s="305"/>
      <c r="C730" s="305"/>
      <c r="D730" s="305"/>
      <c r="E730" s="305"/>
      <c r="F730" s="305"/>
      <c r="G730" s="305"/>
      <c r="H730" s="305"/>
      <c r="I730" s="305"/>
      <c r="J730" s="305"/>
      <c r="K730" s="305"/>
      <c r="L730" s="305"/>
      <c r="M730" s="305"/>
      <c r="N730" s="305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  <c r="Y730" s="305"/>
      <c r="Z730" s="305"/>
    </row>
    <row r="731" spans="1:26" ht="15.75" customHeight="1">
      <c r="A731" s="305"/>
      <c r="B731" s="305"/>
      <c r="C731" s="305"/>
      <c r="D731" s="305"/>
      <c r="E731" s="305"/>
      <c r="F731" s="305"/>
      <c r="G731" s="305"/>
      <c r="H731" s="305"/>
      <c r="I731" s="305"/>
      <c r="J731" s="305"/>
      <c r="K731" s="305"/>
      <c r="L731" s="305"/>
      <c r="M731" s="305"/>
      <c r="N731" s="305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  <c r="Y731" s="305"/>
      <c r="Z731" s="305"/>
    </row>
    <row r="732" spans="1:26" ht="15.75" customHeight="1">
      <c r="A732" s="305"/>
      <c r="B732" s="305"/>
      <c r="C732" s="305"/>
      <c r="D732" s="305"/>
      <c r="E732" s="305"/>
      <c r="F732" s="305"/>
      <c r="G732" s="305"/>
      <c r="H732" s="305"/>
      <c r="I732" s="305"/>
      <c r="J732" s="305"/>
      <c r="K732" s="305"/>
      <c r="L732" s="305"/>
      <c r="M732" s="305"/>
      <c r="N732" s="305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  <c r="Y732" s="305"/>
      <c r="Z732" s="305"/>
    </row>
    <row r="733" spans="1:26" ht="15.75" customHeight="1">
      <c r="A733" s="305"/>
      <c r="B733" s="305"/>
      <c r="C733" s="305"/>
      <c r="D733" s="305"/>
      <c r="E733" s="305"/>
      <c r="F733" s="305"/>
      <c r="G733" s="305"/>
      <c r="H733" s="305"/>
      <c r="I733" s="305"/>
      <c r="J733" s="305"/>
      <c r="K733" s="305"/>
      <c r="L733" s="305"/>
      <c r="M733" s="305"/>
      <c r="N733" s="305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  <c r="Y733" s="305"/>
      <c r="Z733" s="305"/>
    </row>
    <row r="734" spans="1:26" ht="15.75" customHeight="1">
      <c r="A734" s="305"/>
      <c r="B734" s="305"/>
      <c r="C734" s="305"/>
      <c r="D734" s="305"/>
      <c r="E734" s="305"/>
      <c r="F734" s="305"/>
      <c r="G734" s="305"/>
      <c r="H734" s="305"/>
      <c r="I734" s="305"/>
      <c r="J734" s="305"/>
      <c r="K734" s="305"/>
      <c r="L734" s="305"/>
      <c r="M734" s="305"/>
      <c r="N734" s="305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  <c r="Y734" s="305"/>
      <c r="Z734" s="305"/>
    </row>
    <row r="735" spans="1:26" ht="15.75" customHeight="1">
      <c r="A735" s="305"/>
      <c r="B735" s="305"/>
      <c r="C735" s="305"/>
      <c r="D735" s="305"/>
      <c r="E735" s="305"/>
      <c r="F735" s="305"/>
      <c r="G735" s="305"/>
      <c r="H735" s="305"/>
      <c r="I735" s="305"/>
      <c r="J735" s="305"/>
      <c r="K735" s="305"/>
      <c r="L735" s="305"/>
      <c r="M735" s="305"/>
      <c r="N735" s="305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  <c r="Y735" s="305"/>
      <c r="Z735" s="305"/>
    </row>
    <row r="736" spans="1:26" ht="15.75" customHeight="1">
      <c r="A736" s="305"/>
      <c r="B736" s="305"/>
      <c r="C736" s="305"/>
      <c r="D736" s="305"/>
      <c r="E736" s="305"/>
      <c r="F736" s="305"/>
      <c r="G736" s="305"/>
      <c r="H736" s="305"/>
      <c r="I736" s="305"/>
      <c r="J736" s="305"/>
      <c r="K736" s="305"/>
      <c r="L736" s="305"/>
      <c r="M736" s="305"/>
      <c r="N736" s="305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  <c r="Y736" s="305"/>
      <c r="Z736" s="305"/>
    </row>
    <row r="737" spans="1:26" ht="15.75" customHeight="1">
      <c r="A737" s="305"/>
      <c r="B737" s="305"/>
      <c r="C737" s="305"/>
      <c r="D737" s="305"/>
      <c r="E737" s="305"/>
      <c r="F737" s="305"/>
      <c r="G737" s="305"/>
      <c r="H737" s="305"/>
      <c r="I737" s="305"/>
      <c r="J737" s="305"/>
      <c r="K737" s="305"/>
      <c r="L737" s="305"/>
      <c r="M737" s="305"/>
      <c r="N737" s="305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  <c r="Y737" s="305"/>
      <c r="Z737" s="305"/>
    </row>
    <row r="738" spans="1:26" ht="15.75" customHeight="1">
      <c r="A738" s="305"/>
      <c r="B738" s="305"/>
      <c r="C738" s="305"/>
      <c r="D738" s="305"/>
      <c r="E738" s="305"/>
      <c r="F738" s="305"/>
      <c r="G738" s="305"/>
      <c r="H738" s="305"/>
      <c r="I738" s="305"/>
      <c r="J738" s="305"/>
      <c r="K738" s="305"/>
      <c r="L738" s="305"/>
      <c r="M738" s="305"/>
      <c r="N738" s="305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  <c r="Y738" s="305"/>
      <c r="Z738" s="305"/>
    </row>
    <row r="739" spans="1:26" ht="15.75" customHeight="1">
      <c r="A739" s="305"/>
      <c r="B739" s="305"/>
      <c r="C739" s="305"/>
      <c r="D739" s="305"/>
      <c r="E739" s="305"/>
      <c r="F739" s="305"/>
      <c r="G739" s="305"/>
      <c r="H739" s="305"/>
      <c r="I739" s="305"/>
      <c r="J739" s="305"/>
      <c r="K739" s="305"/>
      <c r="L739" s="305"/>
      <c r="M739" s="305"/>
      <c r="N739" s="305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  <c r="Y739" s="305"/>
      <c r="Z739" s="305"/>
    </row>
    <row r="740" spans="1:26" ht="15.75" customHeight="1">
      <c r="A740" s="305"/>
      <c r="B740" s="305"/>
      <c r="C740" s="305"/>
      <c r="D740" s="305"/>
      <c r="E740" s="305"/>
      <c r="F740" s="305"/>
      <c r="G740" s="305"/>
      <c r="H740" s="305"/>
      <c r="I740" s="305"/>
      <c r="J740" s="305"/>
      <c r="K740" s="305"/>
      <c r="L740" s="305"/>
      <c r="M740" s="305"/>
      <c r="N740" s="305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  <c r="Y740" s="305"/>
      <c r="Z740" s="305"/>
    </row>
    <row r="741" spans="1:26" ht="15.75" customHeight="1">
      <c r="A741" s="305"/>
      <c r="B741" s="305"/>
      <c r="C741" s="305"/>
      <c r="D741" s="305"/>
      <c r="E741" s="305"/>
      <c r="F741" s="305"/>
      <c r="G741" s="305"/>
      <c r="H741" s="305"/>
      <c r="I741" s="305"/>
      <c r="J741" s="305"/>
      <c r="K741" s="305"/>
      <c r="L741" s="305"/>
      <c r="M741" s="305"/>
      <c r="N741" s="305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  <c r="Y741" s="305"/>
      <c r="Z741" s="305"/>
    </row>
    <row r="742" spans="1:26" ht="15.75" customHeight="1">
      <c r="A742" s="305"/>
      <c r="B742" s="305"/>
      <c r="C742" s="305"/>
      <c r="D742" s="305"/>
      <c r="E742" s="305"/>
      <c r="F742" s="305"/>
      <c r="G742" s="305"/>
      <c r="H742" s="305"/>
      <c r="I742" s="305"/>
      <c r="J742" s="305"/>
      <c r="K742" s="305"/>
      <c r="L742" s="305"/>
      <c r="M742" s="305"/>
      <c r="N742" s="305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  <c r="Y742" s="305"/>
      <c r="Z742" s="305"/>
    </row>
    <row r="743" spans="1:26" ht="15.75" customHeight="1">
      <c r="A743" s="305"/>
      <c r="B743" s="305"/>
      <c r="C743" s="305"/>
      <c r="D743" s="305"/>
      <c r="E743" s="305"/>
      <c r="F743" s="305"/>
      <c r="G743" s="305"/>
      <c r="H743" s="305"/>
      <c r="I743" s="305"/>
      <c r="J743" s="305"/>
      <c r="K743" s="305"/>
      <c r="L743" s="305"/>
      <c r="M743" s="305"/>
      <c r="N743" s="305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  <c r="Y743" s="305"/>
      <c r="Z743" s="305"/>
    </row>
    <row r="744" spans="1:26" ht="15.75" customHeight="1">
      <c r="A744" s="305"/>
      <c r="B744" s="305"/>
      <c r="C744" s="305"/>
      <c r="D744" s="305"/>
      <c r="E744" s="305"/>
      <c r="F744" s="305"/>
      <c r="G744" s="305"/>
      <c r="H744" s="305"/>
      <c r="I744" s="305"/>
      <c r="J744" s="305"/>
      <c r="K744" s="305"/>
      <c r="L744" s="305"/>
      <c r="M744" s="305"/>
      <c r="N744" s="305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  <c r="Y744" s="305"/>
      <c r="Z744" s="305"/>
    </row>
    <row r="745" spans="1:26" ht="15.75" customHeight="1">
      <c r="A745" s="305"/>
      <c r="B745" s="305"/>
      <c r="C745" s="305"/>
      <c r="D745" s="305"/>
      <c r="E745" s="305"/>
      <c r="F745" s="305"/>
      <c r="G745" s="305"/>
      <c r="H745" s="305"/>
      <c r="I745" s="305"/>
      <c r="J745" s="305"/>
      <c r="K745" s="305"/>
      <c r="L745" s="305"/>
      <c r="M745" s="305"/>
      <c r="N745" s="305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  <c r="Y745" s="305"/>
      <c r="Z745" s="305"/>
    </row>
    <row r="746" spans="1:26" ht="15.75" customHeight="1">
      <c r="A746" s="305"/>
      <c r="B746" s="305"/>
      <c r="C746" s="305"/>
      <c r="D746" s="305"/>
      <c r="E746" s="305"/>
      <c r="F746" s="305"/>
      <c r="G746" s="305"/>
      <c r="H746" s="305"/>
      <c r="I746" s="305"/>
      <c r="J746" s="305"/>
      <c r="K746" s="305"/>
      <c r="L746" s="305"/>
      <c r="M746" s="305"/>
      <c r="N746" s="305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  <c r="Y746" s="305"/>
      <c r="Z746" s="305"/>
    </row>
    <row r="747" spans="1:26" ht="15.75" customHeight="1">
      <c r="A747" s="305"/>
      <c r="B747" s="305"/>
      <c r="C747" s="305"/>
      <c r="D747" s="305"/>
      <c r="E747" s="305"/>
      <c r="F747" s="305"/>
      <c r="G747" s="305"/>
      <c r="H747" s="305"/>
      <c r="I747" s="305"/>
      <c r="J747" s="305"/>
      <c r="K747" s="305"/>
      <c r="L747" s="305"/>
      <c r="M747" s="305"/>
      <c r="N747" s="305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  <c r="Y747" s="305"/>
      <c r="Z747" s="305"/>
    </row>
    <row r="748" spans="1:26" ht="15.75" customHeight="1">
      <c r="A748" s="305"/>
      <c r="B748" s="305"/>
      <c r="C748" s="305"/>
      <c r="D748" s="305"/>
      <c r="E748" s="305"/>
      <c r="F748" s="305"/>
      <c r="G748" s="305"/>
      <c r="H748" s="305"/>
      <c r="I748" s="305"/>
      <c r="J748" s="305"/>
      <c r="K748" s="305"/>
      <c r="L748" s="305"/>
      <c r="M748" s="305"/>
      <c r="N748" s="305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  <c r="Y748" s="305"/>
      <c r="Z748" s="305"/>
    </row>
    <row r="749" spans="1:26" ht="15.75" customHeight="1">
      <c r="A749" s="305"/>
      <c r="B749" s="305"/>
      <c r="C749" s="305"/>
      <c r="D749" s="305"/>
      <c r="E749" s="305"/>
      <c r="F749" s="305"/>
      <c r="G749" s="305"/>
      <c r="H749" s="305"/>
      <c r="I749" s="305"/>
      <c r="J749" s="305"/>
      <c r="K749" s="305"/>
      <c r="L749" s="305"/>
      <c r="M749" s="305"/>
      <c r="N749" s="305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  <c r="Y749" s="305"/>
      <c r="Z749" s="305"/>
    </row>
    <row r="750" spans="1:26" ht="15.75" customHeight="1">
      <c r="A750" s="305"/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</row>
    <row r="751" spans="1:26" ht="15.75" customHeight="1">
      <c r="A751" s="305"/>
      <c r="B751" s="305"/>
      <c r="C751" s="305"/>
      <c r="D751" s="305"/>
      <c r="E751" s="305"/>
      <c r="F751" s="305"/>
      <c r="G751" s="305"/>
      <c r="H751" s="305"/>
      <c r="I751" s="305"/>
      <c r="J751" s="305"/>
      <c r="K751" s="305"/>
      <c r="L751" s="305"/>
      <c r="M751" s="305"/>
      <c r="N751" s="305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  <c r="Y751" s="305"/>
      <c r="Z751" s="305"/>
    </row>
    <row r="752" spans="1:26" ht="15.75" customHeight="1">
      <c r="A752" s="305"/>
      <c r="B752" s="305"/>
      <c r="C752" s="305"/>
      <c r="D752" s="305"/>
      <c r="E752" s="305"/>
      <c r="F752" s="305"/>
      <c r="G752" s="305"/>
      <c r="H752" s="305"/>
      <c r="I752" s="305"/>
      <c r="J752" s="305"/>
      <c r="K752" s="305"/>
      <c r="L752" s="305"/>
      <c r="M752" s="305"/>
      <c r="N752" s="305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  <c r="Y752" s="305"/>
      <c r="Z752" s="305"/>
    </row>
    <row r="753" spans="1:26" ht="15.75" customHeight="1">
      <c r="A753" s="305"/>
      <c r="B753" s="305"/>
      <c r="C753" s="305"/>
      <c r="D753" s="305"/>
      <c r="E753" s="305"/>
      <c r="F753" s="305"/>
      <c r="G753" s="305"/>
      <c r="H753" s="305"/>
      <c r="I753" s="305"/>
      <c r="J753" s="305"/>
      <c r="K753" s="305"/>
      <c r="L753" s="305"/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  <c r="Y753" s="305"/>
      <c r="Z753" s="305"/>
    </row>
    <row r="754" spans="1:26" ht="15.75" customHeight="1">
      <c r="A754" s="305"/>
      <c r="B754" s="305"/>
      <c r="C754" s="305"/>
      <c r="D754" s="305"/>
      <c r="E754" s="305"/>
      <c r="F754" s="305"/>
      <c r="G754" s="305"/>
      <c r="H754" s="305"/>
      <c r="I754" s="305"/>
      <c r="J754" s="305"/>
      <c r="K754" s="305"/>
      <c r="L754" s="305"/>
      <c r="M754" s="305"/>
      <c r="N754" s="305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  <c r="Y754" s="305"/>
      <c r="Z754" s="305"/>
    </row>
    <row r="755" spans="1:26" ht="15.75" customHeight="1">
      <c r="A755" s="305"/>
      <c r="B755" s="305"/>
      <c r="C755" s="305"/>
      <c r="D755" s="305"/>
      <c r="E755" s="305"/>
      <c r="F755" s="305"/>
      <c r="G755" s="305"/>
      <c r="H755" s="305"/>
      <c r="I755" s="305"/>
      <c r="J755" s="305"/>
      <c r="K755" s="305"/>
      <c r="L755" s="305"/>
      <c r="M755" s="305"/>
      <c r="N755" s="305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  <c r="Y755" s="305"/>
      <c r="Z755" s="305"/>
    </row>
    <row r="756" spans="1:26" ht="15.75" customHeight="1">
      <c r="A756" s="305"/>
      <c r="B756" s="305"/>
      <c r="C756" s="305"/>
      <c r="D756" s="305"/>
      <c r="E756" s="305"/>
      <c r="F756" s="305"/>
      <c r="G756" s="305"/>
      <c r="H756" s="305"/>
      <c r="I756" s="305"/>
      <c r="J756" s="305"/>
      <c r="K756" s="305"/>
      <c r="L756" s="305"/>
      <c r="M756" s="305"/>
      <c r="N756" s="305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  <c r="Y756" s="305"/>
      <c r="Z756" s="305"/>
    </row>
    <row r="757" spans="1:26" ht="15.75" customHeight="1">
      <c r="A757" s="305"/>
      <c r="B757" s="305"/>
      <c r="C757" s="305"/>
      <c r="D757" s="305"/>
      <c r="E757" s="305"/>
      <c r="F757" s="305"/>
      <c r="G757" s="305"/>
      <c r="H757" s="305"/>
      <c r="I757" s="305"/>
      <c r="J757" s="305"/>
      <c r="K757" s="305"/>
      <c r="L757" s="305"/>
      <c r="M757" s="305"/>
      <c r="N757" s="305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  <c r="Y757" s="305"/>
      <c r="Z757" s="305"/>
    </row>
    <row r="758" spans="1:26" ht="15.75" customHeight="1">
      <c r="A758" s="305"/>
      <c r="B758" s="305"/>
      <c r="C758" s="305"/>
      <c r="D758" s="305"/>
      <c r="E758" s="305"/>
      <c r="F758" s="305"/>
      <c r="G758" s="305"/>
      <c r="H758" s="305"/>
      <c r="I758" s="305"/>
      <c r="J758" s="305"/>
      <c r="K758" s="305"/>
      <c r="L758" s="305"/>
      <c r="M758" s="305"/>
      <c r="N758" s="305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  <c r="Y758" s="305"/>
      <c r="Z758" s="305"/>
    </row>
    <row r="759" spans="1:26" ht="15.75" customHeight="1">
      <c r="A759" s="305"/>
      <c r="B759" s="305"/>
      <c r="C759" s="305"/>
      <c r="D759" s="305"/>
      <c r="E759" s="305"/>
      <c r="F759" s="305"/>
      <c r="G759" s="305"/>
      <c r="H759" s="305"/>
      <c r="I759" s="305"/>
      <c r="J759" s="305"/>
      <c r="K759" s="305"/>
      <c r="L759" s="305"/>
      <c r="M759" s="305"/>
      <c r="N759" s="305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  <c r="Y759" s="305"/>
      <c r="Z759" s="305"/>
    </row>
    <row r="760" spans="1:26" ht="15.75" customHeight="1">
      <c r="A760" s="305"/>
      <c r="B760" s="305"/>
      <c r="C760" s="305"/>
      <c r="D760" s="305"/>
      <c r="E760" s="305"/>
      <c r="F760" s="305"/>
      <c r="G760" s="305"/>
      <c r="H760" s="305"/>
      <c r="I760" s="305"/>
      <c r="J760" s="305"/>
      <c r="K760" s="305"/>
      <c r="L760" s="305"/>
      <c r="M760" s="305"/>
      <c r="N760" s="305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  <c r="Y760" s="305"/>
      <c r="Z760" s="305"/>
    </row>
    <row r="761" spans="1:26" ht="15.75" customHeight="1">
      <c r="A761" s="305"/>
      <c r="B761" s="305"/>
      <c r="C761" s="305"/>
      <c r="D761" s="305"/>
      <c r="E761" s="305"/>
      <c r="F761" s="305"/>
      <c r="G761" s="305"/>
      <c r="H761" s="305"/>
      <c r="I761" s="305"/>
      <c r="J761" s="305"/>
      <c r="K761" s="305"/>
      <c r="L761" s="305"/>
      <c r="M761" s="305"/>
      <c r="N761" s="305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  <c r="Y761" s="305"/>
      <c r="Z761" s="305"/>
    </row>
    <row r="762" spans="1:26" ht="15.75" customHeight="1">
      <c r="A762" s="305"/>
      <c r="B762" s="305"/>
      <c r="C762" s="305"/>
      <c r="D762" s="305"/>
      <c r="E762" s="305"/>
      <c r="F762" s="305"/>
      <c r="G762" s="305"/>
      <c r="H762" s="305"/>
      <c r="I762" s="305"/>
      <c r="J762" s="305"/>
      <c r="K762" s="305"/>
      <c r="L762" s="305"/>
      <c r="M762" s="305"/>
      <c r="N762" s="305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  <c r="Y762" s="305"/>
      <c r="Z762" s="305"/>
    </row>
    <row r="763" spans="1:26" ht="15.75" customHeight="1">
      <c r="A763" s="305"/>
      <c r="B763" s="305"/>
      <c r="C763" s="305"/>
      <c r="D763" s="305"/>
      <c r="E763" s="305"/>
      <c r="F763" s="305"/>
      <c r="G763" s="305"/>
      <c r="H763" s="305"/>
      <c r="I763" s="305"/>
      <c r="J763" s="305"/>
      <c r="K763" s="305"/>
      <c r="L763" s="305"/>
      <c r="M763" s="305"/>
      <c r="N763" s="305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  <c r="Y763" s="305"/>
      <c r="Z763" s="305"/>
    </row>
    <row r="764" spans="1:26" ht="15.75" customHeight="1">
      <c r="A764" s="305"/>
      <c r="B764" s="305"/>
      <c r="C764" s="305"/>
      <c r="D764" s="305"/>
      <c r="E764" s="305"/>
      <c r="F764" s="305"/>
      <c r="G764" s="305"/>
      <c r="H764" s="305"/>
      <c r="I764" s="305"/>
      <c r="J764" s="305"/>
      <c r="K764" s="305"/>
      <c r="L764" s="305"/>
      <c r="M764" s="305"/>
      <c r="N764" s="305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  <c r="Y764" s="305"/>
      <c r="Z764" s="305"/>
    </row>
    <row r="765" spans="1:26" ht="15.75" customHeight="1">
      <c r="A765" s="305"/>
      <c r="B765" s="305"/>
      <c r="C765" s="305"/>
      <c r="D765" s="305"/>
      <c r="E765" s="305"/>
      <c r="F765" s="305"/>
      <c r="G765" s="305"/>
      <c r="H765" s="305"/>
      <c r="I765" s="305"/>
      <c r="J765" s="305"/>
      <c r="K765" s="305"/>
      <c r="L765" s="305"/>
      <c r="M765" s="305"/>
      <c r="N765" s="305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  <c r="Y765" s="305"/>
      <c r="Z765" s="305"/>
    </row>
    <row r="766" spans="1:26" ht="15.75" customHeight="1">
      <c r="A766" s="305"/>
      <c r="B766" s="305"/>
      <c r="C766" s="305"/>
      <c r="D766" s="305"/>
      <c r="E766" s="305"/>
      <c r="F766" s="305"/>
      <c r="G766" s="305"/>
      <c r="H766" s="305"/>
      <c r="I766" s="305"/>
      <c r="J766" s="305"/>
      <c r="K766" s="305"/>
      <c r="L766" s="305"/>
      <c r="M766" s="305"/>
      <c r="N766" s="305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  <c r="Y766" s="305"/>
      <c r="Z766" s="305"/>
    </row>
    <row r="767" spans="1:26" ht="15.75" customHeight="1">
      <c r="A767" s="305"/>
      <c r="B767" s="305"/>
      <c r="C767" s="305"/>
      <c r="D767" s="305"/>
      <c r="E767" s="305"/>
      <c r="F767" s="305"/>
      <c r="G767" s="305"/>
      <c r="H767" s="305"/>
      <c r="I767" s="305"/>
      <c r="J767" s="305"/>
      <c r="K767" s="305"/>
      <c r="L767" s="305"/>
      <c r="M767" s="305"/>
      <c r="N767" s="305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  <c r="Y767" s="305"/>
      <c r="Z767" s="305"/>
    </row>
    <row r="768" spans="1:26" ht="15.75" customHeight="1">
      <c r="A768" s="305"/>
      <c r="B768" s="305"/>
      <c r="C768" s="305"/>
      <c r="D768" s="305"/>
      <c r="E768" s="305"/>
      <c r="F768" s="305"/>
      <c r="G768" s="305"/>
      <c r="H768" s="305"/>
      <c r="I768" s="305"/>
      <c r="J768" s="305"/>
      <c r="K768" s="305"/>
      <c r="L768" s="305"/>
      <c r="M768" s="305"/>
      <c r="N768" s="305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  <c r="Y768" s="305"/>
      <c r="Z768" s="305"/>
    </row>
    <row r="769" spans="1:26" ht="15.75" customHeight="1">
      <c r="A769" s="305"/>
      <c r="B769" s="305"/>
      <c r="C769" s="305"/>
      <c r="D769" s="305"/>
      <c r="E769" s="305"/>
      <c r="F769" s="305"/>
      <c r="G769" s="305"/>
      <c r="H769" s="305"/>
      <c r="I769" s="305"/>
      <c r="J769" s="305"/>
      <c r="K769" s="305"/>
      <c r="L769" s="305"/>
      <c r="M769" s="305"/>
      <c r="N769" s="305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  <c r="Y769" s="305"/>
      <c r="Z769" s="305"/>
    </row>
    <row r="770" spans="1:26" ht="15.75" customHeight="1">
      <c r="A770" s="305"/>
      <c r="B770" s="305"/>
      <c r="C770" s="305"/>
      <c r="D770" s="305"/>
      <c r="E770" s="305"/>
      <c r="F770" s="305"/>
      <c r="G770" s="305"/>
      <c r="H770" s="305"/>
      <c r="I770" s="305"/>
      <c r="J770" s="305"/>
      <c r="K770" s="305"/>
      <c r="L770" s="305"/>
      <c r="M770" s="305"/>
      <c r="N770" s="305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  <c r="Y770" s="305"/>
      <c r="Z770" s="305"/>
    </row>
    <row r="771" spans="1:26" ht="15.75" customHeight="1">
      <c r="A771" s="305"/>
      <c r="B771" s="305"/>
      <c r="C771" s="305"/>
      <c r="D771" s="305"/>
      <c r="E771" s="305"/>
      <c r="F771" s="305"/>
      <c r="G771" s="305"/>
      <c r="H771" s="305"/>
      <c r="I771" s="305"/>
      <c r="J771" s="305"/>
      <c r="K771" s="305"/>
      <c r="L771" s="305"/>
      <c r="M771" s="305"/>
      <c r="N771" s="305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  <c r="Y771" s="305"/>
      <c r="Z771" s="305"/>
    </row>
    <row r="772" spans="1:26" ht="15.75" customHeight="1">
      <c r="A772" s="305"/>
      <c r="B772" s="305"/>
      <c r="C772" s="305"/>
      <c r="D772" s="305"/>
      <c r="E772" s="305"/>
      <c r="F772" s="305"/>
      <c r="G772" s="305"/>
      <c r="H772" s="305"/>
      <c r="I772" s="305"/>
      <c r="J772" s="305"/>
      <c r="K772" s="305"/>
      <c r="L772" s="305"/>
      <c r="M772" s="305"/>
      <c r="N772" s="305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  <c r="Y772" s="305"/>
      <c r="Z772" s="305"/>
    </row>
    <row r="773" spans="1:26" ht="15.75" customHeight="1">
      <c r="A773" s="305"/>
      <c r="B773" s="305"/>
      <c r="C773" s="305"/>
      <c r="D773" s="305"/>
      <c r="E773" s="305"/>
      <c r="F773" s="305"/>
      <c r="G773" s="305"/>
      <c r="H773" s="305"/>
      <c r="I773" s="305"/>
      <c r="J773" s="305"/>
      <c r="K773" s="305"/>
      <c r="L773" s="305"/>
      <c r="M773" s="305"/>
      <c r="N773" s="305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  <c r="Y773" s="305"/>
      <c r="Z773" s="305"/>
    </row>
    <row r="774" spans="1:26" ht="15.75" customHeight="1">
      <c r="A774" s="305"/>
      <c r="B774" s="305"/>
      <c r="C774" s="305"/>
      <c r="D774" s="305"/>
      <c r="E774" s="305"/>
      <c r="F774" s="305"/>
      <c r="G774" s="305"/>
      <c r="H774" s="305"/>
      <c r="I774" s="305"/>
      <c r="J774" s="305"/>
      <c r="K774" s="305"/>
      <c r="L774" s="305"/>
      <c r="M774" s="305"/>
      <c r="N774" s="305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  <c r="Y774" s="305"/>
      <c r="Z774" s="305"/>
    </row>
    <row r="775" spans="1:26" ht="15.75" customHeight="1">
      <c r="A775" s="305"/>
      <c r="B775" s="305"/>
      <c r="C775" s="305"/>
      <c r="D775" s="305"/>
      <c r="E775" s="305"/>
      <c r="F775" s="305"/>
      <c r="G775" s="305"/>
      <c r="H775" s="305"/>
      <c r="I775" s="305"/>
      <c r="J775" s="305"/>
      <c r="K775" s="305"/>
      <c r="L775" s="305"/>
      <c r="M775" s="305"/>
      <c r="N775" s="305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  <c r="Y775" s="305"/>
      <c r="Z775" s="305"/>
    </row>
    <row r="776" spans="1:26" ht="15.75" customHeight="1">
      <c r="A776" s="305"/>
      <c r="B776" s="305"/>
      <c r="C776" s="305"/>
      <c r="D776" s="305"/>
      <c r="E776" s="305"/>
      <c r="F776" s="305"/>
      <c r="G776" s="305"/>
      <c r="H776" s="305"/>
      <c r="I776" s="305"/>
      <c r="J776" s="305"/>
      <c r="K776" s="305"/>
      <c r="L776" s="305"/>
      <c r="M776" s="305"/>
      <c r="N776" s="305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  <c r="Y776" s="305"/>
      <c r="Z776" s="305"/>
    </row>
    <row r="777" spans="1:26" ht="15.75" customHeight="1">
      <c r="A777" s="305"/>
      <c r="B777" s="305"/>
      <c r="C777" s="305"/>
      <c r="D777" s="305"/>
      <c r="E777" s="305"/>
      <c r="F777" s="305"/>
      <c r="G777" s="305"/>
      <c r="H777" s="305"/>
      <c r="I777" s="305"/>
      <c r="J777" s="305"/>
      <c r="K777" s="305"/>
      <c r="L777" s="305"/>
      <c r="M777" s="305"/>
      <c r="N777" s="305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  <c r="Y777" s="305"/>
      <c r="Z777" s="305"/>
    </row>
    <row r="778" spans="1:26" ht="15.75" customHeight="1">
      <c r="A778" s="305"/>
      <c r="B778" s="305"/>
      <c r="C778" s="305"/>
      <c r="D778" s="305"/>
      <c r="E778" s="305"/>
      <c r="F778" s="305"/>
      <c r="G778" s="305"/>
      <c r="H778" s="305"/>
      <c r="I778" s="305"/>
      <c r="J778" s="305"/>
      <c r="K778" s="305"/>
      <c r="L778" s="305"/>
      <c r="M778" s="305"/>
      <c r="N778" s="305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  <c r="Y778" s="305"/>
      <c r="Z778" s="305"/>
    </row>
    <row r="779" spans="1:26" ht="15.75" customHeight="1">
      <c r="A779" s="305"/>
      <c r="B779" s="305"/>
      <c r="C779" s="305"/>
      <c r="D779" s="305"/>
      <c r="E779" s="305"/>
      <c r="F779" s="305"/>
      <c r="G779" s="305"/>
      <c r="H779" s="305"/>
      <c r="I779" s="305"/>
      <c r="J779" s="305"/>
      <c r="K779" s="305"/>
      <c r="L779" s="305"/>
      <c r="M779" s="305"/>
      <c r="N779" s="305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  <c r="Y779" s="305"/>
      <c r="Z779" s="305"/>
    </row>
    <row r="780" spans="1:26" ht="15.75" customHeight="1">
      <c r="A780" s="305"/>
      <c r="B780" s="305"/>
      <c r="C780" s="305"/>
      <c r="D780" s="305"/>
      <c r="E780" s="305"/>
      <c r="F780" s="305"/>
      <c r="G780" s="305"/>
      <c r="H780" s="305"/>
      <c r="I780" s="305"/>
      <c r="J780" s="305"/>
      <c r="K780" s="305"/>
      <c r="L780" s="305"/>
      <c r="M780" s="305"/>
      <c r="N780" s="305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  <c r="Y780" s="305"/>
      <c r="Z780" s="305"/>
    </row>
    <row r="781" spans="1:26" ht="15.75" customHeight="1">
      <c r="A781" s="305"/>
      <c r="B781" s="305"/>
      <c r="C781" s="305"/>
      <c r="D781" s="305"/>
      <c r="E781" s="305"/>
      <c r="F781" s="305"/>
      <c r="G781" s="305"/>
      <c r="H781" s="305"/>
      <c r="I781" s="305"/>
      <c r="J781" s="305"/>
      <c r="K781" s="305"/>
      <c r="L781" s="305"/>
      <c r="M781" s="305"/>
      <c r="N781" s="305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  <c r="Y781" s="305"/>
      <c r="Z781" s="305"/>
    </row>
    <row r="782" spans="1:26" ht="15.75" customHeight="1">
      <c r="A782" s="305"/>
      <c r="B782" s="305"/>
      <c r="C782" s="305"/>
      <c r="D782" s="305"/>
      <c r="E782" s="305"/>
      <c r="F782" s="305"/>
      <c r="G782" s="305"/>
      <c r="H782" s="305"/>
      <c r="I782" s="305"/>
      <c r="J782" s="305"/>
      <c r="K782" s="305"/>
      <c r="L782" s="305"/>
      <c r="M782" s="305"/>
      <c r="N782" s="305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  <c r="Y782" s="305"/>
      <c r="Z782" s="305"/>
    </row>
    <row r="783" spans="1:26" ht="15.75" customHeight="1">
      <c r="A783" s="305"/>
      <c r="B783" s="305"/>
      <c r="C783" s="305"/>
      <c r="D783" s="305"/>
      <c r="E783" s="305"/>
      <c r="F783" s="305"/>
      <c r="G783" s="305"/>
      <c r="H783" s="305"/>
      <c r="I783" s="305"/>
      <c r="J783" s="305"/>
      <c r="K783" s="305"/>
      <c r="L783" s="305"/>
      <c r="M783" s="305"/>
      <c r="N783" s="305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  <c r="Y783" s="305"/>
      <c r="Z783" s="305"/>
    </row>
    <row r="784" spans="1:26" ht="15.75" customHeight="1">
      <c r="A784" s="305"/>
      <c r="B784" s="305"/>
      <c r="C784" s="305"/>
      <c r="D784" s="305"/>
      <c r="E784" s="305"/>
      <c r="F784" s="305"/>
      <c r="G784" s="305"/>
      <c r="H784" s="305"/>
      <c r="I784" s="305"/>
      <c r="J784" s="305"/>
      <c r="K784" s="305"/>
      <c r="L784" s="305"/>
      <c r="M784" s="305"/>
      <c r="N784" s="305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  <c r="Y784" s="305"/>
      <c r="Z784" s="305"/>
    </row>
    <row r="785" spans="1:26" ht="15.75" customHeight="1">
      <c r="A785" s="305"/>
      <c r="B785" s="305"/>
      <c r="C785" s="305"/>
      <c r="D785" s="305"/>
      <c r="E785" s="305"/>
      <c r="F785" s="305"/>
      <c r="G785" s="305"/>
      <c r="H785" s="305"/>
      <c r="I785" s="305"/>
      <c r="J785" s="305"/>
      <c r="K785" s="305"/>
      <c r="L785" s="305"/>
      <c r="M785" s="305"/>
      <c r="N785" s="305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  <c r="Y785" s="305"/>
      <c r="Z785" s="305"/>
    </row>
    <row r="786" spans="1:26" ht="15.75" customHeight="1">
      <c r="A786" s="305"/>
      <c r="B786" s="305"/>
      <c r="C786" s="305"/>
      <c r="D786" s="305"/>
      <c r="E786" s="305"/>
      <c r="F786" s="305"/>
      <c r="G786" s="305"/>
      <c r="H786" s="305"/>
      <c r="I786" s="305"/>
      <c r="J786" s="305"/>
      <c r="K786" s="305"/>
      <c r="L786" s="305"/>
      <c r="M786" s="305"/>
      <c r="N786" s="305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  <c r="Y786" s="305"/>
      <c r="Z786" s="305"/>
    </row>
    <row r="787" spans="1:26" ht="15.75" customHeight="1">
      <c r="A787" s="305"/>
      <c r="B787" s="305"/>
      <c r="C787" s="305"/>
      <c r="D787" s="305"/>
      <c r="E787" s="305"/>
      <c r="F787" s="305"/>
      <c r="G787" s="305"/>
      <c r="H787" s="305"/>
      <c r="I787" s="305"/>
      <c r="J787" s="305"/>
      <c r="K787" s="305"/>
      <c r="L787" s="305"/>
      <c r="M787" s="305"/>
      <c r="N787" s="305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  <c r="Y787" s="305"/>
      <c r="Z787" s="305"/>
    </row>
    <row r="788" spans="1:26" ht="15.75" customHeight="1">
      <c r="A788" s="305"/>
      <c r="B788" s="305"/>
      <c r="C788" s="305"/>
      <c r="D788" s="305"/>
      <c r="E788" s="305"/>
      <c r="F788" s="305"/>
      <c r="G788" s="305"/>
      <c r="H788" s="305"/>
      <c r="I788" s="305"/>
      <c r="J788" s="305"/>
      <c r="K788" s="305"/>
      <c r="L788" s="305"/>
      <c r="M788" s="305"/>
      <c r="N788" s="305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  <c r="Y788" s="305"/>
      <c r="Z788" s="305"/>
    </row>
    <row r="789" spans="1:26" ht="15.75" customHeight="1">
      <c r="A789" s="305"/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  <c r="Y789" s="305"/>
      <c r="Z789" s="305"/>
    </row>
    <row r="790" spans="1:26" ht="15.75" customHeight="1">
      <c r="A790" s="305"/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  <c r="Y790" s="305"/>
      <c r="Z790" s="305"/>
    </row>
    <row r="791" spans="1:26" ht="15.75" customHeight="1">
      <c r="A791" s="305"/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  <c r="Y791" s="305"/>
      <c r="Z791" s="305"/>
    </row>
    <row r="792" spans="1:26" ht="15.75" customHeight="1">
      <c r="A792" s="305"/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  <c r="Y792" s="305"/>
      <c r="Z792" s="305"/>
    </row>
    <row r="793" spans="1:26" ht="15.75" customHeight="1">
      <c r="A793" s="305"/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  <c r="Y793" s="305"/>
      <c r="Z793" s="305"/>
    </row>
    <row r="794" spans="1:26" ht="15.75" customHeight="1">
      <c r="A794" s="305"/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  <c r="Y794" s="305"/>
      <c r="Z794" s="305"/>
    </row>
    <row r="795" spans="1:26" ht="15.75" customHeight="1">
      <c r="A795" s="305"/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  <c r="Y795" s="305"/>
      <c r="Z795" s="305"/>
    </row>
    <row r="796" spans="1:26" ht="15.75" customHeight="1">
      <c r="A796" s="305"/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  <c r="Y796" s="305"/>
      <c r="Z796" s="305"/>
    </row>
    <row r="797" spans="1:26" ht="15.75" customHeight="1">
      <c r="A797" s="305"/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  <c r="Y797" s="305"/>
      <c r="Z797" s="305"/>
    </row>
    <row r="798" spans="1:26" ht="15.75" customHeight="1">
      <c r="A798" s="305"/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  <c r="Y798" s="305"/>
      <c r="Z798" s="305"/>
    </row>
    <row r="799" spans="1:26" ht="15.75" customHeight="1">
      <c r="A799" s="305"/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  <c r="Y799" s="305"/>
      <c r="Z799" s="305"/>
    </row>
    <row r="800" spans="1:26" ht="15.75" customHeight="1">
      <c r="A800" s="305"/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  <c r="Y800" s="305"/>
      <c r="Z800" s="305"/>
    </row>
    <row r="801" spans="1:26" ht="15.75" customHeight="1">
      <c r="A801" s="305"/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  <c r="Y801" s="305"/>
      <c r="Z801" s="305"/>
    </row>
    <row r="802" spans="1:26" ht="15.75" customHeight="1">
      <c r="A802" s="305"/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  <c r="Y802" s="305"/>
      <c r="Z802" s="305"/>
    </row>
    <row r="803" spans="1:26" ht="15.75" customHeight="1">
      <c r="A803" s="305"/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  <c r="Y803" s="305"/>
      <c r="Z803" s="305"/>
    </row>
    <row r="804" spans="1:26" ht="15.75" customHeight="1">
      <c r="A804" s="305"/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  <c r="Y804" s="305"/>
      <c r="Z804" s="305"/>
    </row>
    <row r="805" spans="1:26" ht="15.75" customHeight="1">
      <c r="A805" s="305"/>
      <c r="B805" s="305"/>
      <c r="C805" s="305"/>
      <c r="D805" s="305"/>
      <c r="E805" s="305"/>
      <c r="F805" s="305"/>
      <c r="G805" s="305"/>
      <c r="H805" s="305"/>
      <c r="I805" s="305"/>
      <c r="J805" s="305"/>
      <c r="K805" s="305"/>
      <c r="L805" s="305"/>
      <c r="M805" s="305"/>
      <c r="N805" s="305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  <c r="Y805" s="305"/>
      <c r="Z805" s="305"/>
    </row>
    <row r="806" spans="1:26" ht="15.75" customHeight="1">
      <c r="A806" s="305"/>
      <c r="B806" s="305"/>
      <c r="C806" s="305"/>
      <c r="D806" s="305"/>
      <c r="E806" s="305"/>
      <c r="F806" s="305"/>
      <c r="G806" s="305"/>
      <c r="H806" s="305"/>
      <c r="I806" s="305"/>
      <c r="J806" s="305"/>
      <c r="K806" s="305"/>
      <c r="L806" s="305"/>
      <c r="M806" s="305"/>
      <c r="N806" s="305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  <c r="Y806" s="305"/>
      <c r="Z806" s="305"/>
    </row>
    <row r="807" spans="1:26" ht="15.75" customHeight="1">
      <c r="A807" s="305"/>
      <c r="B807" s="305"/>
      <c r="C807" s="305"/>
      <c r="D807" s="305"/>
      <c r="E807" s="305"/>
      <c r="F807" s="305"/>
      <c r="G807" s="305"/>
      <c r="H807" s="305"/>
      <c r="I807" s="305"/>
      <c r="J807" s="305"/>
      <c r="K807" s="305"/>
      <c r="L807" s="305"/>
      <c r="M807" s="305"/>
      <c r="N807" s="305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  <c r="Y807" s="305"/>
      <c r="Z807" s="305"/>
    </row>
    <row r="808" spans="1:26" ht="15.75" customHeight="1">
      <c r="A808" s="305"/>
      <c r="B808" s="305"/>
      <c r="C808" s="305"/>
      <c r="D808" s="305"/>
      <c r="E808" s="305"/>
      <c r="F808" s="305"/>
      <c r="G808" s="305"/>
      <c r="H808" s="305"/>
      <c r="I808" s="305"/>
      <c r="J808" s="305"/>
      <c r="K808" s="305"/>
      <c r="L808" s="305"/>
      <c r="M808" s="305"/>
      <c r="N808" s="305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  <c r="Y808" s="305"/>
      <c r="Z808" s="305"/>
    </row>
    <row r="809" spans="1:26" ht="15.75" customHeight="1">
      <c r="A809" s="305"/>
      <c r="B809" s="305"/>
      <c r="C809" s="305"/>
      <c r="D809" s="305"/>
      <c r="E809" s="305"/>
      <c r="F809" s="305"/>
      <c r="G809" s="305"/>
      <c r="H809" s="305"/>
      <c r="I809" s="305"/>
      <c r="J809" s="305"/>
      <c r="K809" s="305"/>
      <c r="L809" s="305"/>
      <c r="M809" s="305"/>
      <c r="N809" s="305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  <c r="Y809" s="305"/>
      <c r="Z809" s="305"/>
    </row>
    <row r="810" spans="1:26" ht="15.75" customHeight="1">
      <c r="A810" s="305"/>
      <c r="B810" s="305"/>
      <c r="C810" s="305"/>
      <c r="D810" s="305"/>
      <c r="E810" s="305"/>
      <c r="F810" s="305"/>
      <c r="G810" s="305"/>
      <c r="H810" s="305"/>
      <c r="I810" s="305"/>
      <c r="J810" s="305"/>
      <c r="K810" s="305"/>
      <c r="L810" s="305"/>
      <c r="M810" s="305"/>
      <c r="N810" s="305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  <c r="Y810" s="305"/>
      <c r="Z810" s="305"/>
    </row>
    <row r="811" spans="1:26" ht="15.75" customHeight="1">
      <c r="A811" s="305"/>
      <c r="B811" s="305"/>
      <c r="C811" s="305"/>
      <c r="D811" s="305"/>
      <c r="E811" s="305"/>
      <c r="F811" s="305"/>
      <c r="G811" s="305"/>
      <c r="H811" s="305"/>
      <c r="I811" s="305"/>
      <c r="J811" s="305"/>
      <c r="K811" s="305"/>
      <c r="L811" s="305"/>
      <c r="M811" s="305"/>
      <c r="N811" s="305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  <c r="Y811" s="305"/>
      <c r="Z811" s="305"/>
    </row>
    <row r="812" spans="1:26" ht="15.75" customHeight="1">
      <c r="A812" s="305"/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  <c r="Y812" s="305"/>
      <c r="Z812" s="305"/>
    </row>
    <row r="813" spans="1:26" ht="15.75" customHeight="1">
      <c r="A813" s="305"/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  <c r="Y813" s="305"/>
      <c r="Z813" s="305"/>
    </row>
    <row r="814" spans="1:26" ht="15.75" customHeight="1">
      <c r="A814" s="305"/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  <c r="Y814" s="305"/>
      <c r="Z814" s="305"/>
    </row>
    <row r="815" spans="1:26" ht="15.75" customHeight="1">
      <c r="A815" s="305"/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  <c r="Y815" s="305"/>
      <c r="Z815" s="305"/>
    </row>
    <row r="816" spans="1:26" ht="15.75" customHeight="1">
      <c r="A816" s="305"/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  <c r="Y816" s="305"/>
      <c r="Z816" s="305"/>
    </row>
    <row r="817" spans="1:26" ht="15.75" customHeight="1">
      <c r="A817" s="305"/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  <c r="Y817" s="305"/>
      <c r="Z817" s="305"/>
    </row>
    <row r="818" spans="1:26" ht="15.75" customHeight="1">
      <c r="A818" s="305"/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  <c r="Y818" s="305"/>
      <c r="Z818" s="305"/>
    </row>
    <row r="819" spans="1:26" ht="15.75" customHeight="1">
      <c r="A819" s="305"/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  <c r="Y819" s="305"/>
      <c r="Z819" s="305"/>
    </row>
    <row r="820" spans="1:26" ht="15.75" customHeight="1">
      <c r="A820" s="305"/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  <c r="Y820" s="305"/>
      <c r="Z820" s="305"/>
    </row>
    <row r="821" spans="1:26" ht="15.75" customHeight="1">
      <c r="A821" s="305"/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  <c r="Y821" s="305"/>
      <c r="Z821" s="305"/>
    </row>
    <row r="822" spans="1:26" ht="15.75" customHeight="1">
      <c r="A822" s="305"/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  <c r="Y822" s="305"/>
      <c r="Z822" s="305"/>
    </row>
    <row r="823" spans="1:26" ht="15.75" customHeight="1">
      <c r="A823" s="305"/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  <c r="Y823" s="305"/>
      <c r="Z823" s="305"/>
    </row>
    <row r="824" spans="1:26" ht="15.75" customHeight="1">
      <c r="A824" s="305"/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  <c r="Y824" s="305"/>
      <c r="Z824" s="305"/>
    </row>
    <row r="825" spans="1:26" ht="15.75" customHeight="1">
      <c r="A825" s="305"/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  <c r="Y825" s="305"/>
      <c r="Z825" s="305"/>
    </row>
    <row r="826" spans="1:26" ht="15.75" customHeight="1">
      <c r="A826" s="305"/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  <c r="Y826" s="305"/>
      <c r="Z826" s="305"/>
    </row>
    <row r="827" spans="1:26" ht="15.75" customHeight="1">
      <c r="A827" s="305"/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  <c r="Y827" s="305"/>
      <c r="Z827" s="305"/>
    </row>
    <row r="828" spans="1:26" ht="15.75" customHeight="1">
      <c r="A828" s="305"/>
      <c r="B828" s="305"/>
      <c r="C828" s="305"/>
      <c r="D828" s="305"/>
      <c r="E828" s="305"/>
      <c r="F828" s="305"/>
      <c r="G828" s="305"/>
      <c r="H828" s="305"/>
      <c r="I828" s="305"/>
      <c r="J828" s="305"/>
      <c r="K828" s="305"/>
      <c r="L828" s="305"/>
      <c r="M828" s="305"/>
      <c r="N828" s="305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  <c r="Y828" s="305"/>
      <c r="Z828" s="305"/>
    </row>
    <row r="829" spans="1:26" ht="15.75" customHeight="1">
      <c r="A829" s="305"/>
      <c r="B829" s="305"/>
      <c r="C829" s="305"/>
      <c r="D829" s="305"/>
      <c r="E829" s="305"/>
      <c r="F829" s="305"/>
      <c r="G829" s="305"/>
      <c r="H829" s="305"/>
      <c r="I829" s="305"/>
      <c r="J829" s="305"/>
      <c r="K829" s="305"/>
      <c r="L829" s="305"/>
      <c r="M829" s="305"/>
      <c r="N829" s="305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  <c r="Y829" s="305"/>
      <c r="Z829" s="305"/>
    </row>
    <row r="830" spans="1:26" ht="15.75" customHeight="1">
      <c r="A830" s="305"/>
      <c r="B830" s="305"/>
      <c r="C830" s="305"/>
      <c r="D830" s="305"/>
      <c r="E830" s="305"/>
      <c r="F830" s="305"/>
      <c r="G830" s="305"/>
      <c r="H830" s="305"/>
      <c r="I830" s="305"/>
      <c r="J830" s="305"/>
      <c r="K830" s="305"/>
      <c r="L830" s="305"/>
      <c r="M830" s="305"/>
      <c r="N830" s="305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  <c r="Y830" s="305"/>
      <c r="Z830" s="305"/>
    </row>
    <row r="831" spans="1:26" ht="15.75" customHeight="1">
      <c r="A831" s="305"/>
      <c r="B831" s="305"/>
      <c r="C831" s="305"/>
      <c r="D831" s="305"/>
      <c r="E831" s="305"/>
      <c r="F831" s="305"/>
      <c r="G831" s="305"/>
      <c r="H831" s="305"/>
      <c r="I831" s="305"/>
      <c r="J831" s="305"/>
      <c r="K831" s="305"/>
      <c r="L831" s="305"/>
      <c r="M831" s="305"/>
      <c r="N831" s="305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  <c r="Y831" s="305"/>
      <c r="Z831" s="305"/>
    </row>
    <row r="832" spans="1:26" ht="15.75" customHeight="1">
      <c r="A832" s="305"/>
      <c r="B832" s="305"/>
      <c r="C832" s="305"/>
      <c r="D832" s="305"/>
      <c r="E832" s="305"/>
      <c r="F832" s="305"/>
      <c r="G832" s="305"/>
      <c r="H832" s="305"/>
      <c r="I832" s="305"/>
      <c r="J832" s="305"/>
      <c r="K832" s="305"/>
      <c r="L832" s="305"/>
      <c r="M832" s="305"/>
      <c r="N832" s="305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  <c r="Y832" s="305"/>
      <c r="Z832" s="305"/>
    </row>
    <row r="833" spans="1:26" ht="15.75" customHeight="1">
      <c r="A833" s="305"/>
      <c r="B833" s="305"/>
      <c r="C833" s="305"/>
      <c r="D833" s="305"/>
      <c r="E833" s="305"/>
      <c r="F833" s="305"/>
      <c r="G833" s="305"/>
      <c r="H833" s="305"/>
      <c r="I833" s="305"/>
      <c r="J833" s="305"/>
      <c r="K833" s="305"/>
      <c r="L833" s="305"/>
      <c r="M833" s="305"/>
      <c r="N833" s="305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  <c r="Y833" s="305"/>
      <c r="Z833" s="305"/>
    </row>
    <row r="834" spans="1:26" ht="15.75" customHeight="1">
      <c r="A834" s="305"/>
      <c r="B834" s="305"/>
      <c r="C834" s="305"/>
      <c r="D834" s="305"/>
      <c r="E834" s="305"/>
      <c r="F834" s="305"/>
      <c r="G834" s="305"/>
      <c r="H834" s="305"/>
      <c r="I834" s="305"/>
      <c r="J834" s="305"/>
      <c r="K834" s="305"/>
      <c r="L834" s="305"/>
      <c r="M834" s="305"/>
      <c r="N834" s="305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  <c r="Y834" s="305"/>
      <c r="Z834" s="305"/>
    </row>
    <row r="835" spans="1:26" ht="15.75" customHeight="1">
      <c r="A835" s="305"/>
      <c r="B835" s="305"/>
      <c r="C835" s="305"/>
      <c r="D835" s="305"/>
      <c r="E835" s="305"/>
      <c r="F835" s="305"/>
      <c r="G835" s="305"/>
      <c r="H835" s="305"/>
      <c r="I835" s="305"/>
      <c r="J835" s="305"/>
      <c r="K835" s="305"/>
      <c r="L835" s="305"/>
      <c r="M835" s="305"/>
      <c r="N835" s="305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  <c r="Y835" s="305"/>
      <c r="Z835" s="305"/>
    </row>
    <row r="836" spans="1:26" ht="15.75" customHeight="1">
      <c r="A836" s="305"/>
      <c r="B836" s="305"/>
      <c r="C836" s="305"/>
      <c r="D836" s="305"/>
      <c r="E836" s="305"/>
      <c r="F836" s="305"/>
      <c r="G836" s="305"/>
      <c r="H836" s="305"/>
      <c r="I836" s="305"/>
      <c r="J836" s="305"/>
      <c r="K836" s="305"/>
      <c r="L836" s="305"/>
      <c r="M836" s="305"/>
      <c r="N836" s="305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  <c r="Y836" s="305"/>
      <c r="Z836" s="305"/>
    </row>
    <row r="837" spans="1:26" ht="15.75" customHeight="1">
      <c r="A837" s="305"/>
      <c r="B837" s="305"/>
      <c r="C837" s="305"/>
      <c r="D837" s="305"/>
      <c r="E837" s="305"/>
      <c r="F837" s="305"/>
      <c r="G837" s="305"/>
      <c r="H837" s="305"/>
      <c r="I837" s="305"/>
      <c r="J837" s="305"/>
      <c r="K837" s="305"/>
      <c r="L837" s="305"/>
      <c r="M837" s="305"/>
      <c r="N837" s="305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  <c r="Y837" s="305"/>
      <c r="Z837" s="305"/>
    </row>
    <row r="838" spans="1:26" ht="15.75" customHeight="1">
      <c r="A838" s="305"/>
      <c r="B838" s="305"/>
      <c r="C838" s="305"/>
      <c r="D838" s="305"/>
      <c r="E838" s="305"/>
      <c r="F838" s="305"/>
      <c r="G838" s="305"/>
      <c r="H838" s="305"/>
      <c r="I838" s="305"/>
      <c r="J838" s="305"/>
      <c r="K838" s="305"/>
      <c r="L838" s="305"/>
      <c r="M838" s="305"/>
      <c r="N838" s="305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  <c r="Y838" s="305"/>
      <c r="Z838" s="305"/>
    </row>
    <row r="839" spans="1:26" ht="15.75" customHeight="1">
      <c r="A839" s="305"/>
      <c r="B839" s="305"/>
      <c r="C839" s="305"/>
      <c r="D839" s="305"/>
      <c r="E839" s="305"/>
      <c r="F839" s="305"/>
      <c r="G839" s="305"/>
      <c r="H839" s="305"/>
      <c r="I839" s="305"/>
      <c r="J839" s="305"/>
      <c r="K839" s="305"/>
      <c r="L839" s="305"/>
      <c r="M839" s="305"/>
      <c r="N839" s="305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  <c r="Y839" s="305"/>
      <c r="Z839" s="305"/>
    </row>
    <row r="840" spans="1:26" ht="15.75" customHeight="1">
      <c r="A840" s="305"/>
      <c r="B840" s="305"/>
      <c r="C840" s="305"/>
      <c r="D840" s="305"/>
      <c r="E840" s="305"/>
      <c r="F840" s="305"/>
      <c r="G840" s="305"/>
      <c r="H840" s="305"/>
      <c r="I840" s="305"/>
      <c r="J840" s="305"/>
      <c r="K840" s="305"/>
      <c r="L840" s="305"/>
      <c r="M840" s="305"/>
      <c r="N840" s="305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  <c r="Y840" s="305"/>
      <c r="Z840" s="305"/>
    </row>
    <row r="841" spans="1:26" ht="15.75" customHeight="1">
      <c r="A841" s="305"/>
      <c r="B841" s="305"/>
      <c r="C841" s="305"/>
      <c r="D841" s="305"/>
      <c r="E841" s="305"/>
      <c r="F841" s="305"/>
      <c r="G841" s="305"/>
      <c r="H841" s="305"/>
      <c r="I841" s="305"/>
      <c r="J841" s="305"/>
      <c r="K841" s="305"/>
      <c r="L841" s="305"/>
      <c r="M841" s="305"/>
      <c r="N841" s="305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  <c r="Y841" s="305"/>
      <c r="Z841" s="305"/>
    </row>
    <row r="842" spans="1:26" ht="15.75" customHeight="1">
      <c r="A842" s="305"/>
      <c r="B842" s="305"/>
      <c r="C842" s="305"/>
      <c r="D842" s="305"/>
      <c r="E842" s="305"/>
      <c r="F842" s="305"/>
      <c r="G842" s="305"/>
      <c r="H842" s="305"/>
      <c r="I842" s="305"/>
      <c r="J842" s="305"/>
      <c r="K842" s="305"/>
      <c r="L842" s="305"/>
      <c r="M842" s="305"/>
      <c r="N842" s="305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  <c r="Y842" s="305"/>
      <c r="Z842" s="305"/>
    </row>
    <row r="843" spans="1:26" ht="15.75" customHeight="1">
      <c r="A843" s="305"/>
      <c r="B843" s="305"/>
      <c r="C843" s="305"/>
      <c r="D843" s="305"/>
      <c r="E843" s="305"/>
      <c r="F843" s="305"/>
      <c r="G843" s="305"/>
      <c r="H843" s="305"/>
      <c r="I843" s="305"/>
      <c r="J843" s="305"/>
      <c r="K843" s="305"/>
      <c r="L843" s="305"/>
      <c r="M843" s="305"/>
      <c r="N843" s="305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  <c r="Y843" s="305"/>
      <c r="Z843" s="305"/>
    </row>
    <row r="844" spans="1:26" ht="15.75" customHeight="1">
      <c r="A844" s="305"/>
      <c r="B844" s="305"/>
      <c r="C844" s="305"/>
      <c r="D844" s="305"/>
      <c r="E844" s="305"/>
      <c r="F844" s="305"/>
      <c r="G844" s="305"/>
      <c r="H844" s="305"/>
      <c r="I844" s="305"/>
      <c r="J844" s="305"/>
      <c r="K844" s="305"/>
      <c r="L844" s="305"/>
      <c r="M844" s="305"/>
      <c r="N844" s="305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  <c r="Y844" s="305"/>
      <c r="Z844" s="305"/>
    </row>
    <row r="845" spans="1:26" ht="15.75" customHeight="1">
      <c r="A845" s="305"/>
      <c r="B845" s="305"/>
      <c r="C845" s="305"/>
      <c r="D845" s="305"/>
      <c r="E845" s="305"/>
      <c r="F845" s="305"/>
      <c r="G845" s="305"/>
      <c r="H845" s="305"/>
      <c r="I845" s="305"/>
      <c r="J845" s="305"/>
      <c r="K845" s="305"/>
      <c r="L845" s="305"/>
      <c r="M845" s="305"/>
      <c r="N845" s="305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  <c r="Y845" s="305"/>
      <c r="Z845" s="305"/>
    </row>
    <row r="846" spans="1:26" ht="15.75" customHeight="1">
      <c r="A846" s="305"/>
      <c r="B846" s="305"/>
      <c r="C846" s="305"/>
      <c r="D846" s="305"/>
      <c r="E846" s="305"/>
      <c r="F846" s="305"/>
      <c r="G846" s="305"/>
      <c r="H846" s="305"/>
      <c r="I846" s="305"/>
      <c r="J846" s="305"/>
      <c r="K846" s="305"/>
      <c r="L846" s="305"/>
      <c r="M846" s="305"/>
      <c r="N846" s="305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  <c r="Y846" s="305"/>
      <c r="Z846" s="305"/>
    </row>
    <row r="847" spans="1:26" ht="15.75" customHeight="1">
      <c r="A847" s="305"/>
      <c r="B847" s="305"/>
      <c r="C847" s="305"/>
      <c r="D847" s="305"/>
      <c r="E847" s="305"/>
      <c r="F847" s="305"/>
      <c r="G847" s="305"/>
      <c r="H847" s="305"/>
      <c r="I847" s="305"/>
      <c r="J847" s="305"/>
      <c r="K847" s="305"/>
      <c r="L847" s="305"/>
      <c r="M847" s="305"/>
      <c r="N847" s="305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  <c r="Y847" s="305"/>
      <c r="Z847" s="305"/>
    </row>
    <row r="848" spans="1:26" ht="15.75" customHeight="1">
      <c r="A848" s="305"/>
      <c r="B848" s="305"/>
      <c r="C848" s="305"/>
      <c r="D848" s="305"/>
      <c r="E848" s="305"/>
      <c r="F848" s="305"/>
      <c r="G848" s="305"/>
      <c r="H848" s="305"/>
      <c r="I848" s="305"/>
      <c r="J848" s="305"/>
      <c r="K848" s="305"/>
      <c r="L848" s="305"/>
      <c r="M848" s="305"/>
      <c r="N848" s="305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  <c r="Y848" s="305"/>
      <c r="Z848" s="305"/>
    </row>
    <row r="849" spans="1:26" ht="15.75" customHeight="1">
      <c r="A849" s="305"/>
      <c r="B849" s="305"/>
      <c r="C849" s="305"/>
      <c r="D849" s="305"/>
      <c r="E849" s="305"/>
      <c r="F849" s="305"/>
      <c r="G849" s="305"/>
      <c r="H849" s="305"/>
      <c r="I849" s="305"/>
      <c r="J849" s="305"/>
      <c r="K849" s="305"/>
      <c r="L849" s="305"/>
      <c r="M849" s="305"/>
      <c r="N849" s="305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  <c r="Y849" s="305"/>
      <c r="Z849" s="305"/>
    </row>
    <row r="850" spans="1:26" ht="15.75" customHeight="1">
      <c r="A850" s="305"/>
      <c r="B850" s="305"/>
      <c r="C850" s="305"/>
      <c r="D850" s="305"/>
      <c r="E850" s="305"/>
      <c r="F850" s="305"/>
      <c r="G850" s="305"/>
      <c r="H850" s="305"/>
      <c r="I850" s="305"/>
      <c r="J850" s="305"/>
      <c r="K850" s="305"/>
      <c r="L850" s="305"/>
      <c r="M850" s="305"/>
      <c r="N850" s="305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  <c r="Y850" s="305"/>
      <c r="Z850" s="305"/>
    </row>
    <row r="851" spans="1:26" ht="15.75" customHeight="1">
      <c r="A851" s="305"/>
      <c r="B851" s="305"/>
      <c r="C851" s="305"/>
      <c r="D851" s="305"/>
      <c r="E851" s="305"/>
      <c r="F851" s="305"/>
      <c r="G851" s="305"/>
      <c r="H851" s="305"/>
      <c r="I851" s="305"/>
      <c r="J851" s="305"/>
      <c r="K851" s="305"/>
      <c r="L851" s="305"/>
      <c r="M851" s="305"/>
      <c r="N851" s="305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  <c r="Y851" s="305"/>
      <c r="Z851" s="305"/>
    </row>
    <row r="852" spans="1:26" ht="15.75" customHeight="1">
      <c r="A852" s="305"/>
      <c r="B852" s="305"/>
      <c r="C852" s="305"/>
      <c r="D852" s="305"/>
      <c r="E852" s="305"/>
      <c r="F852" s="305"/>
      <c r="G852" s="305"/>
      <c r="H852" s="305"/>
      <c r="I852" s="305"/>
      <c r="J852" s="305"/>
      <c r="K852" s="305"/>
      <c r="L852" s="305"/>
      <c r="M852" s="305"/>
      <c r="N852" s="305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  <c r="Y852" s="305"/>
      <c r="Z852" s="305"/>
    </row>
    <row r="853" spans="1:26" ht="15.75" customHeight="1">
      <c r="A853" s="305"/>
      <c r="B853" s="305"/>
      <c r="C853" s="305"/>
      <c r="D853" s="305"/>
      <c r="E853" s="305"/>
      <c r="F853" s="305"/>
      <c r="G853" s="305"/>
      <c r="H853" s="305"/>
      <c r="I853" s="305"/>
      <c r="J853" s="305"/>
      <c r="K853" s="305"/>
      <c r="L853" s="305"/>
      <c r="M853" s="305"/>
      <c r="N853" s="305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  <c r="Y853" s="305"/>
      <c r="Z853" s="305"/>
    </row>
    <row r="854" spans="1:26" ht="15.75" customHeight="1">
      <c r="A854" s="305"/>
      <c r="B854" s="305"/>
      <c r="C854" s="305"/>
      <c r="D854" s="305"/>
      <c r="E854" s="305"/>
      <c r="F854" s="305"/>
      <c r="G854" s="305"/>
      <c r="H854" s="305"/>
      <c r="I854" s="305"/>
      <c r="J854" s="305"/>
      <c r="K854" s="305"/>
      <c r="L854" s="305"/>
      <c r="M854" s="305"/>
      <c r="N854" s="305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  <c r="Y854" s="305"/>
      <c r="Z854" s="305"/>
    </row>
    <row r="855" spans="1:26" ht="15.75" customHeight="1">
      <c r="A855" s="305"/>
      <c r="B855" s="305"/>
      <c r="C855" s="305"/>
      <c r="D855" s="305"/>
      <c r="E855" s="305"/>
      <c r="F855" s="305"/>
      <c r="G855" s="305"/>
      <c r="H855" s="305"/>
      <c r="I855" s="305"/>
      <c r="J855" s="305"/>
      <c r="K855" s="305"/>
      <c r="L855" s="305"/>
      <c r="M855" s="305"/>
      <c r="N855" s="305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  <c r="Y855" s="305"/>
      <c r="Z855" s="305"/>
    </row>
    <row r="856" spans="1:26" ht="15.75" customHeight="1">
      <c r="A856" s="305"/>
      <c r="B856" s="305"/>
      <c r="C856" s="305"/>
      <c r="D856" s="305"/>
      <c r="E856" s="305"/>
      <c r="F856" s="305"/>
      <c r="G856" s="305"/>
      <c r="H856" s="305"/>
      <c r="I856" s="305"/>
      <c r="J856" s="305"/>
      <c r="K856" s="305"/>
      <c r="L856" s="305"/>
      <c r="M856" s="305"/>
      <c r="N856" s="305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  <c r="Y856" s="305"/>
      <c r="Z856" s="305"/>
    </row>
    <row r="857" spans="1:26" ht="15.75" customHeight="1">
      <c r="A857" s="305"/>
      <c r="B857" s="305"/>
      <c r="C857" s="305"/>
      <c r="D857" s="305"/>
      <c r="E857" s="305"/>
      <c r="F857" s="305"/>
      <c r="G857" s="305"/>
      <c r="H857" s="305"/>
      <c r="I857" s="305"/>
      <c r="J857" s="305"/>
      <c r="K857" s="305"/>
      <c r="L857" s="305"/>
      <c r="M857" s="305"/>
      <c r="N857" s="305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  <c r="Y857" s="305"/>
      <c r="Z857" s="305"/>
    </row>
    <row r="858" spans="1:26" ht="15.75" customHeight="1">
      <c r="A858" s="305"/>
      <c r="B858" s="305"/>
      <c r="C858" s="305"/>
      <c r="D858" s="305"/>
      <c r="E858" s="305"/>
      <c r="F858" s="305"/>
      <c r="G858" s="305"/>
      <c r="H858" s="305"/>
      <c r="I858" s="305"/>
      <c r="J858" s="305"/>
      <c r="K858" s="305"/>
      <c r="L858" s="305"/>
      <c r="M858" s="305"/>
      <c r="N858" s="305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  <c r="Y858" s="305"/>
      <c r="Z858" s="305"/>
    </row>
    <row r="859" spans="1:26" ht="15.75" customHeight="1">
      <c r="A859" s="305"/>
      <c r="B859" s="305"/>
      <c r="C859" s="305"/>
      <c r="D859" s="305"/>
      <c r="E859" s="305"/>
      <c r="F859" s="305"/>
      <c r="G859" s="305"/>
      <c r="H859" s="305"/>
      <c r="I859" s="305"/>
      <c r="J859" s="305"/>
      <c r="K859" s="305"/>
      <c r="L859" s="305"/>
      <c r="M859" s="305"/>
      <c r="N859" s="305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  <c r="Y859" s="305"/>
      <c r="Z859" s="305"/>
    </row>
    <row r="860" spans="1:26" ht="15.75" customHeight="1">
      <c r="A860" s="305"/>
      <c r="B860" s="305"/>
      <c r="C860" s="305"/>
      <c r="D860" s="305"/>
      <c r="E860" s="305"/>
      <c r="F860" s="305"/>
      <c r="G860" s="305"/>
      <c r="H860" s="305"/>
      <c r="I860" s="305"/>
      <c r="J860" s="305"/>
      <c r="K860" s="305"/>
      <c r="L860" s="305"/>
      <c r="M860" s="305"/>
      <c r="N860" s="305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  <c r="Y860" s="305"/>
      <c r="Z860" s="305"/>
    </row>
    <row r="861" spans="1:26" ht="15.75" customHeight="1">
      <c r="A861" s="305"/>
      <c r="B861" s="305"/>
      <c r="C861" s="305"/>
      <c r="D861" s="305"/>
      <c r="E861" s="305"/>
      <c r="F861" s="305"/>
      <c r="G861" s="305"/>
      <c r="H861" s="305"/>
      <c r="I861" s="305"/>
      <c r="J861" s="305"/>
      <c r="K861" s="305"/>
      <c r="L861" s="305"/>
      <c r="M861" s="305"/>
      <c r="N861" s="305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  <c r="Y861" s="305"/>
      <c r="Z861" s="305"/>
    </row>
    <row r="862" spans="1:26" ht="15.75" customHeight="1">
      <c r="A862" s="305"/>
      <c r="B862" s="305"/>
      <c r="C862" s="305"/>
      <c r="D862" s="305"/>
      <c r="E862" s="305"/>
      <c r="F862" s="305"/>
      <c r="G862" s="305"/>
      <c r="H862" s="305"/>
      <c r="I862" s="305"/>
      <c r="J862" s="305"/>
      <c r="K862" s="305"/>
      <c r="L862" s="305"/>
      <c r="M862" s="305"/>
      <c r="N862" s="305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  <c r="Y862" s="305"/>
      <c r="Z862" s="305"/>
    </row>
    <row r="863" spans="1:26" ht="15.75" customHeight="1">
      <c r="A863" s="305"/>
      <c r="B863" s="305"/>
      <c r="C863" s="305"/>
      <c r="D863" s="305"/>
      <c r="E863" s="305"/>
      <c r="F863" s="305"/>
      <c r="G863" s="305"/>
      <c r="H863" s="305"/>
      <c r="I863" s="305"/>
      <c r="J863" s="305"/>
      <c r="K863" s="305"/>
      <c r="L863" s="305"/>
      <c r="M863" s="305"/>
      <c r="N863" s="305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  <c r="Y863" s="305"/>
      <c r="Z863" s="305"/>
    </row>
    <row r="864" spans="1:26" ht="15.75" customHeight="1">
      <c r="A864" s="305"/>
      <c r="B864" s="305"/>
      <c r="C864" s="305"/>
      <c r="D864" s="305"/>
      <c r="E864" s="305"/>
      <c r="F864" s="305"/>
      <c r="G864" s="305"/>
      <c r="H864" s="305"/>
      <c r="I864" s="305"/>
      <c r="J864" s="305"/>
      <c r="K864" s="305"/>
      <c r="L864" s="305"/>
      <c r="M864" s="305"/>
      <c r="N864" s="305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  <c r="Y864" s="305"/>
      <c r="Z864" s="305"/>
    </row>
    <row r="865" spans="1:26" ht="15.75" customHeight="1">
      <c r="A865" s="305"/>
      <c r="B865" s="305"/>
      <c r="C865" s="305"/>
      <c r="D865" s="305"/>
      <c r="E865" s="305"/>
      <c r="F865" s="305"/>
      <c r="G865" s="305"/>
      <c r="H865" s="305"/>
      <c r="I865" s="305"/>
      <c r="J865" s="305"/>
      <c r="K865" s="305"/>
      <c r="L865" s="305"/>
      <c r="M865" s="305"/>
      <c r="N865" s="305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  <c r="Y865" s="305"/>
      <c r="Z865" s="305"/>
    </row>
    <row r="866" spans="1:26" ht="15.75" customHeight="1">
      <c r="A866" s="305"/>
      <c r="B866" s="305"/>
      <c r="C866" s="305"/>
      <c r="D866" s="305"/>
      <c r="E866" s="305"/>
      <c r="F866" s="305"/>
      <c r="G866" s="305"/>
      <c r="H866" s="305"/>
      <c r="I866" s="305"/>
      <c r="J866" s="305"/>
      <c r="K866" s="305"/>
      <c r="L866" s="305"/>
      <c r="M866" s="305"/>
      <c r="N866" s="305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  <c r="Y866" s="305"/>
      <c r="Z866" s="305"/>
    </row>
    <row r="867" spans="1:26" ht="15.75" customHeight="1">
      <c r="A867" s="305"/>
      <c r="B867" s="305"/>
      <c r="C867" s="305"/>
      <c r="D867" s="305"/>
      <c r="E867" s="305"/>
      <c r="F867" s="305"/>
      <c r="G867" s="305"/>
      <c r="H867" s="305"/>
      <c r="I867" s="305"/>
      <c r="J867" s="305"/>
      <c r="K867" s="305"/>
      <c r="L867" s="305"/>
      <c r="M867" s="305"/>
      <c r="N867" s="305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  <c r="Y867" s="305"/>
      <c r="Z867" s="305"/>
    </row>
    <row r="868" spans="1:26" ht="15.75" customHeight="1">
      <c r="A868" s="305"/>
      <c r="B868" s="305"/>
      <c r="C868" s="305"/>
      <c r="D868" s="305"/>
      <c r="E868" s="305"/>
      <c r="F868" s="305"/>
      <c r="G868" s="305"/>
      <c r="H868" s="305"/>
      <c r="I868" s="305"/>
      <c r="J868" s="305"/>
      <c r="K868" s="305"/>
      <c r="L868" s="305"/>
      <c r="M868" s="305"/>
      <c r="N868" s="305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  <c r="Y868" s="305"/>
      <c r="Z868" s="305"/>
    </row>
    <row r="869" spans="1:26" ht="15.75" customHeight="1">
      <c r="A869" s="305"/>
      <c r="B869" s="305"/>
      <c r="C869" s="305"/>
      <c r="D869" s="305"/>
      <c r="E869" s="305"/>
      <c r="F869" s="305"/>
      <c r="G869" s="305"/>
      <c r="H869" s="305"/>
      <c r="I869" s="305"/>
      <c r="J869" s="305"/>
      <c r="K869" s="305"/>
      <c r="L869" s="305"/>
      <c r="M869" s="305"/>
      <c r="N869" s="305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  <c r="Y869" s="305"/>
      <c r="Z869" s="305"/>
    </row>
    <row r="870" spans="1:26" ht="15.75" customHeight="1">
      <c r="A870" s="305"/>
      <c r="B870" s="305"/>
      <c r="C870" s="305"/>
      <c r="D870" s="305"/>
      <c r="E870" s="305"/>
      <c r="F870" s="305"/>
      <c r="G870" s="305"/>
      <c r="H870" s="305"/>
      <c r="I870" s="305"/>
      <c r="J870" s="305"/>
      <c r="K870" s="305"/>
      <c r="L870" s="305"/>
      <c r="M870" s="305"/>
      <c r="N870" s="305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  <c r="Y870" s="305"/>
      <c r="Z870" s="305"/>
    </row>
    <row r="871" spans="1:26" ht="15.75" customHeight="1">
      <c r="A871" s="305"/>
      <c r="B871" s="305"/>
      <c r="C871" s="305"/>
      <c r="D871" s="305"/>
      <c r="E871" s="305"/>
      <c r="F871" s="305"/>
      <c r="G871" s="305"/>
      <c r="H871" s="305"/>
      <c r="I871" s="305"/>
      <c r="J871" s="305"/>
      <c r="K871" s="305"/>
      <c r="L871" s="305"/>
      <c r="M871" s="305"/>
      <c r="N871" s="305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  <c r="Y871" s="305"/>
      <c r="Z871" s="305"/>
    </row>
    <row r="872" spans="1:26" ht="15.75" customHeight="1">
      <c r="A872" s="305"/>
      <c r="B872" s="305"/>
      <c r="C872" s="305"/>
      <c r="D872" s="305"/>
      <c r="E872" s="305"/>
      <c r="F872" s="305"/>
      <c r="G872" s="305"/>
      <c r="H872" s="305"/>
      <c r="I872" s="305"/>
      <c r="J872" s="305"/>
      <c r="K872" s="305"/>
      <c r="L872" s="305"/>
      <c r="M872" s="305"/>
      <c r="N872" s="305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  <c r="Y872" s="305"/>
      <c r="Z872" s="305"/>
    </row>
    <row r="873" spans="1:26" ht="15.75" customHeight="1">
      <c r="A873" s="305"/>
      <c r="B873" s="305"/>
      <c r="C873" s="305"/>
      <c r="D873" s="305"/>
      <c r="E873" s="305"/>
      <c r="F873" s="305"/>
      <c r="G873" s="305"/>
      <c r="H873" s="305"/>
      <c r="I873" s="305"/>
      <c r="J873" s="305"/>
      <c r="K873" s="305"/>
      <c r="L873" s="305"/>
      <c r="M873" s="305"/>
      <c r="N873" s="305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  <c r="Y873" s="305"/>
      <c r="Z873" s="305"/>
    </row>
    <row r="874" spans="1:26" ht="15.75" customHeight="1">
      <c r="A874" s="305"/>
      <c r="B874" s="305"/>
      <c r="C874" s="305"/>
      <c r="D874" s="305"/>
      <c r="E874" s="305"/>
      <c r="F874" s="305"/>
      <c r="G874" s="305"/>
      <c r="H874" s="305"/>
      <c r="I874" s="305"/>
      <c r="J874" s="305"/>
      <c r="K874" s="305"/>
      <c r="L874" s="305"/>
      <c r="M874" s="305"/>
      <c r="N874" s="305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  <c r="Y874" s="305"/>
      <c r="Z874" s="305"/>
    </row>
    <row r="875" spans="1:26" ht="15.75" customHeight="1">
      <c r="A875" s="305"/>
      <c r="B875" s="305"/>
      <c r="C875" s="305"/>
      <c r="D875" s="305"/>
      <c r="E875" s="305"/>
      <c r="F875" s="305"/>
      <c r="G875" s="305"/>
      <c r="H875" s="305"/>
      <c r="I875" s="305"/>
      <c r="J875" s="305"/>
      <c r="K875" s="305"/>
      <c r="L875" s="305"/>
      <c r="M875" s="305"/>
      <c r="N875" s="305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  <c r="Y875" s="305"/>
      <c r="Z875" s="305"/>
    </row>
    <row r="876" spans="1:26" ht="15.75" customHeight="1">
      <c r="A876" s="305"/>
      <c r="B876" s="305"/>
      <c r="C876" s="305"/>
      <c r="D876" s="305"/>
      <c r="E876" s="305"/>
      <c r="F876" s="305"/>
      <c r="G876" s="305"/>
      <c r="H876" s="305"/>
      <c r="I876" s="305"/>
      <c r="J876" s="305"/>
      <c r="K876" s="305"/>
      <c r="L876" s="305"/>
      <c r="M876" s="305"/>
      <c r="N876" s="305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  <c r="Y876" s="305"/>
      <c r="Z876" s="305"/>
    </row>
    <row r="877" spans="1:26" ht="15.75" customHeight="1">
      <c r="A877" s="305"/>
      <c r="B877" s="305"/>
      <c r="C877" s="305"/>
      <c r="D877" s="305"/>
      <c r="E877" s="305"/>
      <c r="F877" s="305"/>
      <c r="G877" s="305"/>
      <c r="H877" s="305"/>
      <c r="I877" s="305"/>
      <c r="J877" s="305"/>
      <c r="K877" s="305"/>
      <c r="L877" s="305"/>
      <c r="M877" s="305"/>
      <c r="N877" s="305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  <c r="Y877" s="305"/>
      <c r="Z877" s="305"/>
    </row>
    <row r="878" spans="1:26" ht="15.75" customHeight="1">
      <c r="A878" s="305"/>
      <c r="B878" s="305"/>
      <c r="C878" s="305"/>
      <c r="D878" s="305"/>
      <c r="E878" s="305"/>
      <c r="F878" s="305"/>
      <c r="G878" s="305"/>
      <c r="H878" s="305"/>
      <c r="I878" s="305"/>
      <c r="J878" s="305"/>
      <c r="K878" s="305"/>
      <c r="L878" s="305"/>
      <c r="M878" s="305"/>
      <c r="N878" s="305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  <c r="Y878" s="305"/>
      <c r="Z878" s="305"/>
    </row>
    <row r="879" spans="1:26" ht="15.75" customHeight="1">
      <c r="A879" s="305"/>
      <c r="B879" s="305"/>
      <c r="C879" s="305"/>
      <c r="D879" s="305"/>
      <c r="E879" s="305"/>
      <c r="F879" s="305"/>
      <c r="G879" s="305"/>
      <c r="H879" s="305"/>
      <c r="I879" s="305"/>
      <c r="J879" s="305"/>
      <c r="K879" s="305"/>
      <c r="L879" s="305"/>
      <c r="M879" s="305"/>
      <c r="N879" s="305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  <c r="Y879" s="305"/>
      <c r="Z879" s="305"/>
    </row>
    <row r="880" spans="1:26" ht="15.75" customHeight="1">
      <c r="A880" s="305"/>
      <c r="B880" s="305"/>
      <c r="C880" s="305"/>
      <c r="D880" s="305"/>
      <c r="E880" s="305"/>
      <c r="F880" s="305"/>
      <c r="G880" s="305"/>
      <c r="H880" s="305"/>
      <c r="I880" s="305"/>
      <c r="J880" s="305"/>
      <c r="K880" s="305"/>
      <c r="L880" s="305"/>
      <c r="M880" s="305"/>
      <c r="N880" s="305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  <c r="Y880" s="305"/>
      <c r="Z880" s="305"/>
    </row>
    <row r="881" spans="1:26" ht="15.75" customHeight="1">
      <c r="A881" s="305"/>
      <c r="B881" s="305"/>
      <c r="C881" s="305"/>
      <c r="D881" s="305"/>
      <c r="E881" s="305"/>
      <c r="F881" s="305"/>
      <c r="G881" s="305"/>
      <c r="H881" s="305"/>
      <c r="I881" s="305"/>
      <c r="J881" s="305"/>
      <c r="K881" s="305"/>
      <c r="L881" s="305"/>
      <c r="M881" s="305"/>
      <c r="N881" s="305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  <c r="Y881" s="305"/>
      <c r="Z881" s="305"/>
    </row>
    <row r="882" spans="1:26" ht="15.75" customHeight="1">
      <c r="A882" s="305"/>
      <c r="B882" s="305"/>
      <c r="C882" s="305"/>
      <c r="D882" s="305"/>
      <c r="E882" s="305"/>
      <c r="F882" s="305"/>
      <c r="G882" s="305"/>
      <c r="H882" s="305"/>
      <c r="I882" s="305"/>
      <c r="J882" s="305"/>
      <c r="K882" s="305"/>
      <c r="L882" s="305"/>
      <c r="M882" s="305"/>
      <c r="N882" s="305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  <c r="Y882" s="305"/>
      <c r="Z882" s="305"/>
    </row>
    <row r="883" spans="1:26" ht="15.75" customHeight="1">
      <c r="A883" s="305"/>
      <c r="B883" s="305"/>
      <c r="C883" s="305"/>
      <c r="D883" s="305"/>
      <c r="E883" s="305"/>
      <c r="F883" s="305"/>
      <c r="G883" s="305"/>
      <c r="H883" s="305"/>
      <c r="I883" s="305"/>
      <c r="J883" s="305"/>
      <c r="K883" s="305"/>
      <c r="L883" s="305"/>
      <c r="M883" s="305"/>
      <c r="N883" s="305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  <c r="Y883" s="305"/>
      <c r="Z883" s="305"/>
    </row>
    <row r="884" spans="1:26" ht="15.75" customHeight="1">
      <c r="A884" s="305"/>
      <c r="B884" s="305"/>
      <c r="C884" s="305"/>
      <c r="D884" s="305"/>
      <c r="E884" s="305"/>
      <c r="F884" s="305"/>
      <c r="G884" s="305"/>
      <c r="H884" s="305"/>
      <c r="I884" s="305"/>
      <c r="J884" s="305"/>
      <c r="K884" s="305"/>
      <c r="L884" s="305"/>
      <c r="M884" s="305"/>
      <c r="N884" s="305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  <c r="Y884" s="305"/>
      <c r="Z884" s="305"/>
    </row>
    <row r="885" spans="1:26" ht="15.75" customHeight="1">
      <c r="A885" s="305"/>
      <c r="B885" s="305"/>
      <c r="C885" s="305"/>
      <c r="D885" s="305"/>
      <c r="E885" s="305"/>
      <c r="F885" s="305"/>
      <c r="G885" s="305"/>
      <c r="H885" s="305"/>
      <c r="I885" s="305"/>
      <c r="J885" s="305"/>
      <c r="K885" s="305"/>
      <c r="L885" s="305"/>
      <c r="M885" s="305"/>
      <c r="N885" s="305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  <c r="Y885" s="305"/>
      <c r="Z885" s="305"/>
    </row>
    <row r="886" spans="1:26" ht="15.75" customHeight="1">
      <c r="A886" s="305"/>
      <c r="B886" s="305"/>
      <c r="C886" s="305"/>
      <c r="D886" s="305"/>
      <c r="E886" s="305"/>
      <c r="F886" s="305"/>
      <c r="G886" s="305"/>
      <c r="H886" s="305"/>
      <c r="I886" s="305"/>
      <c r="J886" s="305"/>
      <c r="K886" s="305"/>
      <c r="L886" s="305"/>
      <c r="M886" s="305"/>
      <c r="N886" s="305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  <c r="Y886" s="305"/>
      <c r="Z886" s="305"/>
    </row>
    <row r="887" spans="1:26" ht="15.75" customHeight="1">
      <c r="A887" s="305"/>
      <c r="B887" s="305"/>
      <c r="C887" s="305"/>
      <c r="D887" s="305"/>
      <c r="E887" s="305"/>
      <c r="F887" s="305"/>
      <c r="G887" s="305"/>
      <c r="H887" s="305"/>
      <c r="I887" s="305"/>
      <c r="J887" s="305"/>
      <c r="K887" s="305"/>
      <c r="L887" s="305"/>
      <c r="M887" s="305"/>
      <c r="N887" s="305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  <c r="Y887" s="305"/>
      <c r="Z887" s="305"/>
    </row>
    <row r="888" spans="1:26" ht="15.75" customHeight="1">
      <c r="A888" s="305"/>
      <c r="B888" s="305"/>
      <c r="C888" s="305"/>
      <c r="D888" s="305"/>
      <c r="E888" s="305"/>
      <c r="F888" s="305"/>
      <c r="G888" s="305"/>
      <c r="H888" s="305"/>
      <c r="I888" s="305"/>
      <c r="J888" s="305"/>
      <c r="K888" s="305"/>
      <c r="L888" s="305"/>
      <c r="M888" s="305"/>
      <c r="N888" s="305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  <c r="Y888" s="305"/>
      <c r="Z888" s="305"/>
    </row>
    <row r="889" spans="1:26" ht="15.75" customHeight="1">
      <c r="A889" s="305"/>
      <c r="B889" s="305"/>
      <c r="C889" s="305"/>
      <c r="D889" s="305"/>
      <c r="E889" s="305"/>
      <c r="F889" s="305"/>
      <c r="G889" s="305"/>
      <c r="H889" s="305"/>
      <c r="I889" s="305"/>
      <c r="J889" s="305"/>
      <c r="K889" s="305"/>
      <c r="L889" s="305"/>
      <c r="M889" s="305"/>
      <c r="N889" s="305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  <c r="Y889" s="305"/>
      <c r="Z889" s="305"/>
    </row>
    <row r="890" spans="1:26" ht="15.75" customHeight="1">
      <c r="A890" s="305"/>
      <c r="B890" s="305"/>
      <c r="C890" s="305"/>
      <c r="D890" s="305"/>
      <c r="E890" s="305"/>
      <c r="F890" s="305"/>
      <c r="G890" s="305"/>
      <c r="H890" s="305"/>
      <c r="I890" s="305"/>
      <c r="J890" s="305"/>
      <c r="K890" s="305"/>
      <c r="L890" s="305"/>
      <c r="M890" s="305"/>
      <c r="N890" s="305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  <c r="Y890" s="305"/>
      <c r="Z890" s="305"/>
    </row>
    <row r="891" spans="1:26" ht="15.75" customHeight="1">
      <c r="A891" s="305"/>
      <c r="B891" s="305"/>
      <c r="C891" s="305"/>
      <c r="D891" s="305"/>
      <c r="E891" s="305"/>
      <c r="F891" s="305"/>
      <c r="G891" s="305"/>
      <c r="H891" s="305"/>
      <c r="I891" s="305"/>
      <c r="J891" s="305"/>
      <c r="K891" s="305"/>
      <c r="L891" s="305"/>
      <c r="M891" s="305"/>
      <c r="N891" s="305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  <c r="Y891" s="305"/>
      <c r="Z891" s="305"/>
    </row>
    <row r="892" spans="1:26" ht="15.75" customHeight="1">
      <c r="A892" s="305"/>
      <c r="B892" s="305"/>
      <c r="C892" s="305"/>
      <c r="D892" s="305"/>
      <c r="E892" s="305"/>
      <c r="F892" s="305"/>
      <c r="G892" s="305"/>
      <c r="H892" s="305"/>
      <c r="I892" s="305"/>
      <c r="J892" s="305"/>
      <c r="K892" s="305"/>
      <c r="L892" s="305"/>
      <c r="M892" s="305"/>
      <c r="N892" s="305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  <c r="Y892" s="305"/>
      <c r="Z892" s="305"/>
    </row>
    <row r="893" spans="1:26" ht="15.75" customHeight="1">
      <c r="A893" s="305"/>
      <c r="B893" s="305"/>
      <c r="C893" s="305"/>
      <c r="D893" s="305"/>
      <c r="E893" s="305"/>
      <c r="F893" s="305"/>
      <c r="G893" s="305"/>
      <c r="H893" s="305"/>
      <c r="I893" s="305"/>
      <c r="J893" s="305"/>
      <c r="K893" s="305"/>
      <c r="L893" s="305"/>
      <c r="M893" s="305"/>
      <c r="N893" s="305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  <c r="Y893" s="305"/>
      <c r="Z893" s="305"/>
    </row>
    <row r="894" spans="1:26" ht="15.75" customHeight="1">
      <c r="A894" s="305"/>
      <c r="B894" s="305"/>
      <c r="C894" s="305"/>
      <c r="D894" s="305"/>
      <c r="E894" s="305"/>
      <c r="F894" s="305"/>
      <c r="G894" s="305"/>
      <c r="H894" s="305"/>
      <c r="I894" s="305"/>
      <c r="J894" s="305"/>
      <c r="K894" s="305"/>
      <c r="L894" s="305"/>
      <c r="M894" s="305"/>
      <c r="N894" s="305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  <c r="Y894" s="305"/>
      <c r="Z894" s="305"/>
    </row>
    <row r="895" spans="1:26" ht="15.75" customHeight="1">
      <c r="A895" s="305"/>
      <c r="B895" s="305"/>
      <c r="C895" s="305"/>
      <c r="D895" s="305"/>
      <c r="E895" s="305"/>
      <c r="F895" s="305"/>
      <c r="G895" s="305"/>
      <c r="H895" s="305"/>
      <c r="I895" s="305"/>
      <c r="J895" s="305"/>
      <c r="K895" s="305"/>
      <c r="L895" s="305"/>
      <c r="M895" s="305"/>
      <c r="N895" s="305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  <c r="Y895" s="305"/>
      <c r="Z895" s="305"/>
    </row>
    <row r="896" spans="1:26" ht="15.75" customHeight="1">
      <c r="A896" s="305"/>
      <c r="B896" s="305"/>
      <c r="C896" s="305"/>
      <c r="D896" s="305"/>
      <c r="E896" s="305"/>
      <c r="F896" s="305"/>
      <c r="G896" s="305"/>
      <c r="H896" s="305"/>
      <c r="I896" s="305"/>
      <c r="J896" s="305"/>
      <c r="K896" s="305"/>
      <c r="L896" s="305"/>
      <c r="M896" s="305"/>
      <c r="N896" s="305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  <c r="Y896" s="305"/>
      <c r="Z896" s="305"/>
    </row>
    <row r="897" spans="1:26" ht="15.75" customHeight="1">
      <c r="A897" s="305"/>
      <c r="B897" s="305"/>
      <c r="C897" s="305"/>
      <c r="D897" s="305"/>
      <c r="E897" s="305"/>
      <c r="F897" s="305"/>
      <c r="G897" s="305"/>
      <c r="H897" s="305"/>
      <c r="I897" s="305"/>
      <c r="J897" s="305"/>
      <c r="K897" s="305"/>
      <c r="L897" s="305"/>
      <c r="M897" s="305"/>
      <c r="N897" s="305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  <c r="Y897" s="305"/>
      <c r="Z897" s="305"/>
    </row>
    <row r="898" spans="1:26" ht="15.75" customHeight="1">
      <c r="A898" s="305"/>
      <c r="B898" s="305"/>
      <c r="C898" s="305"/>
      <c r="D898" s="305"/>
      <c r="E898" s="305"/>
      <c r="F898" s="305"/>
      <c r="G898" s="305"/>
      <c r="H898" s="305"/>
      <c r="I898" s="305"/>
      <c r="J898" s="305"/>
      <c r="K898" s="305"/>
      <c r="L898" s="305"/>
      <c r="M898" s="305"/>
      <c r="N898" s="305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  <c r="Y898" s="305"/>
      <c r="Z898" s="305"/>
    </row>
    <row r="899" spans="1:26" ht="15.75" customHeight="1">
      <c r="A899" s="305"/>
      <c r="B899" s="305"/>
      <c r="C899" s="305"/>
      <c r="D899" s="305"/>
      <c r="E899" s="305"/>
      <c r="F899" s="305"/>
      <c r="G899" s="305"/>
      <c r="H899" s="305"/>
      <c r="I899" s="305"/>
      <c r="J899" s="305"/>
      <c r="K899" s="305"/>
      <c r="L899" s="305"/>
      <c r="M899" s="305"/>
      <c r="N899" s="305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  <c r="Y899" s="305"/>
      <c r="Z899" s="305"/>
    </row>
    <row r="900" spans="1:26" ht="15.75" customHeight="1">
      <c r="A900" s="305"/>
      <c r="B900" s="305"/>
      <c r="C900" s="305"/>
      <c r="D900" s="305"/>
      <c r="E900" s="305"/>
      <c r="F900" s="305"/>
      <c r="G900" s="305"/>
      <c r="H900" s="305"/>
      <c r="I900" s="305"/>
      <c r="J900" s="305"/>
      <c r="K900" s="305"/>
      <c r="L900" s="305"/>
      <c r="M900" s="305"/>
      <c r="N900" s="305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  <c r="Y900" s="305"/>
      <c r="Z900" s="305"/>
    </row>
    <row r="901" spans="1:26" ht="15.75" customHeight="1">
      <c r="A901" s="305"/>
      <c r="B901" s="305"/>
      <c r="C901" s="305"/>
      <c r="D901" s="305"/>
      <c r="E901" s="305"/>
      <c r="F901" s="305"/>
      <c r="G901" s="305"/>
      <c r="H901" s="305"/>
      <c r="I901" s="305"/>
      <c r="J901" s="305"/>
      <c r="K901" s="305"/>
      <c r="L901" s="305"/>
      <c r="M901" s="305"/>
      <c r="N901" s="305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  <c r="Y901" s="305"/>
      <c r="Z901" s="305"/>
    </row>
    <row r="902" spans="1:26" ht="15.75" customHeight="1">
      <c r="A902" s="305"/>
      <c r="B902" s="305"/>
      <c r="C902" s="305"/>
      <c r="D902" s="305"/>
      <c r="E902" s="305"/>
      <c r="F902" s="305"/>
      <c r="G902" s="305"/>
      <c r="H902" s="305"/>
      <c r="I902" s="305"/>
      <c r="J902" s="305"/>
      <c r="K902" s="305"/>
      <c r="L902" s="305"/>
      <c r="M902" s="305"/>
      <c r="N902" s="305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  <c r="Y902" s="305"/>
      <c r="Z902" s="305"/>
    </row>
    <row r="903" spans="1:26" ht="15.75" customHeight="1">
      <c r="A903" s="305"/>
      <c r="B903" s="305"/>
      <c r="C903" s="305"/>
      <c r="D903" s="305"/>
      <c r="E903" s="305"/>
      <c r="F903" s="305"/>
      <c r="G903" s="305"/>
      <c r="H903" s="305"/>
      <c r="I903" s="305"/>
      <c r="J903" s="305"/>
      <c r="K903" s="305"/>
      <c r="L903" s="305"/>
      <c r="M903" s="305"/>
      <c r="N903" s="305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  <c r="Y903" s="305"/>
      <c r="Z903" s="305"/>
    </row>
    <row r="904" spans="1:26" ht="15.75" customHeight="1">
      <c r="A904" s="305"/>
      <c r="B904" s="305"/>
      <c r="C904" s="305"/>
      <c r="D904" s="305"/>
      <c r="E904" s="305"/>
      <c r="F904" s="305"/>
      <c r="G904" s="305"/>
      <c r="H904" s="305"/>
      <c r="I904" s="305"/>
      <c r="J904" s="305"/>
      <c r="K904" s="305"/>
      <c r="L904" s="305"/>
      <c r="M904" s="305"/>
      <c r="N904" s="305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  <c r="Y904" s="305"/>
      <c r="Z904" s="305"/>
    </row>
    <row r="905" spans="1:26" ht="15.75" customHeight="1">
      <c r="A905" s="305"/>
      <c r="B905" s="305"/>
      <c r="C905" s="305"/>
      <c r="D905" s="305"/>
      <c r="E905" s="305"/>
      <c r="F905" s="305"/>
      <c r="G905" s="305"/>
      <c r="H905" s="305"/>
      <c r="I905" s="305"/>
      <c r="J905" s="305"/>
      <c r="K905" s="305"/>
      <c r="L905" s="305"/>
      <c r="M905" s="305"/>
      <c r="N905" s="305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  <c r="Y905" s="305"/>
      <c r="Z905" s="305"/>
    </row>
    <row r="906" spans="1:26" ht="15.75" customHeight="1">
      <c r="A906" s="305"/>
      <c r="B906" s="305"/>
      <c r="C906" s="305"/>
      <c r="D906" s="305"/>
      <c r="E906" s="305"/>
      <c r="F906" s="305"/>
      <c r="G906" s="305"/>
      <c r="H906" s="305"/>
      <c r="I906" s="305"/>
      <c r="J906" s="305"/>
      <c r="K906" s="305"/>
      <c r="L906" s="305"/>
      <c r="M906" s="305"/>
      <c r="N906" s="305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  <c r="Y906" s="305"/>
      <c r="Z906" s="305"/>
    </row>
    <row r="907" spans="1:26" ht="15.75" customHeight="1">
      <c r="A907" s="305"/>
      <c r="B907" s="305"/>
      <c r="C907" s="305"/>
      <c r="D907" s="305"/>
      <c r="E907" s="305"/>
      <c r="F907" s="305"/>
      <c r="G907" s="305"/>
      <c r="H907" s="305"/>
      <c r="I907" s="305"/>
      <c r="J907" s="305"/>
      <c r="K907" s="305"/>
      <c r="L907" s="305"/>
      <c r="M907" s="305"/>
      <c r="N907" s="305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  <c r="Y907" s="305"/>
      <c r="Z907" s="305"/>
    </row>
    <row r="908" spans="1:26" ht="15.75" customHeight="1">
      <c r="A908" s="305"/>
      <c r="B908" s="305"/>
      <c r="C908" s="305"/>
      <c r="D908" s="305"/>
      <c r="E908" s="305"/>
      <c r="F908" s="305"/>
      <c r="G908" s="305"/>
      <c r="H908" s="305"/>
      <c r="I908" s="305"/>
      <c r="J908" s="305"/>
      <c r="K908" s="305"/>
      <c r="L908" s="305"/>
      <c r="M908" s="305"/>
      <c r="N908" s="305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  <c r="Y908" s="305"/>
      <c r="Z908" s="305"/>
    </row>
    <row r="909" spans="1:26" ht="15.75" customHeight="1">
      <c r="A909" s="305"/>
      <c r="B909" s="305"/>
      <c r="C909" s="305"/>
      <c r="D909" s="305"/>
      <c r="E909" s="305"/>
      <c r="F909" s="305"/>
      <c r="G909" s="305"/>
      <c r="H909" s="305"/>
      <c r="I909" s="305"/>
      <c r="J909" s="305"/>
      <c r="K909" s="305"/>
      <c r="L909" s="305"/>
      <c r="M909" s="305"/>
      <c r="N909" s="305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  <c r="Y909" s="305"/>
      <c r="Z909" s="305"/>
    </row>
    <row r="910" spans="1:26" ht="15.75" customHeight="1">
      <c r="A910" s="305"/>
      <c r="B910" s="305"/>
      <c r="C910" s="305"/>
      <c r="D910" s="305"/>
      <c r="E910" s="305"/>
      <c r="F910" s="305"/>
      <c r="G910" s="305"/>
      <c r="H910" s="305"/>
      <c r="I910" s="305"/>
      <c r="J910" s="305"/>
      <c r="K910" s="305"/>
      <c r="L910" s="305"/>
      <c r="M910" s="305"/>
      <c r="N910" s="305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  <c r="Y910" s="305"/>
      <c r="Z910" s="305"/>
    </row>
    <row r="911" spans="1:26" ht="15.75" customHeight="1">
      <c r="A911" s="305"/>
      <c r="B911" s="305"/>
      <c r="C911" s="305"/>
      <c r="D911" s="305"/>
      <c r="E911" s="305"/>
      <c r="F911" s="305"/>
      <c r="G911" s="305"/>
      <c r="H911" s="305"/>
      <c r="I911" s="305"/>
      <c r="J911" s="305"/>
      <c r="K911" s="305"/>
      <c r="L911" s="305"/>
      <c r="M911" s="305"/>
      <c r="N911" s="305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  <c r="Y911" s="305"/>
      <c r="Z911" s="305"/>
    </row>
    <row r="912" spans="1:26" ht="15.75" customHeight="1">
      <c r="A912" s="305"/>
      <c r="B912" s="305"/>
      <c r="C912" s="305"/>
      <c r="D912" s="305"/>
      <c r="E912" s="305"/>
      <c r="F912" s="305"/>
      <c r="G912" s="305"/>
      <c r="H912" s="305"/>
      <c r="I912" s="305"/>
      <c r="J912" s="305"/>
      <c r="K912" s="305"/>
      <c r="L912" s="305"/>
      <c r="M912" s="305"/>
      <c r="N912" s="305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  <c r="Y912" s="305"/>
      <c r="Z912" s="305"/>
    </row>
    <row r="913" spans="1:26" ht="15.75" customHeight="1">
      <c r="A913" s="305"/>
      <c r="B913" s="305"/>
      <c r="C913" s="305"/>
      <c r="D913" s="305"/>
      <c r="E913" s="305"/>
      <c r="F913" s="305"/>
      <c r="G913" s="305"/>
      <c r="H913" s="305"/>
      <c r="I913" s="305"/>
      <c r="J913" s="305"/>
      <c r="K913" s="305"/>
      <c r="L913" s="305"/>
      <c r="M913" s="305"/>
      <c r="N913" s="305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  <c r="Y913" s="305"/>
      <c r="Z913" s="305"/>
    </row>
    <row r="914" spans="1:26" ht="15.75" customHeight="1">
      <c r="A914" s="305"/>
      <c r="B914" s="305"/>
      <c r="C914" s="305"/>
      <c r="D914" s="305"/>
      <c r="E914" s="305"/>
      <c r="F914" s="305"/>
      <c r="G914" s="305"/>
      <c r="H914" s="305"/>
      <c r="I914" s="305"/>
      <c r="J914" s="305"/>
      <c r="K914" s="305"/>
      <c r="L914" s="305"/>
      <c r="M914" s="305"/>
      <c r="N914" s="305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  <c r="Y914" s="305"/>
      <c r="Z914" s="305"/>
    </row>
    <row r="915" spans="1:26" ht="15.75" customHeight="1">
      <c r="A915" s="305"/>
      <c r="B915" s="305"/>
      <c r="C915" s="305"/>
      <c r="D915" s="305"/>
      <c r="E915" s="305"/>
      <c r="F915" s="305"/>
      <c r="G915" s="305"/>
      <c r="H915" s="305"/>
      <c r="I915" s="305"/>
      <c r="J915" s="305"/>
      <c r="K915" s="305"/>
      <c r="L915" s="305"/>
      <c r="M915" s="305"/>
      <c r="N915" s="305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  <c r="Y915" s="305"/>
      <c r="Z915" s="305"/>
    </row>
    <row r="916" spans="1:26" ht="15.75" customHeight="1">
      <c r="A916" s="305"/>
      <c r="B916" s="305"/>
      <c r="C916" s="305"/>
      <c r="D916" s="305"/>
      <c r="E916" s="305"/>
      <c r="F916" s="305"/>
      <c r="G916" s="305"/>
      <c r="H916" s="305"/>
      <c r="I916" s="305"/>
      <c r="J916" s="305"/>
      <c r="K916" s="305"/>
      <c r="L916" s="305"/>
      <c r="M916" s="305"/>
      <c r="N916" s="305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  <c r="Y916" s="305"/>
      <c r="Z916" s="305"/>
    </row>
    <row r="917" spans="1:26" ht="15.75" customHeight="1">
      <c r="A917" s="305"/>
      <c r="B917" s="305"/>
      <c r="C917" s="305"/>
      <c r="D917" s="305"/>
      <c r="E917" s="305"/>
      <c r="F917" s="305"/>
      <c r="G917" s="305"/>
      <c r="H917" s="305"/>
      <c r="I917" s="305"/>
      <c r="J917" s="305"/>
      <c r="K917" s="305"/>
      <c r="L917" s="305"/>
      <c r="M917" s="305"/>
      <c r="N917" s="305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  <c r="Y917" s="305"/>
      <c r="Z917" s="305"/>
    </row>
    <row r="918" spans="1:26" ht="15.75" customHeight="1">
      <c r="A918" s="305"/>
      <c r="B918" s="305"/>
      <c r="C918" s="305"/>
      <c r="D918" s="305"/>
      <c r="E918" s="305"/>
      <c r="F918" s="305"/>
      <c r="G918" s="305"/>
      <c r="H918" s="305"/>
      <c r="I918" s="305"/>
      <c r="J918" s="305"/>
      <c r="K918" s="305"/>
      <c r="L918" s="305"/>
      <c r="M918" s="305"/>
      <c r="N918" s="305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  <c r="Y918" s="305"/>
      <c r="Z918" s="305"/>
    </row>
    <row r="919" spans="1:26" ht="15.75" customHeight="1">
      <c r="A919" s="305"/>
      <c r="B919" s="305"/>
      <c r="C919" s="305"/>
      <c r="D919" s="305"/>
      <c r="E919" s="305"/>
      <c r="F919" s="305"/>
      <c r="G919" s="305"/>
      <c r="H919" s="305"/>
      <c r="I919" s="305"/>
      <c r="J919" s="305"/>
      <c r="K919" s="305"/>
      <c r="L919" s="305"/>
      <c r="M919" s="305"/>
      <c r="N919" s="305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  <c r="Y919" s="305"/>
      <c r="Z919" s="305"/>
    </row>
    <row r="920" spans="1:26" ht="15.75" customHeight="1">
      <c r="A920" s="305"/>
      <c r="B920" s="305"/>
      <c r="C920" s="305"/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  <c r="Y920" s="305"/>
      <c r="Z920" s="305"/>
    </row>
    <row r="921" spans="1:26" ht="15.75" customHeight="1">
      <c r="A921" s="305"/>
      <c r="B921" s="305"/>
      <c r="C921" s="305"/>
      <c r="D921" s="305"/>
      <c r="E921" s="305"/>
      <c r="F921" s="305"/>
      <c r="G921" s="305"/>
      <c r="H921" s="305"/>
      <c r="I921" s="305"/>
      <c r="J921" s="305"/>
      <c r="K921" s="305"/>
      <c r="L921" s="305"/>
      <c r="M921" s="305"/>
      <c r="N921" s="305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  <c r="Y921" s="305"/>
      <c r="Z921" s="305"/>
    </row>
    <row r="922" spans="1:26" ht="15.75" customHeight="1">
      <c r="A922" s="305"/>
      <c r="B922" s="305"/>
      <c r="C922" s="305"/>
      <c r="D922" s="305"/>
      <c r="E922" s="305"/>
      <c r="F922" s="305"/>
      <c r="G922" s="305"/>
      <c r="H922" s="305"/>
      <c r="I922" s="305"/>
      <c r="J922" s="305"/>
      <c r="K922" s="305"/>
      <c r="L922" s="305"/>
      <c r="M922" s="305"/>
      <c r="N922" s="305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  <c r="Y922" s="305"/>
      <c r="Z922" s="305"/>
    </row>
    <row r="923" spans="1:26" ht="15.75" customHeight="1">
      <c r="A923" s="305"/>
      <c r="B923" s="305"/>
      <c r="C923" s="305"/>
      <c r="D923" s="305"/>
      <c r="E923" s="305"/>
      <c r="F923" s="305"/>
      <c r="G923" s="305"/>
      <c r="H923" s="305"/>
      <c r="I923" s="305"/>
      <c r="J923" s="305"/>
      <c r="K923" s="305"/>
      <c r="L923" s="305"/>
      <c r="M923" s="305"/>
      <c r="N923" s="305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  <c r="Y923" s="305"/>
      <c r="Z923" s="305"/>
    </row>
    <row r="924" spans="1:26" ht="15.75" customHeight="1">
      <c r="A924" s="305"/>
      <c r="B924" s="305"/>
      <c r="C924" s="305"/>
      <c r="D924" s="305"/>
      <c r="E924" s="305"/>
      <c r="F924" s="305"/>
      <c r="G924" s="305"/>
      <c r="H924" s="305"/>
      <c r="I924" s="305"/>
      <c r="J924" s="305"/>
      <c r="K924" s="305"/>
      <c r="L924" s="305"/>
      <c r="M924" s="305"/>
      <c r="N924" s="305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  <c r="Y924" s="305"/>
      <c r="Z924" s="305"/>
    </row>
    <row r="925" spans="1:26" ht="15.75" customHeight="1">
      <c r="A925" s="305"/>
      <c r="B925" s="305"/>
      <c r="C925" s="305"/>
      <c r="D925" s="305"/>
      <c r="E925" s="305"/>
      <c r="F925" s="305"/>
      <c r="G925" s="305"/>
      <c r="H925" s="305"/>
      <c r="I925" s="305"/>
      <c r="J925" s="305"/>
      <c r="K925" s="305"/>
      <c r="L925" s="305"/>
      <c r="M925" s="305"/>
      <c r="N925" s="305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  <c r="Y925" s="305"/>
      <c r="Z925" s="305"/>
    </row>
    <row r="926" spans="1:26" ht="15.75" customHeight="1">
      <c r="A926" s="305"/>
      <c r="B926" s="305"/>
      <c r="C926" s="305"/>
      <c r="D926" s="305"/>
      <c r="E926" s="305"/>
      <c r="F926" s="305"/>
      <c r="G926" s="305"/>
      <c r="H926" s="305"/>
      <c r="I926" s="305"/>
      <c r="J926" s="305"/>
      <c r="K926" s="305"/>
      <c r="L926" s="305"/>
      <c r="M926" s="305"/>
      <c r="N926" s="305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  <c r="Y926" s="305"/>
      <c r="Z926" s="305"/>
    </row>
    <row r="927" spans="1:26" ht="15.75" customHeight="1">
      <c r="A927" s="305"/>
      <c r="B927" s="305"/>
      <c r="C927" s="305"/>
      <c r="D927" s="305"/>
      <c r="E927" s="305"/>
      <c r="F927" s="305"/>
      <c r="G927" s="305"/>
      <c r="H927" s="305"/>
      <c r="I927" s="305"/>
      <c r="J927" s="305"/>
      <c r="K927" s="305"/>
      <c r="L927" s="305"/>
      <c r="M927" s="305"/>
      <c r="N927" s="305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  <c r="Y927" s="305"/>
      <c r="Z927" s="305"/>
    </row>
    <row r="928" spans="1:26" ht="15.75" customHeight="1">
      <c r="A928" s="305"/>
      <c r="B928" s="305"/>
      <c r="C928" s="305"/>
      <c r="D928" s="305"/>
      <c r="E928" s="305"/>
      <c r="F928" s="305"/>
      <c r="G928" s="305"/>
      <c r="H928" s="305"/>
      <c r="I928" s="305"/>
      <c r="J928" s="305"/>
      <c r="K928" s="305"/>
      <c r="L928" s="305"/>
      <c r="M928" s="305"/>
      <c r="N928" s="305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  <c r="Y928" s="305"/>
      <c r="Z928" s="305"/>
    </row>
    <row r="929" spans="1:26" ht="15.75" customHeight="1">
      <c r="A929" s="305"/>
      <c r="B929" s="305"/>
      <c r="C929" s="305"/>
      <c r="D929" s="305"/>
      <c r="E929" s="305"/>
      <c r="F929" s="305"/>
      <c r="G929" s="305"/>
      <c r="H929" s="305"/>
      <c r="I929" s="305"/>
      <c r="J929" s="305"/>
      <c r="K929" s="305"/>
      <c r="L929" s="305"/>
      <c r="M929" s="305"/>
      <c r="N929" s="305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  <c r="Y929" s="305"/>
      <c r="Z929" s="305"/>
    </row>
    <row r="930" spans="1:26" ht="15.75" customHeight="1">
      <c r="A930" s="305"/>
      <c r="B930" s="305"/>
      <c r="C930" s="305"/>
      <c r="D930" s="305"/>
      <c r="E930" s="305"/>
      <c r="F930" s="305"/>
      <c r="G930" s="305"/>
      <c r="H930" s="305"/>
      <c r="I930" s="305"/>
      <c r="J930" s="305"/>
      <c r="K930" s="305"/>
      <c r="L930" s="305"/>
      <c r="M930" s="305"/>
      <c r="N930" s="305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  <c r="Y930" s="305"/>
      <c r="Z930" s="305"/>
    </row>
    <row r="931" spans="1:26" ht="15.75" customHeight="1">
      <c r="A931" s="305"/>
      <c r="B931" s="305"/>
      <c r="C931" s="305"/>
      <c r="D931" s="305"/>
      <c r="E931" s="305"/>
      <c r="F931" s="305"/>
      <c r="G931" s="305"/>
      <c r="H931" s="305"/>
      <c r="I931" s="305"/>
      <c r="J931" s="305"/>
      <c r="K931" s="305"/>
      <c r="L931" s="305"/>
      <c r="M931" s="305"/>
      <c r="N931" s="305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  <c r="Y931" s="305"/>
      <c r="Z931" s="305"/>
    </row>
    <row r="932" spans="1:26" ht="15.75" customHeight="1">
      <c r="A932" s="305"/>
      <c r="B932" s="305"/>
      <c r="C932" s="305"/>
      <c r="D932" s="305"/>
      <c r="E932" s="305"/>
      <c r="F932" s="305"/>
      <c r="G932" s="305"/>
      <c r="H932" s="305"/>
      <c r="I932" s="305"/>
      <c r="J932" s="305"/>
      <c r="K932" s="305"/>
      <c r="L932" s="305"/>
      <c r="M932" s="305"/>
      <c r="N932" s="305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  <c r="Y932" s="305"/>
      <c r="Z932" s="305"/>
    </row>
    <row r="933" spans="1:26" ht="15.75" customHeight="1">
      <c r="A933" s="305"/>
      <c r="B933" s="305"/>
      <c r="C933" s="305"/>
      <c r="D933" s="305"/>
      <c r="E933" s="305"/>
      <c r="F933" s="305"/>
      <c r="G933" s="305"/>
      <c r="H933" s="305"/>
      <c r="I933" s="305"/>
      <c r="J933" s="305"/>
      <c r="K933" s="305"/>
      <c r="L933" s="305"/>
      <c r="M933" s="305"/>
      <c r="N933" s="305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  <c r="Y933" s="305"/>
      <c r="Z933" s="305"/>
    </row>
    <row r="934" spans="1:26" ht="15.75" customHeight="1">
      <c r="A934" s="305"/>
      <c r="B934" s="305"/>
      <c r="C934" s="305"/>
      <c r="D934" s="305"/>
      <c r="E934" s="305"/>
      <c r="F934" s="305"/>
      <c r="G934" s="305"/>
      <c r="H934" s="305"/>
      <c r="I934" s="305"/>
      <c r="J934" s="305"/>
      <c r="K934" s="305"/>
      <c r="L934" s="305"/>
      <c r="M934" s="305"/>
      <c r="N934" s="305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  <c r="Y934" s="305"/>
      <c r="Z934" s="305"/>
    </row>
    <row r="935" spans="1:26" ht="15.75" customHeight="1">
      <c r="A935" s="305"/>
      <c r="B935" s="305"/>
      <c r="C935" s="305"/>
      <c r="D935" s="305"/>
      <c r="E935" s="305"/>
      <c r="F935" s="305"/>
      <c r="G935" s="305"/>
      <c r="H935" s="305"/>
      <c r="I935" s="305"/>
      <c r="J935" s="305"/>
      <c r="K935" s="305"/>
      <c r="L935" s="305"/>
      <c r="M935" s="305"/>
      <c r="N935" s="305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  <c r="Y935" s="305"/>
      <c r="Z935" s="305"/>
    </row>
    <row r="936" spans="1:26" ht="15.75" customHeight="1">
      <c r="A936" s="305"/>
      <c r="B936" s="305"/>
      <c r="C936" s="305"/>
      <c r="D936" s="305"/>
      <c r="E936" s="305"/>
      <c r="F936" s="305"/>
      <c r="G936" s="305"/>
      <c r="H936" s="305"/>
      <c r="I936" s="305"/>
      <c r="J936" s="305"/>
      <c r="K936" s="305"/>
      <c r="L936" s="305"/>
      <c r="M936" s="305"/>
      <c r="N936" s="305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  <c r="Y936" s="305"/>
      <c r="Z936" s="305"/>
    </row>
    <row r="937" spans="1:26" ht="15.75" customHeight="1">
      <c r="A937" s="305"/>
      <c r="B937" s="305"/>
      <c r="C937" s="305"/>
      <c r="D937" s="305"/>
      <c r="E937" s="305"/>
      <c r="F937" s="305"/>
      <c r="G937" s="305"/>
      <c r="H937" s="305"/>
      <c r="I937" s="305"/>
      <c r="J937" s="305"/>
      <c r="K937" s="305"/>
      <c r="L937" s="305"/>
      <c r="M937" s="305"/>
      <c r="N937" s="305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  <c r="Y937" s="305"/>
      <c r="Z937" s="305"/>
    </row>
    <row r="938" spans="1:26" ht="15.75" customHeight="1">
      <c r="A938" s="305"/>
      <c r="B938" s="305"/>
      <c r="C938" s="305"/>
      <c r="D938" s="305"/>
      <c r="E938" s="305"/>
      <c r="F938" s="305"/>
      <c r="G938" s="305"/>
      <c r="H938" s="305"/>
      <c r="I938" s="305"/>
      <c r="J938" s="305"/>
      <c r="K938" s="305"/>
      <c r="L938" s="305"/>
      <c r="M938" s="305"/>
      <c r="N938" s="305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  <c r="Y938" s="305"/>
      <c r="Z938" s="305"/>
    </row>
    <row r="939" spans="1:26" ht="15.75" customHeight="1">
      <c r="A939" s="305"/>
      <c r="B939" s="305"/>
      <c r="C939" s="305"/>
      <c r="D939" s="305"/>
      <c r="E939" s="305"/>
      <c r="F939" s="305"/>
      <c r="G939" s="305"/>
      <c r="H939" s="305"/>
      <c r="I939" s="305"/>
      <c r="J939" s="305"/>
      <c r="K939" s="305"/>
      <c r="L939" s="305"/>
      <c r="M939" s="305"/>
      <c r="N939" s="305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  <c r="Y939" s="305"/>
      <c r="Z939" s="305"/>
    </row>
    <row r="940" spans="1:26" ht="15.75" customHeight="1">
      <c r="A940" s="305"/>
      <c r="B940" s="305"/>
      <c r="C940" s="305"/>
      <c r="D940" s="305"/>
      <c r="E940" s="305"/>
      <c r="F940" s="305"/>
      <c r="G940" s="305"/>
      <c r="H940" s="305"/>
      <c r="I940" s="305"/>
      <c r="J940" s="305"/>
      <c r="K940" s="305"/>
      <c r="L940" s="305"/>
      <c r="M940" s="305"/>
      <c r="N940" s="305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  <c r="Y940" s="305"/>
      <c r="Z940" s="305"/>
    </row>
    <row r="941" spans="1:26" ht="15.75" customHeight="1">
      <c r="A941" s="305"/>
      <c r="B941" s="305"/>
      <c r="C941" s="305"/>
      <c r="D941" s="305"/>
      <c r="E941" s="305"/>
      <c r="F941" s="305"/>
      <c r="G941" s="305"/>
      <c r="H941" s="305"/>
      <c r="I941" s="305"/>
      <c r="J941" s="305"/>
      <c r="K941" s="305"/>
      <c r="L941" s="305"/>
      <c r="M941" s="305"/>
      <c r="N941" s="305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  <c r="Y941" s="305"/>
      <c r="Z941" s="305"/>
    </row>
    <row r="942" spans="1:26" ht="15.75" customHeight="1">
      <c r="A942" s="305"/>
      <c r="B942" s="305"/>
      <c r="C942" s="305"/>
      <c r="D942" s="305"/>
      <c r="E942" s="305"/>
      <c r="F942" s="305"/>
      <c r="G942" s="305"/>
      <c r="H942" s="305"/>
      <c r="I942" s="305"/>
      <c r="J942" s="305"/>
      <c r="K942" s="305"/>
      <c r="L942" s="305"/>
      <c r="M942" s="305"/>
      <c r="N942" s="305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  <c r="Y942" s="305"/>
      <c r="Z942" s="305"/>
    </row>
    <row r="943" spans="1:26" ht="15.75" customHeight="1">
      <c r="A943" s="305"/>
      <c r="B943" s="305"/>
      <c r="C943" s="305"/>
      <c r="D943" s="305"/>
      <c r="E943" s="305"/>
      <c r="F943" s="305"/>
      <c r="G943" s="305"/>
      <c r="H943" s="305"/>
      <c r="I943" s="305"/>
      <c r="J943" s="305"/>
      <c r="K943" s="305"/>
      <c r="L943" s="305"/>
      <c r="M943" s="305"/>
      <c r="N943" s="305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  <c r="Y943" s="305"/>
      <c r="Z943" s="305"/>
    </row>
    <row r="944" spans="1:26" ht="15.75" customHeight="1">
      <c r="A944" s="305"/>
      <c r="B944" s="305"/>
      <c r="C944" s="305"/>
      <c r="D944" s="305"/>
      <c r="E944" s="305"/>
      <c r="F944" s="305"/>
      <c r="G944" s="305"/>
      <c r="H944" s="305"/>
      <c r="I944" s="305"/>
      <c r="J944" s="305"/>
      <c r="K944" s="305"/>
      <c r="L944" s="305"/>
      <c r="M944" s="305"/>
      <c r="N944" s="305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  <c r="Y944" s="305"/>
      <c r="Z944" s="305"/>
    </row>
    <row r="945" spans="1:26" ht="15.75" customHeight="1">
      <c r="A945" s="305"/>
      <c r="B945" s="305"/>
      <c r="C945" s="305"/>
      <c r="D945" s="305"/>
      <c r="E945" s="305"/>
      <c r="F945" s="305"/>
      <c r="G945" s="305"/>
      <c r="H945" s="305"/>
      <c r="I945" s="305"/>
      <c r="J945" s="305"/>
      <c r="K945" s="305"/>
      <c r="L945" s="305"/>
      <c r="M945" s="305"/>
      <c r="N945" s="305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  <c r="Y945" s="305"/>
      <c r="Z945" s="305"/>
    </row>
    <row r="946" spans="1:26" ht="15.75" customHeight="1">
      <c r="A946" s="305"/>
      <c r="B946" s="305"/>
      <c r="C946" s="305"/>
      <c r="D946" s="305"/>
      <c r="E946" s="305"/>
      <c r="F946" s="305"/>
      <c r="G946" s="305"/>
      <c r="H946" s="305"/>
      <c r="I946" s="305"/>
      <c r="J946" s="305"/>
      <c r="K946" s="305"/>
      <c r="L946" s="305"/>
      <c r="M946" s="305"/>
      <c r="N946" s="305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  <c r="Y946" s="305"/>
      <c r="Z946" s="305"/>
    </row>
    <row r="947" spans="1:26" ht="15.75" customHeight="1">
      <c r="A947" s="305"/>
      <c r="B947" s="305"/>
      <c r="C947" s="305"/>
      <c r="D947" s="305"/>
      <c r="E947" s="305"/>
      <c r="F947" s="305"/>
      <c r="G947" s="305"/>
      <c r="H947" s="305"/>
      <c r="I947" s="305"/>
      <c r="J947" s="305"/>
      <c r="K947" s="305"/>
      <c r="L947" s="305"/>
      <c r="M947" s="305"/>
      <c r="N947" s="305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  <c r="Y947" s="305"/>
      <c r="Z947" s="305"/>
    </row>
    <row r="948" spans="1:26" ht="15.75" customHeight="1">
      <c r="A948" s="305"/>
      <c r="B948" s="305"/>
      <c r="C948" s="305"/>
      <c r="D948" s="305"/>
      <c r="E948" s="305"/>
      <c r="F948" s="305"/>
      <c r="G948" s="305"/>
      <c r="H948" s="305"/>
      <c r="I948" s="305"/>
      <c r="J948" s="305"/>
      <c r="K948" s="305"/>
      <c r="L948" s="305"/>
      <c r="M948" s="305"/>
      <c r="N948" s="305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  <c r="Y948" s="305"/>
      <c r="Z948" s="305"/>
    </row>
    <row r="949" spans="1:26" ht="15.75" customHeight="1">
      <c r="A949" s="305"/>
      <c r="B949" s="305"/>
      <c r="C949" s="305"/>
      <c r="D949" s="305"/>
      <c r="E949" s="305"/>
      <c r="F949" s="305"/>
      <c r="G949" s="305"/>
      <c r="H949" s="305"/>
      <c r="I949" s="305"/>
      <c r="J949" s="305"/>
      <c r="K949" s="305"/>
      <c r="L949" s="305"/>
      <c r="M949" s="305"/>
      <c r="N949" s="305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  <c r="Y949" s="305"/>
      <c r="Z949" s="305"/>
    </row>
    <row r="950" spans="1:26" ht="15.75" customHeight="1">
      <c r="A950" s="305"/>
      <c r="B950" s="305"/>
      <c r="C950" s="305"/>
      <c r="D950" s="305"/>
      <c r="E950" s="305"/>
      <c r="F950" s="305"/>
      <c r="G950" s="305"/>
      <c r="H950" s="305"/>
      <c r="I950" s="305"/>
      <c r="J950" s="305"/>
      <c r="K950" s="305"/>
      <c r="L950" s="305"/>
      <c r="M950" s="305"/>
      <c r="N950" s="305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  <c r="Y950" s="305"/>
      <c r="Z950" s="305"/>
    </row>
    <row r="951" spans="1:26" ht="15.75" customHeight="1">
      <c r="A951" s="305"/>
      <c r="B951" s="305"/>
      <c r="C951" s="305"/>
      <c r="D951" s="305"/>
      <c r="E951" s="305"/>
      <c r="F951" s="305"/>
      <c r="G951" s="305"/>
      <c r="H951" s="305"/>
      <c r="I951" s="305"/>
      <c r="J951" s="305"/>
      <c r="K951" s="305"/>
      <c r="L951" s="305"/>
      <c r="M951" s="305"/>
      <c r="N951" s="305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  <c r="Y951" s="305"/>
      <c r="Z951" s="305"/>
    </row>
    <row r="952" spans="1:26" ht="15.75" customHeight="1">
      <c r="A952" s="305"/>
      <c r="B952" s="305"/>
      <c r="C952" s="305"/>
      <c r="D952" s="305"/>
      <c r="E952" s="305"/>
      <c r="F952" s="305"/>
      <c r="G952" s="305"/>
      <c r="H952" s="305"/>
      <c r="I952" s="305"/>
      <c r="J952" s="305"/>
      <c r="K952" s="305"/>
      <c r="L952" s="305"/>
      <c r="M952" s="305"/>
      <c r="N952" s="305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  <c r="Y952" s="305"/>
      <c r="Z952" s="305"/>
    </row>
    <row r="953" spans="1:26" ht="15.75" customHeight="1">
      <c r="A953" s="305"/>
      <c r="B953" s="305"/>
      <c r="C953" s="305"/>
      <c r="D953" s="305"/>
      <c r="E953" s="305"/>
      <c r="F953" s="305"/>
      <c r="G953" s="305"/>
      <c r="H953" s="305"/>
      <c r="I953" s="305"/>
      <c r="J953" s="305"/>
      <c r="K953" s="305"/>
      <c r="L953" s="305"/>
      <c r="M953" s="305"/>
      <c r="N953" s="305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  <c r="Y953" s="305"/>
      <c r="Z953" s="305"/>
    </row>
    <row r="954" spans="1:26" ht="15.75" customHeight="1">
      <c r="A954" s="305"/>
      <c r="B954" s="305"/>
      <c r="C954" s="305"/>
      <c r="D954" s="305"/>
      <c r="E954" s="305"/>
      <c r="F954" s="305"/>
      <c r="G954" s="305"/>
      <c r="H954" s="305"/>
      <c r="I954" s="305"/>
      <c r="J954" s="305"/>
      <c r="K954" s="305"/>
      <c r="L954" s="305"/>
      <c r="M954" s="305"/>
      <c r="N954" s="305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  <c r="Y954" s="305"/>
      <c r="Z954" s="305"/>
    </row>
    <row r="955" spans="1:26" ht="15.75" customHeight="1">
      <c r="A955" s="305"/>
      <c r="B955" s="305"/>
      <c r="C955" s="305"/>
      <c r="D955" s="305"/>
      <c r="E955" s="305"/>
      <c r="F955" s="305"/>
      <c r="G955" s="305"/>
      <c r="H955" s="305"/>
      <c r="I955" s="305"/>
      <c r="J955" s="305"/>
      <c r="K955" s="305"/>
      <c r="L955" s="305"/>
      <c r="M955" s="305"/>
      <c r="N955" s="305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  <c r="Y955" s="305"/>
      <c r="Z955" s="305"/>
    </row>
    <row r="956" spans="1:26" ht="15.75" customHeight="1">
      <c r="A956" s="305"/>
      <c r="B956" s="305"/>
      <c r="C956" s="305"/>
      <c r="D956" s="305"/>
      <c r="E956" s="305"/>
      <c r="F956" s="305"/>
      <c r="G956" s="305"/>
      <c r="H956" s="305"/>
      <c r="I956" s="305"/>
      <c r="J956" s="305"/>
      <c r="K956" s="305"/>
      <c r="L956" s="305"/>
      <c r="M956" s="305"/>
      <c r="N956" s="305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  <c r="Y956" s="305"/>
      <c r="Z956" s="305"/>
    </row>
    <row r="957" spans="1:26" ht="15.75" customHeight="1">
      <c r="A957" s="305"/>
      <c r="B957" s="305"/>
      <c r="C957" s="305"/>
      <c r="D957" s="305"/>
      <c r="E957" s="305"/>
      <c r="F957" s="305"/>
      <c r="G957" s="305"/>
      <c r="H957" s="305"/>
      <c r="I957" s="305"/>
      <c r="J957" s="305"/>
      <c r="K957" s="305"/>
      <c r="L957" s="305"/>
      <c r="M957" s="305"/>
      <c r="N957" s="305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  <c r="Y957" s="305"/>
      <c r="Z957" s="305"/>
    </row>
    <row r="958" spans="1:26" ht="15.75" customHeight="1">
      <c r="A958" s="305"/>
      <c r="B958" s="305"/>
      <c r="C958" s="305"/>
      <c r="D958" s="305"/>
      <c r="E958" s="305"/>
      <c r="F958" s="305"/>
      <c r="G958" s="305"/>
      <c r="H958" s="305"/>
      <c r="I958" s="305"/>
      <c r="J958" s="305"/>
      <c r="K958" s="305"/>
      <c r="L958" s="305"/>
      <c r="M958" s="305"/>
      <c r="N958" s="305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  <c r="Y958" s="305"/>
      <c r="Z958" s="305"/>
    </row>
    <row r="959" spans="1:26" ht="15.75" customHeight="1">
      <c r="A959" s="305"/>
      <c r="B959" s="305"/>
      <c r="C959" s="305"/>
      <c r="D959" s="305"/>
      <c r="E959" s="305"/>
      <c r="F959" s="305"/>
      <c r="G959" s="305"/>
      <c r="H959" s="305"/>
      <c r="I959" s="305"/>
      <c r="J959" s="305"/>
      <c r="K959" s="305"/>
      <c r="L959" s="305"/>
      <c r="M959" s="305"/>
      <c r="N959" s="305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  <c r="Y959" s="305"/>
      <c r="Z959" s="305"/>
    </row>
    <row r="960" spans="1:26" ht="15.75" customHeight="1">
      <c r="A960" s="305"/>
      <c r="B960" s="305"/>
      <c r="C960" s="305"/>
      <c r="D960" s="305"/>
      <c r="E960" s="305"/>
      <c r="F960" s="305"/>
      <c r="G960" s="305"/>
      <c r="H960" s="305"/>
      <c r="I960" s="305"/>
      <c r="J960" s="305"/>
      <c r="K960" s="305"/>
      <c r="L960" s="305"/>
      <c r="M960" s="305"/>
      <c r="N960" s="305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  <c r="Y960" s="305"/>
      <c r="Z960" s="305"/>
    </row>
    <row r="961" spans="1:26" ht="15.75" customHeight="1">
      <c r="A961" s="305"/>
      <c r="B961" s="305"/>
      <c r="C961" s="305"/>
      <c r="D961" s="305"/>
      <c r="E961" s="305"/>
      <c r="F961" s="305"/>
      <c r="G961" s="305"/>
      <c r="H961" s="305"/>
      <c r="I961" s="305"/>
      <c r="J961" s="305"/>
      <c r="K961" s="305"/>
      <c r="L961" s="305"/>
      <c r="M961" s="305"/>
      <c r="N961" s="305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  <c r="Y961" s="305"/>
      <c r="Z961" s="305"/>
    </row>
    <row r="962" spans="1:26" ht="15.75" customHeight="1">
      <c r="A962" s="305"/>
      <c r="B962" s="305"/>
      <c r="C962" s="305"/>
      <c r="D962" s="305"/>
      <c r="E962" s="305"/>
      <c r="F962" s="305"/>
      <c r="G962" s="305"/>
      <c r="H962" s="305"/>
      <c r="I962" s="305"/>
      <c r="J962" s="305"/>
      <c r="K962" s="305"/>
      <c r="L962" s="305"/>
      <c r="M962" s="305"/>
      <c r="N962" s="305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  <c r="Y962" s="305"/>
      <c r="Z962" s="305"/>
    </row>
    <row r="963" spans="1:26" ht="15.75" customHeight="1">
      <c r="A963" s="305"/>
      <c r="B963" s="305"/>
      <c r="C963" s="305"/>
      <c r="D963" s="305"/>
      <c r="E963" s="305"/>
      <c r="F963" s="305"/>
      <c r="G963" s="305"/>
      <c r="H963" s="305"/>
      <c r="I963" s="305"/>
      <c r="J963" s="305"/>
      <c r="K963" s="305"/>
      <c r="L963" s="305"/>
      <c r="M963" s="305"/>
      <c r="N963" s="305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  <c r="Y963" s="305"/>
      <c r="Z963" s="305"/>
    </row>
    <row r="964" spans="1:26" ht="15.75" customHeight="1">
      <c r="A964" s="305"/>
      <c r="B964" s="305"/>
      <c r="C964" s="305"/>
      <c r="D964" s="305"/>
      <c r="E964" s="305"/>
      <c r="F964" s="305"/>
      <c r="G964" s="305"/>
      <c r="H964" s="305"/>
      <c r="I964" s="305"/>
      <c r="J964" s="305"/>
      <c r="K964" s="305"/>
      <c r="L964" s="305"/>
      <c r="M964" s="305"/>
      <c r="N964" s="305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  <c r="Y964" s="305"/>
      <c r="Z964" s="305"/>
    </row>
    <row r="965" spans="1:26" ht="15.75" customHeight="1">
      <c r="A965" s="305"/>
      <c r="B965" s="305"/>
      <c r="C965" s="305"/>
      <c r="D965" s="305"/>
      <c r="E965" s="305"/>
      <c r="F965" s="305"/>
      <c r="G965" s="305"/>
      <c r="H965" s="305"/>
      <c r="I965" s="305"/>
      <c r="J965" s="305"/>
      <c r="K965" s="305"/>
      <c r="L965" s="305"/>
      <c r="M965" s="305"/>
      <c r="N965" s="305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  <c r="Y965" s="305"/>
      <c r="Z965" s="305"/>
    </row>
    <row r="966" spans="1:26" ht="15.75" customHeight="1">
      <c r="A966" s="305"/>
      <c r="B966" s="305"/>
      <c r="C966" s="305"/>
      <c r="D966" s="305"/>
      <c r="E966" s="305"/>
      <c r="F966" s="305"/>
      <c r="G966" s="305"/>
      <c r="H966" s="305"/>
      <c r="I966" s="305"/>
      <c r="J966" s="305"/>
      <c r="K966" s="305"/>
      <c r="L966" s="305"/>
      <c r="M966" s="305"/>
      <c r="N966" s="305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  <c r="Y966" s="305"/>
      <c r="Z966" s="305"/>
    </row>
    <row r="967" spans="1:26" ht="15.75" customHeight="1">
      <c r="A967" s="305"/>
      <c r="B967" s="305"/>
      <c r="C967" s="305"/>
      <c r="D967" s="305"/>
      <c r="E967" s="305"/>
      <c r="F967" s="305"/>
      <c r="G967" s="305"/>
      <c r="H967" s="305"/>
      <c r="I967" s="305"/>
      <c r="J967" s="305"/>
      <c r="K967" s="305"/>
      <c r="L967" s="305"/>
      <c r="M967" s="305"/>
      <c r="N967" s="305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  <c r="Y967" s="305"/>
      <c r="Z967" s="305"/>
    </row>
    <row r="968" spans="1:26" ht="15.75" customHeight="1">
      <c r="A968" s="305"/>
      <c r="B968" s="305"/>
      <c r="C968" s="305"/>
      <c r="D968" s="305"/>
      <c r="E968" s="305"/>
      <c r="F968" s="305"/>
      <c r="G968" s="305"/>
      <c r="H968" s="305"/>
      <c r="I968" s="305"/>
      <c r="J968" s="305"/>
      <c r="K968" s="305"/>
      <c r="L968" s="305"/>
      <c r="M968" s="305"/>
      <c r="N968" s="305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  <c r="Y968" s="305"/>
      <c r="Z968" s="305"/>
    </row>
    <row r="969" spans="1:26" ht="15.75" customHeight="1">
      <c r="A969" s="305"/>
      <c r="B969" s="305"/>
      <c r="C969" s="305"/>
      <c r="D969" s="305"/>
      <c r="E969" s="305"/>
      <c r="F969" s="305"/>
      <c r="G969" s="305"/>
      <c r="H969" s="305"/>
      <c r="I969" s="305"/>
      <c r="J969" s="305"/>
      <c r="K969" s="305"/>
      <c r="L969" s="305"/>
      <c r="M969" s="305"/>
      <c r="N969" s="305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  <c r="Y969" s="305"/>
      <c r="Z969" s="305"/>
    </row>
    <row r="970" spans="1:26" ht="15.75" customHeight="1">
      <c r="A970" s="305"/>
      <c r="B970" s="305"/>
      <c r="C970" s="305"/>
      <c r="D970" s="305"/>
      <c r="E970" s="305"/>
      <c r="F970" s="305"/>
      <c r="G970" s="305"/>
      <c r="H970" s="305"/>
      <c r="I970" s="305"/>
      <c r="J970" s="305"/>
      <c r="K970" s="305"/>
      <c r="L970" s="305"/>
      <c r="M970" s="305"/>
      <c r="N970" s="305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  <c r="Y970" s="305"/>
      <c r="Z970" s="305"/>
    </row>
    <row r="971" spans="1:26" ht="15.75" customHeight="1">
      <c r="A971" s="305"/>
      <c r="B971" s="305"/>
      <c r="C971" s="305"/>
      <c r="D971" s="305"/>
      <c r="E971" s="305"/>
      <c r="F971" s="305"/>
      <c r="G971" s="305"/>
      <c r="H971" s="305"/>
      <c r="I971" s="305"/>
      <c r="J971" s="305"/>
      <c r="K971" s="305"/>
      <c r="L971" s="305"/>
      <c r="M971" s="305"/>
      <c r="N971" s="305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  <c r="Y971" s="305"/>
      <c r="Z971" s="305"/>
    </row>
    <row r="972" spans="1:26" ht="15.75" customHeight="1">
      <c r="A972" s="305"/>
      <c r="B972" s="305"/>
      <c r="C972" s="305"/>
      <c r="D972" s="305"/>
      <c r="E972" s="305"/>
      <c r="F972" s="305"/>
      <c r="G972" s="305"/>
      <c r="H972" s="305"/>
      <c r="I972" s="305"/>
      <c r="J972" s="305"/>
      <c r="K972" s="305"/>
      <c r="L972" s="305"/>
      <c r="M972" s="305"/>
      <c r="N972" s="305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  <c r="Y972" s="305"/>
      <c r="Z972" s="305"/>
    </row>
    <row r="973" spans="1:26" ht="15.75" customHeight="1">
      <c r="A973" s="305"/>
      <c r="B973" s="305"/>
      <c r="C973" s="305"/>
      <c r="D973" s="305"/>
      <c r="E973" s="305"/>
      <c r="F973" s="305"/>
      <c r="G973" s="305"/>
      <c r="H973" s="305"/>
      <c r="I973" s="305"/>
      <c r="J973" s="305"/>
      <c r="K973" s="305"/>
      <c r="L973" s="305"/>
      <c r="M973" s="305"/>
      <c r="N973" s="305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  <c r="Y973" s="305"/>
      <c r="Z973" s="305"/>
    </row>
    <row r="974" spans="1:26" ht="15.75" customHeight="1">
      <c r="A974" s="305"/>
      <c r="B974" s="305"/>
      <c r="C974" s="305"/>
      <c r="D974" s="305"/>
      <c r="E974" s="305"/>
      <c r="F974" s="305"/>
      <c r="G974" s="305"/>
      <c r="H974" s="305"/>
      <c r="I974" s="305"/>
      <c r="J974" s="305"/>
      <c r="K974" s="305"/>
      <c r="L974" s="305"/>
      <c r="M974" s="305"/>
      <c r="N974" s="305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  <c r="Y974" s="305"/>
      <c r="Z974" s="305"/>
    </row>
    <row r="975" spans="1:26" ht="15.75" customHeight="1">
      <c r="A975" s="305"/>
      <c r="B975" s="305"/>
      <c r="C975" s="305"/>
      <c r="D975" s="305"/>
      <c r="E975" s="305"/>
      <c r="F975" s="305"/>
      <c r="G975" s="305"/>
      <c r="H975" s="305"/>
      <c r="I975" s="305"/>
      <c r="J975" s="305"/>
      <c r="K975" s="305"/>
      <c r="L975" s="305"/>
      <c r="M975" s="305"/>
      <c r="N975" s="305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  <c r="Y975" s="305"/>
      <c r="Z975" s="305"/>
    </row>
    <row r="976" spans="1:26" ht="15.75" customHeight="1">
      <c r="A976" s="305"/>
      <c r="B976" s="305"/>
      <c r="C976" s="305"/>
      <c r="D976" s="305"/>
      <c r="E976" s="305"/>
      <c r="F976" s="305"/>
      <c r="G976" s="305"/>
      <c r="H976" s="305"/>
      <c r="I976" s="305"/>
      <c r="J976" s="305"/>
      <c r="K976" s="305"/>
      <c r="L976" s="305"/>
      <c r="M976" s="305"/>
      <c r="N976" s="305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  <c r="Y976" s="305"/>
      <c r="Z976" s="305"/>
    </row>
    <row r="977" spans="1:26" ht="15.75" customHeight="1">
      <c r="A977" s="305"/>
      <c r="B977" s="305"/>
      <c r="C977" s="305"/>
      <c r="D977" s="305"/>
      <c r="E977" s="305"/>
      <c r="F977" s="305"/>
      <c r="G977" s="305"/>
      <c r="H977" s="305"/>
      <c r="I977" s="305"/>
      <c r="J977" s="305"/>
      <c r="K977" s="305"/>
      <c r="L977" s="305"/>
      <c r="M977" s="305"/>
      <c r="N977" s="305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  <c r="Y977" s="305"/>
      <c r="Z977" s="305"/>
    </row>
    <row r="978" spans="1:26" ht="15.75" customHeight="1">
      <c r="A978" s="305"/>
      <c r="B978" s="305"/>
      <c r="C978" s="305"/>
      <c r="D978" s="305"/>
      <c r="E978" s="305"/>
      <c r="F978" s="305"/>
      <c r="G978" s="305"/>
      <c r="H978" s="305"/>
      <c r="I978" s="305"/>
      <c r="J978" s="305"/>
      <c r="K978" s="305"/>
      <c r="L978" s="305"/>
      <c r="M978" s="305"/>
      <c r="N978" s="305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  <c r="Y978" s="305"/>
      <c r="Z978" s="305"/>
    </row>
    <row r="979" spans="1:26" ht="15.75" customHeight="1">
      <c r="A979" s="305"/>
      <c r="B979" s="305"/>
      <c r="C979" s="305"/>
      <c r="D979" s="305"/>
      <c r="E979" s="305"/>
      <c r="F979" s="305"/>
      <c r="G979" s="305"/>
      <c r="H979" s="305"/>
      <c r="I979" s="305"/>
      <c r="J979" s="305"/>
      <c r="K979" s="305"/>
      <c r="L979" s="305"/>
      <c r="M979" s="305"/>
      <c r="N979" s="305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  <c r="Y979" s="305"/>
      <c r="Z979" s="305"/>
    </row>
    <row r="980" spans="1:26" ht="15.75" customHeight="1">
      <c r="A980" s="305"/>
      <c r="B980" s="305"/>
      <c r="C980" s="305"/>
      <c r="D980" s="305"/>
      <c r="E980" s="305"/>
      <c r="F980" s="305"/>
      <c r="G980" s="305"/>
      <c r="H980" s="305"/>
      <c r="I980" s="305"/>
      <c r="J980" s="305"/>
      <c r="K980" s="305"/>
      <c r="L980" s="305"/>
      <c r="M980" s="305"/>
      <c r="N980" s="305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  <c r="Y980" s="305"/>
      <c r="Z980" s="305"/>
    </row>
    <row r="981" spans="1:26" ht="15.75" customHeight="1">
      <c r="A981" s="305"/>
      <c r="B981" s="305"/>
      <c r="C981" s="305"/>
      <c r="D981" s="305"/>
      <c r="E981" s="305"/>
      <c r="F981" s="305"/>
      <c r="G981" s="305"/>
      <c r="H981" s="305"/>
      <c r="I981" s="305"/>
      <c r="J981" s="305"/>
      <c r="K981" s="305"/>
      <c r="L981" s="305"/>
      <c r="M981" s="305"/>
      <c r="N981" s="305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  <c r="Y981" s="305"/>
      <c r="Z981" s="305"/>
    </row>
    <row r="982" spans="1:26" ht="15.75" customHeight="1">
      <c r="A982" s="305"/>
      <c r="B982" s="305"/>
      <c r="C982" s="305"/>
      <c r="D982" s="305"/>
      <c r="E982" s="305"/>
      <c r="F982" s="305"/>
      <c r="G982" s="305"/>
      <c r="H982" s="305"/>
      <c r="I982" s="305"/>
      <c r="J982" s="305"/>
      <c r="K982" s="305"/>
      <c r="L982" s="305"/>
      <c r="M982" s="305"/>
      <c r="N982" s="305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  <c r="Y982" s="305"/>
      <c r="Z982" s="305"/>
    </row>
    <row r="983" spans="1:26" ht="15.75" customHeight="1">
      <c r="A983" s="305"/>
      <c r="B983" s="305"/>
      <c r="C983" s="305"/>
      <c r="D983" s="305"/>
      <c r="E983" s="305"/>
      <c r="F983" s="305"/>
      <c r="G983" s="305"/>
      <c r="H983" s="305"/>
      <c r="I983" s="305"/>
      <c r="J983" s="305"/>
      <c r="K983" s="305"/>
      <c r="L983" s="305"/>
      <c r="M983" s="305"/>
      <c r="N983" s="305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  <c r="Y983" s="305"/>
      <c r="Z983" s="305"/>
    </row>
    <row r="984" spans="1:26" ht="15.75" customHeight="1">
      <c r="A984" s="305"/>
      <c r="B984" s="305"/>
      <c r="C984" s="305"/>
      <c r="D984" s="305"/>
      <c r="E984" s="305"/>
      <c r="F984" s="305"/>
      <c r="G984" s="305"/>
      <c r="H984" s="305"/>
      <c r="I984" s="305"/>
      <c r="J984" s="305"/>
      <c r="K984" s="305"/>
      <c r="L984" s="305"/>
      <c r="M984" s="305"/>
      <c r="N984" s="305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  <c r="Y984" s="305"/>
      <c r="Z984" s="305"/>
    </row>
    <row r="985" spans="1:26" ht="15.75" customHeight="1">
      <c r="A985" s="305"/>
      <c r="B985" s="305"/>
      <c r="C985" s="305"/>
      <c r="D985" s="305"/>
      <c r="E985" s="305"/>
      <c r="F985" s="305"/>
      <c r="G985" s="305"/>
      <c r="H985" s="305"/>
      <c r="I985" s="305"/>
      <c r="J985" s="305"/>
      <c r="K985" s="305"/>
      <c r="L985" s="305"/>
      <c r="M985" s="305"/>
      <c r="N985" s="305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  <c r="Y985" s="305"/>
      <c r="Z985" s="305"/>
    </row>
    <row r="986" spans="1:26" ht="15.75" customHeight="1">
      <c r="A986" s="305"/>
      <c r="B986" s="305"/>
      <c r="C986" s="305"/>
      <c r="D986" s="305"/>
      <c r="E986" s="305"/>
      <c r="F986" s="305"/>
      <c r="G986" s="305"/>
      <c r="H986" s="305"/>
      <c r="I986" s="305"/>
      <c r="J986" s="305"/>
      <c r="K986" s="305"/>
      <c r="L986" s="305"/>
      <c r="M986" s="305"/>
      <c r="N986" s="305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  <c r="Y986" s="305"/>
      <c r="Z986" s="305"/>
    </row>
    <row r="987" spans="1:26" ht="15.75" customHeight="1">
      <c r="A987" s="305"/>
      <c r="B987" s="305"/>
      <c r="C987" s="305"/>
      <c r="D987" s="305"/>
      <c r="E987" s="305"/>
      <c r="F987" s="305"/>
      <c r="G987" s="305"/>
      <c r="H987" s="305"/>
      <c r="I987" s="305"/>
      <c r="J987" s="305"/>
      <c r="K987" s="305"/>
      <c r="L987" s="305"/>
      <c r="M987" s="305"/>
      <c r="N987" s="305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  <c r="Y987" s="305"/>
      <c r="Z987" s="305"/>
    </row>
    <row r="988" spans="1:26" ht="15.75" customHeight="1">
      <c r="A988" s="305"/>
      <c r="B988" s="305"/>
      <c r="C988" s="305"/>
      <c r="D988" s="305"/>
      <c r="E988" s="305"/>
      <c r="F988" s="305"/>
      <c r="G988" s="305"/>
      <c r="H988" s="305"/>
      <c r="I988" s="305"/>
      <c r="J988" s="305"/>
      <c r="K988" s="305"/>
      <c r="L988" s="305"/>
      <c r="M988" s="305"/>
      <c r="N988" s="305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  <c r="Y988" s="305"/>
      <c r="Z988" s="305"/>
    </row>
    <row r="989" spans="1:26" ht="15.75" customHeight="1">
      <c r="A989" s="305"/>
      <c r="B989" s="305"/>
      <c r="C989" s="305"/>
      <c r="D989" s="305"/>
      <c r="E989" s="305"/>
      <c r="F989" s="305"/>
      <c r="G989" s="305"/>
      <c r="H989" s="305"/>
      <c r="I989" s="305"/>
      <c r="J989" s="305"/>
      <c r="K989" s="305"/>
      <c r="L989" s="305"/>
      <c r="M989" s="305"/>
      <c r="N989" s="305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  <c r="Y989" s="305"/>
      <c r="Z989" s="305"/>
    </row>
    <row r="990" spans="1:26" ht="15.75" customHeight="1">
      <c r="A990" s="305"/>
      <c r="B990" s="305"/>
      <c r="C990" s="305"/>
      <c r="D990" s="305"/>
      <c r="E990" s="305"/>
      <c r="F990" s="305"/>
      <c r="G990" s="305"/>
      <c r="H990" s="305"/>
      <c r="I990" s="305"/>
      <c r="J990" s="305"/>
      <c r="K990" s="305"/>
      <c r="L990" s="305"/>
      <c r="M990" s="305"/>
      <c r="N990" s="305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  <c r="Y990" s="305"/>
      <c r="Z990" s="305"/>
    </row>
    <row r="991" spans="1:26" ht="15.75" customHeight="1">
      <c r="A991" s="305"/>
      <c r="B991" s="305"/>
      <c r="C991" s="305"/>
      <c r="D991" s="305"/>
      <c r="E991" s="305"/>
      <c r="F991" s="305"/>
      <c r="G991" s="305"/>
      <c r="H991" s="305"/>
      <c r="I991" s="305"/>
      <c r="J991" s="305"/>
      <c r="K991" s="305"/>
      <c r="L991" s="305"/>
      <c r="M991" s="305"/>
      <c r="N991" s="305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  <c r="Y991" s="305"/>
      <c r="Z991" s="305"/>
    </row>
    <row r="992" spans="1:26" ht="15.75" customHeight="1">
      <c r="A992" s="305"/>
      <c r="B992" s="305"/>
      <c r="C992" s="305"/>
      <c r="D992" s="305"/>
      <c r="E992" s="305"/>
      <c r="F992" s="305"/>
      <c r="G992" s="305"/>
      <c r="H992" s="305"/>
      <c r="I992" s="305"/>
      <c r="J992" s="305"/>
      <c r="K992" s="305"/>
      <c r="L992" s="305"/>
      <c r="M992" s="305"/>
      <c r="N992" s="305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  <c r="Y992" s="305"/>
      <c r="Z992" s="305"/>
    </row>
    <row r="993" spans="1:26" ht="15.75" customHeight="1">
      <c r="A993" s="305"/>
      <c r="B993" s="305"/>
      <c r="C993" s="305"/>
      <c r="D993" s="305"/>
      <c r="E993" s="305"/>
      <c r="F993" s="305"/>
      <c r="G993" s="305"/>
      <c r="H993" s="305"/>
      <c r="I993" s="305"/>
      <c r="J993" s="305"/>
      <c r="K993" s="305"/>
      <c r="L993" s="305"/>
      <c r="M993" s="305"/>
      <c r="N993" s="305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  <c r="Y993" s="305"/>
      <c r="Z993" s="305"/>
    </row>
    <row r="994" spans="1:26" ht="15.75" customHeight="1">
      <c r="A994" s="305"/>
      <c r="B994" s="305"/>
      <c r="C994" s="305"/>
      <c r="D994" s="305"/>
      <c r="E994" s="305"/>
      <c r="F994" s="305"/>
      <c r="G994" s="305"/>
      <c r="H994" s="305"/>
      <c r="I994" s="305"/>
      <c r="J994" s="305"/>
      <c r="K994" s="305"/>
      <c r="L994" s="305"/>
      <c r="M994" s="305"/>
      <c r="N994" s="305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  <c r="Y994" s="305"/>
      <c r="Z994" s="305"/>
    </row>
    <row r="995" spans="1:26" ht="15.75" customHeight="1">
      <c r="A995" s="305"/>
      <c r="B995" s="305"/>
      <c r="C995" s="305"/>
      <c r="D995" s="305"/>
      <c r="E995" s="305"/>
      <c r="F995" s="305"/>
      <c r="G995" s="305"/>
      <c r="H995" s="305"/>
      <c r="I995" s="305"/>
      <c r="J995" s="305"/>
      <c r="K995" s="305"/>
      <c r="L995" s="305"/>
      <c r="M995" s="305"/>
      <c r="N995" s="305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  <c r="Y995" s="305"/>
      <c r="Z995" s="305"/>
    </row>
    <row r="996" spans="1:26" ht="15.75" customHeight="1">
      <c r="A996" s="305"/>
      <c r="B996" s="305"/>
      <c r="C996" s="305"/>
      <c r="D996" s="305"/>
      <c r="E996" s="305"/>
      <c r="F996" s="305"/>
      <c r="G996" s="305"/>
      <c r="H996" s="305"/>
      <c r="I996" s="305"/>
      <c r="J996" s="305"/>
      <c r="K996" s="305"/>
      <c r="L996" s="305"/>
      <c r="M996" s="305"/>
      <c r="N996" s="305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  <c r="Y996" s="305"/>
      <c r="Z996" s="305"/>
    </row>
    <row r="997" spans="1:26" ht="15.75" customHeight="1">
      <c r="A997" s="305"/>
      <c r="B997" s="305"/>
      <c r="C997" s="305"/>
      <c r="D997" s="305"/>
      <c r="E997" s="305"/>
      <c r="F997" s="305"/>
      <c r="G997" s="305"/>
      <c r="H997" s="305"/>
      <c r="I997" s="305"/>
      <c r="J997" s="305"/>
      <c r="K997" s="305"/>
      <c r="L997" s="305"/>
      <c r="M997" s="305"/>
      <c r="N997" s="305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  <c r="Y997" s="305"/>
      <c r="Z997" s="305"/>
    </row>
    <row r="998" spans="1:26" ht="15.75" customHeight="1">
      <c r="A998" s="305"/>
      <c r="B998" s="305"/>
      <c r="C998" s="305"/>
      <c r="D998" s="305"/>
      <c r="E998" s="305"/>
      <c r="F998" s="305"/>
      <c r="G998" s="305"/>
      <c r="H998" s="305"/>
      <c r="I998" s="305"/>
      <c r="J998" s="305"/>
      <c r="K998" s="305"/>
      <c r="L998" s="305"/>
      <c r="M998" s="305"/>
      <c r="N998" s="305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  <c r="Y998" s="305"/>
      <c r="Z998" s="305"/>
    </row>
    <row r="999" spans="1:26" ht="15.75" customHeight="1">
      <c r="A999" s="305"/>
      <c r="B999" s="305"/>
      <c r="C999" s="305"/>
      <c r="D999" s="305"/>
      <c r="E999" s="305"/>
      <c r="F999" s="305"/>
      <c r="G999" s="305"/>
      <c r="H999" s="305"/>
      <c r="I999" s="305"/>
      <c r="J999" s="305"/>
      <c r="K999" s="305"/>
      <c r="L999" s="305"/>
      <c r="M999" s="305"/>
      <c r="N999" s="305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  <c r="Y999" s="305"/>
      <c r="Z999" s="305"/>
    </row>
    <row r="1000" spans="1:26" ht="15.75" customHeight="1">
      <c r="A1000" s="305"/>
      <c r="B1000" s="305"/>
      <c r="C1000" s="305"/>
      <c r="D1000" s="305"/>
      <c r="E1000" s="305"/>
      <c r="F1000" s="305"/>
      <c r="G1000" s="305"/>
      <c r="H1000" s="305"/>
      <c r="I1000" s="305"/>
      <c r="J1000" s="305"/>
      <c r="K1000" s="305"/>
      <c r="L1000" s="305"/>
      <c r="M1000" s="305"/>
      <c r="N1000" s="305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  <c r="Y1000" s="305"/>
      <c r="Z1000" s="305"/>
    </row>
  </sheetData>
  <mergeCells count="79">
    <mergeCell ref="A115:E115"/>
    <mergeCell ref="G115:I115"/>
    <mergeCell ref="A117:A118"/>
    <mergeCell ref="A119:A120"/>
    <mergeCell ref="A122:E122"/>
    <mergeCell ref="G122:I122"/>
    <mergeCell ref="A41:A43"/>
    <mergeCell ref="A44:E44"/>
    <mergeCell ref="G44:I44"/>
    <mergeCell ref="A45:A46"/>
    <mergeCell ref="A112:A113"/>
    <mergeCell ref="A97:A103"/>
    <mergeCell ref="A104:B104"/>
    <mergeCell ref="A105:E105"/>
    <mergeCell ref="G105:I105"/>
    <mergeCell ref="A106:A107"/>
    <mergeCell ref="A108:A109"/>
    <mergeCell ref="A110:A111"/>
    <mergeCell ref="A86:A90"/>
    <mergeCell ref="A91:E91"/>
    <mergeCell ref="G91:I91"/>
    <mergeCell ref="A92:A95"/>
    <mergeCell ref="A34:A35"/>
    <mergeCell ref="A36:E36"/>
    <mergeCell ref="G36:I36"/>
    <mergeCell ref="A37:A39"/>
    <mergeCell ref="A40:E40"/>
    <mergeCell ref="G40:I40"/>
    <mergeCell ref="A27:E27"/>
    <mergeCell ref="G27:I27"/>
    <mergeCell ref="A23:A26"/>
    <mergeCell ref="A28:A32"/>
    <mergeCell ref="A33:E33"/>
    <mergeCell ref="G33:I33"/>
    <mergeCell ref="A13:A15"/>
    <mergeCell ref="A16:E16"/>
    <mergeCell ref="G16:I16"/>
    <mergeCell ref="A17:A21"/>
    <mergeCell ref="A22:E22"/>
    <mergeCell ref="G22:I22"/>
    <mergeCell ref="A5:A8"/>
    <mergeCell ref="A9:E9"/>
    <mergeCell ref="G9:I9"/>
    <mergeCell ref="A10:A11"/>
    <mergeCell ref="A12:E12"/>
    <mergeCell ref="G12:I12"/>
    <mergeCell ref="K2:M2"/>
    <mergeCell ref="M3:M4"/>
    <mergeCell ref="A1:M1"/>
    <mergeCell ref="B2:E2"/>
    <mergeCell ref="G2:I2"/>
    <mergeCell ref="A3:A4"/>
    <mergeCell ref="B3:B4"/>
    <mergeCell ref="E3:E4"/>
    <mergeCell ref="I3:I4"/>
    <mergeCell ref="A96:B96"/>
    <mergeCell ref="A75:A78"/>
    <mergeCell ref="A79:E79"/>
    <mergeCell ref="G79:I79"/>
    <mergeCell ref="A80:A84"/>
    <mergeCell ref="A85:E85"/>
    <mergeCell ref="G85:I85"/>
    <mergeCell ref="A63:A67"/>
    <mergeCell ref="A68:E68"/>
    <mergeCell ref="G68:I68"/>
    <mergeCell ref="A69:A73"/>
    <mergeCell ref="A74:E74"/>
    <mergeCell ref="G74:I74"/>
    <mergeCell ref="A56:E56"/>
    <mergeCell ref="G56:I56"/>
    <mergeCell ref="A53:A55"/>
    <mergeCell ref="A57:A61"/>
    <mergeCell ref="A62:E62"/>
    <mergeCell ref="G62:I62"/>
    <mergeCell ref="A47:E47"/>
    <mergeCell ref="G47:I47"/>
    <mergeCell ref="A48:A51"/>
    <mergeCell ref="A52:E52"/>
    <mergeCell ref="G52:I52"/>
  </mergeCells>
  <pageMargins left="0.98891625615763545" right="1.2869458128078817" top="0.36" bottom="0.28448275862068967" header="0" footer="0"/>
  <pageSetup orientation="landscape"/>
  <rowBreaks count="3" manualBreakCount="3">
    <brk id="122" man="1"/>
    <brk id="44" man="1"/>
    <brk id="7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C0000"/>
    <outlinePr summaryBelow="0" summaryRight="0"/>
  </sheetPr>
  <dimension ref="A1:X100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/>
  <cols>
    <col min="1" max="1" width="21.25" customWidth="1"/>
    <col min="2" max="2" width="13.25" customWidth="1"/>
    <col min="3" max="3" width="12.125" customWidth="1"/>
    <col min="4" max="4" width="13.125" customWidth="1"/>
    <col min="5" max="5" width="13.75" customWidth="1"/>
    <col min="6" max="6" width="1.5" customWidth="1"/>
    <col min="7" max="8" width="13.25" customWidth="1"/>
    <col min="9" max="9" width="12" customWidth="1"/>
    <col min="10" max="10" width="1.625" customWidth="1"/>
    <col min="11" max="13" width="13.5" customWidth="1"/>
    <col min="14" max="14" width="9.875" customWidth="1"/>
    <col min="15" max="15" width="7.875" customWidth="1"/>
    <col min="16" max="16" width="0.375" customWidth="1"/>
    <col min="17" max="24" width="7.875" customWidth="1"/>
  </cols>
  <sheetData>
    <row r="1" spans="1:24" ht="15.75" customHeight="1">
      <c r="A1" s="1008" t="s">
        <v>179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5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</row>
    <row r="2" spans="1:24" ht="16.5" customHeight="1">
      <c r="A2" s="306"/>
      <c r="B2" s="992" t="s">
        <v>156</v>
      </c>
      <c r="C2" s="928"/>
      <c r="D2" s="928"/>
      <c r="E2" s="955"/>
      <c r="F2" s="307"/>
      <c r="G2" s="993" t="s">
        <v>4</v>
      </c>
      <c r="H2" s="928"/>
      <c r="I2" s="928"/>
      <c r="J2" s="308"/>
      <c r="K2" s="1004" t="s">
        <v>1</v>
      </c>
      <c r="L2" s="928"/>
      <c r="M2" s="95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</row>
    <row r="3" spans="1:24" ht="48" customHeight="1">
      <c r="A3" s="994" t="s">
        <v>129</v>
      </c>
      <c r="B3" s="994" t="s">
        <v>7</v>
      </c>
      <c r="C3" s="311" t="str">
        <f>K3</f>
        <v xml:space="preserve">OBG 2021-22 </v>
      </c>
      <c r="D3" s="312" t="str">
        <f>H3</f>
        <v>Actual Exp. up to Oct -2021</v>
      </c>
      <c r="E3" s="995" t="s">
        <v>128</v>
      </c>
      <c r="F3" s="314"/>
      <c r="G3" s="313" t="str">
        <f>K3</f>
        <v xml:space="preserve">OBG 2021-22 </v>
      </c>
      <c r="H3" s="567" t="s">
        <v>180</v>
      </c>
      <c r="I3" s="995" t="s">
        <v>128</v>
      </c>
      <c r="J3" s="316"/>
      <c r="K3" s="487" t="s">
        <v>92</v>
      </c>
      <c r="L3" s="315" t="str">
        <f>H3</f>
        <v>Actual Exp. up to Oct -2021</v>
      </c>
      <c r="M3" s="989" t="s">
        <v>128</v>
      </c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</row>
    <row r="4" spans="1:24" ht="17.25" customHeight="1">
      <c r="A4" s="949"/>
      <c r="B4" s="949"/>
      <c r="C4" s="318" t="s">
        <v>19</v>
      </c>
      <c r="D4" s="319" t="s">
        <v>19</v>
      </c>
      <c r="E4" s="957"/>
      <c r="F4" s="316"/>
      <c r="G4" s="320" t="s">
        <v>19</v>
      </c>
      <c r="H4" s="319"/>
      <c r="I4" s="957"/>
      <c r="J4" s="316"/>
      <c r="K4" s="488" t="s">
        <v>19</v>
      </c>
      <c r="L4" s="322" t="s">
        <v>19</v>
      </c>
      <c r="M4" s="990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</row>
    <row r="5" spans="1:24" ht="15.75" customHeight="1">
      <c r="A5" s="996" t="s">
        <v>97</v>
      </c>
      <c r="B5" s="323" t="s">
        <v>21</v>
      </c>
      <c r="C5" s="331">
        <v>1</v>
      </c>
      <c r="D5" s="568">
        <v>1088</v>
      </c>
      <c r="E5" s="326">
        <f>D5/C5</f>
        <v>1088</v>
      </c>
      <c r="F5" s="327"/>
      <c r="G5" s="569"/>
      <c r="H5" s="569"/>
      <c r="I5" s="570"/>
      <c r="J5" s="330"/>
      <c r="K5" s="331">
        <v>1</v>
      </c>
      <c r="L5" s="571">
        <v>1088</v>
      </c>
      <c r="M5" s="381">
        <f>L5/K5</f>
        <v>1088</v>
      </c>
      <c r="N5" s="305"/>
      <c r="O5" s="305"/>
      <c r="P5" s="305"/>
      <c r="Q5" s="305"/>
      <c r="R5" s="305"/>
      <c r="S5" s="305"/>
      <c r="T5" s="305"/>
      <c r="U5" s="305"/>
      <c r="V5" s="305"/>
      <c r="W5" s="305"/>
      <c r="X5" s="305"/>
    </row>
    <row r="6" spans="1:24" ht="15.75" customHeight="1">
      <c r="A6" s="952"/>
      <c r="B6" s="334" t="s">
        <v>22</v>
      </c>
      <c r="C6" s="339">
        <v>10000</v>
      </c>
      <c r="D6" s="339">
        <v>0</v>
      </c>
      <c r="E6" s="337">
        <v>0</v>
      </c>
      <c r="F6" s="327"/>
      <c r="G6" s="572"/>
      <c r="H6" s="572"/>
      <c r="I6" s="570"/>
      <c r="J6" s="330"/>
      <c r="K6" s="339">
        <v>10000</v>
      </c>
      <c r="L6" s="490">
        <v>0</v>
      </c>
      <c r="M6" s="383">
        <v>0</v>
      </c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</row>
    <row r="7" spans="1:24" ht="15.75" customHeight="1">
      <c r="A7" s="952"/>
      <c r="B7" s="334" t="s">
        <v>40</v>
      </c>
      <c r="C7" s="339">
        <v>2</v>
      </c>
      <c r="D7" s="339">
        <v>469</v>
      </c>
      <c r="E7" s="337">
        <f t="shared" ref="E7:E8" si="0">D7/C7</f>
        <v>234.5</v>
      </c>
      <c r="F7" s="327"/>
      <c r="G7" s="572"/>
      <c r="H7" s="572"/>
      <c r="I7" s="570"/>
      <c r="J7" s="330"/>
      <c r="K7" s="339">
        <v>2</v>
      </c>
      <c r="L7" s="490">
        <v>469</v>
      </c>
      <c r="M7" s="383">
        <f t="shared" ref="M7:M8" si="1">L7/K7</f>
        <v>234.5</v>
      </c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</row>
    <row r="8" spans="1:24" ht="15.75" customHeight="1">
      <c r="A8" s="997"/>
      <c r="B8" s="201" t="s">
        <v>25</v>
      </c>
      <c r="C8" s="357">
        <f t="shared" ref="C8:D8" si="2">SUM(C5:C7)</f>
        <v>10003</v>
      </c>
      <c r="D8" s="357">
        <f t="shared" si="2"/>
        <v>1557</v>
      </c>
      <c r="E8" s="342">
        <f t="shared" si="0"/>
        <v>0.15565330400879737</v>
      </c>
      <c r="F8" s="343"/>
      <c r="G8" s="573"/>
      <c r="H8" s="574"/>
      <c r="I8" s="575"/>
      <c r="J8" s="330"/>
      <c r="K8" s="357">
        <f t="shared" ref="K8:L8" si="3">SUM(K5:K7)</f>
        <v>10003</v>
      </c>
      <c r="L8" s="184">
        <f t="shared" si="3"/>
        <v>1557</v>
      </c>
      <c r="M8" s="384">
        <f t="shared" si="1"/>
        <v>0.15565330400879737</v>
      </c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</row>
    <row r="9" spans="1:24" ht="6.75" customHeight="1">
      <c r="A9" s="985"/>
      <c r="B9" s="928"/>
      <c r="C9" s="928"/>
      <c r="D9" s="928"/>
      <c r="E9" s="928"/>
      <c r="F9" s="312"/>
      <c r="G9" s="986"/>
      <c r="H9" s="928"/>
      <c r="I9" s="928"/>
      <c r="J9" s="312"/>
      <c r="K9" s="491"/>
      <c r="L9" s="348"/>
      <c r="M9" s="349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</row>
    <row r="10" spans="1:24" ht="15.75" customHeight="1">
      <c r="A10" s="998" t="s">
        <v>26</v>
      </c>
      <c r="B10" s="350" t="s">
        <v>21</v>
      </c>
      <c r="C10" s="350">
        <v>1810001</v>
      </c>
      <c r="D10" s="576">
        <v>731483</v>
      </c>
      <c r="E10" s="352">
        <f t="shared" ref="E10:E11" si="4">D10/C10</f>
        <v>0.4041340308651763</v>
      </c>
      <c r="F10" s="327"/>
      <c r="G10" s="577"/>
      <c r="H10" s="577"/>
      <c r="I10" s="578"/>
      <c r="J10" s="327"/>
      <c r="K10" s="492">
        <f>260001+1550000</f>
        <v>1810001</v>
      </c>
      <c r="L10" s="579">
        <v>731483</v>
      </c>
      <c r="M10" s="356">
        <f t="shared" ref="M10:M11" si="5">L10/K10</f>
        <v>0.4041340308651763</v>
      </c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</row>
    <row r="11" spans="1:24" ht="15.75" customHeight="1">
      <c r="A11" s="953"/>
      <c r="B11" s="357" t="s">
        <v>25</v>
      </c>
      <c r="C11" s="357">
        <f t="shared" ref="C11:D11" si="6">SUM(C10)</f>
        <v>1810001</v>
      </c>
      <c r="D11" s="358">
        <f t="shared" si="6"/>
        <v>731483</v>
      </c>
      <c r="E11" s="359">
        <f t="shared" si="4"/>
        <v>0.4041340308651763</v>
      </c>
      <c r="F11" s="343"/>
      <c r="G11" s="580"/>
      <c r="H11" s="581"/>
      <c r="I11" s="582"/>
      <c r="J11" s="327"/>
      <c r="K11" s="346">
        <f t="shared" ref="K11:L11" si="7">SUM(K10)</f>
        <v>1810001</v>
      </c>
      <c r="L11" s="362">
        <f t="shared" si="7"/>
        <v>731483</v>
      </c>
      <c r="M11" s="363">
        <f t="shared" si="5"/>
        <v>0.4041340308651763</v>
      </c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</row>
    <row r="12" spans="1:24" ht="6.75" customHeight="1">
      <c r="A12" s="985"/>
      <c r="B12" s="928"/>
      <c r="C12" s="928"/>
      <c r="D12" s="928"/>
      <c r="E12" s="928"/>
      <c r="F12" s="312"/>
      <c r="G12" s="986"/>
      <c r="H12" s="928"/>
      <c r="I12" s="928"/>
      <c r="J12" s="312"/>
      <c r="K12" s="491"/>
      <c r="L12" s="348"/>
      <c r="M12" s="349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</row>
    <row r="13" spans="1:24" ht="15.75" customHeight="1">
      <c r="A13" s="987" t="s">
        <v>27</v>
      </c>
      <c r="B13" s="386" t="s">
        <v>21</v>
      </c>
      <c r="C13" s="364">
        <f>5600400</f>
        <v>5600400</v>
      </c>
      <c r="D13" s="583">
        <v>99563</v>
      </c>
      <c r="E13" s="326">
        <f t="shared" ref="E13:E15" si="8">D13/C13</f>
        <v>1.7777837297335904E-2</v>
      </c>
      <c r="F13" s="327"/>
      <c r="G13" s="338">
        <f t="shared" ref="G13:H13" si="9">K13-C13</f>
        <v>80000</v>
      </c>
      <c r="H13" s="338">
        <f t="shared" si="9"/>
        <v>69833</v>
      </c>
      <c r="I13" s="337">
        <f>H13/G13</f>
        <v>0.87291249999999998</v>
      </c>
      <c r="J13" s="327"/>
      <c r="K13" s="364">
        <f>5600400+80000</f>
        <v>5680400</v>
      </c>
      <c r="L13" s="583">
        <v>169396</v>
      </c>
      <c r="M13" s="368">
        <f t="shared" ref="M13:M15" si="10">L13/K13</f>
        <v>2.9821139356383353E-2</v>
      </c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</row>
    <row r="14" spans="1:24" ht="15.75" customHeight="1">
      <c r="A14" s="949"/>
      <c r="B14" s="334" t="s">
        <v>158</v>
      </c>
      <c r="C14" s="494">
        <v>6479400</v>
      </c>
      <c r="D14" s="576">
        <v>4158700</v>
      </c>
      <c r="E14" s="326">
        <f t="shared" si="8"/>
        <v>0.64183412044325094</v>
      </c>
      <c r="F14" s="327"/>
      <c r="G14" s="338">
        <f t="shared" ref="G14:H14" si="11">K14-C14</f>
        <v>0</v>
      </c>
      <c r="H14" s="338">
        <f t="shared" si="11"/>
        <v>0</v>
      </c>
      <c r="I14" s="337">
        <v>0</v>
      </c>
      <c r="J14" s="327"/>
      <c r="K14" s="494">
        <v>6479400</v>
      </c>
      <c r="L14" s="576">
        <v>4158700</v>
      </c>
      <c r="M14" s="368">
        <f t="shared" si="10"/>
        <v>0.64183412044325094</v>
      </c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</row>
    <row r="15" spans="1:24" ht="15.75" customHeight="1">
      <c r="A15" s="950"/>
      <c r="B15" s="357" t="s">
        <v>25</v>
      </c>
      <c r="C15" s="369">
        <f t="shared" ref="C15:D15" si="12">SUM(C13:C14)</f>
        <v>12079800</v>
      </c>
      <c r="D15" s="369">
        <f t="shared" si="12"/>
        <v>4258263</v>
      </c>
      <c r="E15" s="359">
        <f t="shared" si="8"/>
        <v>0.3525110515074753</v>
      </c>
      <c r="F15" s="343"/>
      <c r="G15" s="370">
        <f t="shared" ref="G15:H15" si="13">SUM(G13)</f>
        <v>80000</v>
      </c>
      <c r="H15" s="369">
        <f t="shared" si="13"/>
        <v>69833</v>
      </c>
      <c r="I15" s="337">
        <f>H15/G15</f>
        <v>0.87291249999999998</v>
      </c>
      <c r="J15" s="327"/>
      <c r="K15" s="362">
        <f t="shared" ref="K15:L15" si="14">SUM(K13:K14)</f>
        <v>12159800</v>
      </c>
      <c r="L15" s="371">
        <f t="shared" si="14"/>
        <v>4328096</v>
      </c>
      <c r="M15" s="363">
        <f t="shared" si="10"/>
        <v>0.35593480155923618</v>
      </c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</row>
    <row r="16" spans="1:24" ht="6.75" customHeight="1">
      <c r="A16" s="985"/>
      <c r="B16" s="928"/>
      <c r="C16" s="928"/>
      <c r="D16" s="928"/>
      <c r="E16" s="928"/>
      <c r="F16" s="312"/>
      <c r="G16" s="986"/>
      <c r="H16" s="928"/>
      <c r="I16" s="928"/>
      <c r="J16" s="312"/>
      <c r="K16" s="491"/>
      <c r="L16" s="348"/>
      <c r="M16" s="349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</row>
    <row r="17" spans="1:24" ht="15.75" customHeight="1">
      <c r="A17" s="987" t="s">
        <v>30</v>
      </c>
      <c r="B17" s="323" t="s">
        <v>21</v>
      </c>
      <c r="C17" s="364">
        <v>383504</v>
      </c>
      <c r="D17" s="583">
        <f>147817</f>
        <v>147817</v>
      </c>
      <c r="E17" s="326">
        <f>D17/C17</f>
        <v>0.38543796153364762</v>
      </c>
      <c r="F17" s="327"/>
      <c r="G17" s="338">
        <f t="shared" ref="G17:H17" si="15">K17-C17</f>
        <v>280699</v>
      </c>
      <c r="H17" s="338">
        <f t="shared" si="15"/>
        <v>77166</v>
      </c>
      <c r="I17" s="337">
        <f>H17/G17</f>
        <v>0.27490657252074285</v>
      </c>
      <c r="J17" s="327"/>
      <c r="K17" s="367">
        <f>150003+514200</f>
        <v>664203</v>
      </c>
      <c r="L17" s="584">
        <v>224983</v>
      </c>
      <c r="M17" s="368">
        <f>L17/K17</f>
        <v>0.33872626290456381</v>
      </c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</row>
    <row r="18" spans="1:24" ht="15.75" customHeight="1">
      <c r="A18" s="949"/>
      <c r="B18" s="334" t="s">
        <v>28</v>
      </c>
      <c r="C18" s="372">
        <v>0</v>
      </c>
      <c r="D18" s="585">
        <v>0</v>
      </c>
      <c r="E18" s="337">
        <v>0</v>
      </c>
      <c r="F18" s="327"/>
      <c r="G18" s="338">
        <f t="shared" ref="G18:H18" si="16">K18-C18</f>
        <v>0</v>
      </c>
      <c r="H18" s="338">
        <f t="shared" si="16"/>
        <v>256</v>
      </c>
      <c r="I18" s="586">
        <v>0</v>
      </c>
      <c r="J18" s="327"/>
      <c r="K18" s="375">
        <v>0</v>
      </c>
      <c r="L18" s="375">
        <v>256</v>
      </c>
      <c r="M18" s="376">
        <v>0</v>
      </c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</row>
    <row r="19" spans="1:24" ht="15.75" customHeight="1">
      <c r="A19" s="949"/>
      <c r="B19" s="334" t="s">
        <v>31</v>
      </c>
      <c r="C19" s="372">
        <f>50026+50000</f>
        <v>100026</v>
      </c>
      <c r="D19" s="585">
        <f>31203+70987</f>
        <v>102190</v>
      </c>
      <c r="E19" s="337">
        <f t="shared" ref="E19:E21" si="17">D19/C19</f>
        <v>1.0216343750624837</v>
      </c>
      <c r="F19" s="327"/>
      <c r="G19" s="338">
        <f t="shared" ref="G19:H19" si="18">K19-C19</f>
        <v>13</v>
      </c>
      <c r="H19" s="338">
        <f t="shared" si="18"/>
        <v>38800</v>
      </c>
      <c r="I19" s="337">
        <f t="shared" ref="I19:I21" si="19">H19/G19</f>
        <v>2984.6153846153848</v>
      </c>
      <c r="J19" s="327"/>
      <c r="K19" s="375">
        <v>100039</v>
      </c>
      <c r="L19" s="587">
        <v>140990</v>
      </c>
      <c r="M19" s="376">
        <f t="shared" ref="M19:M21" si="20">L19/K19</f>
        <v>1.4093503533621887</v>
      </c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</row>
    <row r="20" spans="1:24" ht="15.75" customHeight="1">
      <c r="A20" s="949"/>
      <c r="B20" s="377" t="s">
        <v>32</v>
      </c>
      <c r="C20" s="378">
        <v>1</v>
      </c>
      <c r="D20" s="585">
        <v>0</v>
      </c>
      <c r="E20" s="495">
        <f t="shared" si="17"/>
        <v>0</v>
      </c>
      <c r="F20" s="327"/>
      <c r="G20" s="338">
        <f t="shared" ref="G20:H20" si="21">K20-C20</f>
        <v>1</v>
      </c>
      <c r="H20" s="338">
        <f t="shared" si="21"/>
        <v>13348</v>
      </c>
      <c r="I20" s="495">
        <f t="shared" si="19"/>
        <v>13348</v>
      </c>
      <c r="J20" s="327"/>
      <c r="K20" s="496">
        <v>2</v>
      </c>
      <c r="L20" s="587">
        <v>13348</v>
      </c>
      <c r="M20" s="497">
        <f t="shared" si="20"/>
        <v>6674</v>
      </c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</row>
    <row r="21" spans="1:24" ht="15.75" customHeight="1">
      <c r="A21" s="950"/>
      <c r="B21" s="357" t="s">
        <v>25</v>
      </c>
      <c r="C21" s="369">
        <f t="shared" ref="C21:D21" si="22">SUM(C17:C20)</f>
        <v>483531</v>
      </c>
      <c r="D21" s="358">
        <f t="shared" si="22"/>
        <v>250007</v>
      </c>
      <c r="E21" s="359">
        <f t="shared" si="17"/>
        <v>0.51704440873491053</v>
      </c>
      <c r="F21" s="343"/>
      <c r="G21" s="370">
        <f t="shared" ref="G21:H21" si="23">SUM(G17:G20)</f>
        <v>280713</v>
      </c>
      <c r="H21" s="369">
        <f t="shared" si="23"/>
        <v>129570</v>
      </c>
      <c r="I21" s="380">
        <f t="shared" si="19"/>
        <v>0.4615746331662588</v>
      </c>
      <c r="J21" s="327"/>
      <c r="K21" s="362">
        <f t="shared" ref="K21:L21" si="24">SUM(K17:K20)</f>
        <v>764244</v>
      </c>
      <c r="L21" s="362">
        <f t="shared" si="24"/>
        <v>379577</v>
      </c>
      <c r="M21" s="363">
        <f t="shared" si="20"/>
        <v>0.49666991170359204</v>
      </c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</row>
    <row r="22" spans="1:24" ht="6.75" customHeight="1">
      <c r="A22" s="985"/>
      <c r="B22" s="928"/>
      <c r="C22" s="928"/>
      <c r="D22" s="928"/>
      <c r="E22" s="928"/>
      <c r="F22" s="312"/>
      <c r="G22" s="986"/>
      <c r="H22" s="928"/>
      <c r="I22" s="928"/>
      <c r="J22" s="312"/>
      <c r="K22" s="491"/>
      <c r="L22" s="348"/>
      <c r="M22" s="349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</row>
    <row r="23" spans="1:24" ht="15.75" customHeight="1">
      <c r="A23" s="987" t="s">
        <v>34</v>
      </c>
      <c r="B23" s="323" t="s">
        <v>21</v>
      </c>
      <c r="C23" s="364">
        <v>0</v>
      </c>
      <c r="D23" s="365">
        <v>0</v>
      </c>
      <c r="E23" s="326">
        <v>0</v>
      </c>
      <c r="F23" s="327"/>
      <c r="G23" s="338">
        <f t="shared" ref="G23:H23" si="25">K23-C23</f>
        <v>5000</v>
      </c>
      <c r="H23" s="338">
        <f t="shared" si="25"/>
        <v>0</v>
      </c>
      <c r="I23" s="337">
        <f t="shared" ref="I23:I26" si="26">H23/G23</f>
        <v>0</v>
      </c>
      <c r="J23" s="327"/>
      <c r="K23" s="367">
        <v>5000</v>
      </c>
      <c r="L23" s="367">
        <v>0</v>
      </c>
      <c r="M23" s="368">
        <f t="shared" ref="M23:M26" si="27">L23/K23</f>
        <v>0</v>
      </c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</row>
    <row r="24" spans="1:24" ht="15.75" customHeight="1">
      <c r="A24" s="949"/>
      <c r="B24" s="334" t="s">
        <v>28</v>
      </c>
      <c r="C24" s="372">
        <v>0</v>
      </c>
      <c r="D24" s="373">
        <v>0</v>
      </c>
      <c r="E24" s="337">
        <v>0</v>
      </c>
      <c r="F24" s="327"/>
      <c r="G24" s="338">
        <f t="shared" ref="G24:H24" si="28">K24-C24</f>
        <v>30000</v>
      </c>
      <c r="H24" s="338">
        <f t="shared" si="28"/>
        <v>737</v>
      </c>
      <c r="I24" s="337">
        <f t="shared" si="26"/>
        <v>2.4566666666666667E-2</v>
      </c>
      <c r="J24" s="327"/>
      <c r="K24" s="375">
        <v>30000</v>
      </c>
      <c r="L24" s="587">
        <v>737</v>
      </c>
      <c r="M24" s="376">
        <f t="shared" si="27"/>
        <v>2.4566666666666667E-2</v>
      </c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</row>
    <row r="25" spans="1:24" ht="15.75" customHeight="1">
      <c r="A25" s="949"/>
      <c r="B25" s="334" t="s">
        <v>31</v>
      </c>
      <c r="C25" s="372">
        <v>0</v>
      </c>
      <c r="D25" s="373">
        <v>0</v>
      </c>
      <c r="E25" s="337">
        <v>0</v>
      </c>
      <c r="F25" s="327"/>
      <c r="G25" s="338">
        <f t="shared" ref="G25:H25" si="29">K25-C25</f>
        <v>104</v>
      </c>
      <c r="H25" s="338">
        <f t="shared" si="29"/>
        <v>1805</v>
      </c>
      <c r="I25" s="337">
        <f t="shared" si="26"/>
        <v>17.35576923076923</v>
      </c>
      <c r="J25" s="327"/>
      <c r="K25" s="375">
        <v>104</v>
      </c>
      <c r="L25" s="587">
        <v>1805</v>
      </c>
      <c r="M25" s="376">
        <f t="shared" si="27"/>
        <v>17.35576923076923</v>
      </c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</row>
    <row r="26" spans="1:24" ht="15.75" customHeight="1">
      <c r="A26" s="950"/>
      <c r="B26" s="357" t="s">
        <v>25</v>
      </c>
      <c r="C26" s="369">
        <f t="shared" ref="C26:D26" si="30">SUM(C23:C25)</f>
        <v>0</v>
      </c>
      <c r="D26" s="358">
        <f t="shared" si="30"/>
        <v>0</v>
      </c>
      <c r="E26" s="359">
        <v>0</v>
      </c>
      <c r="F26" s="343"/>
      <c r="G26" s="370">
        <f t="shared" ref="G26:H26" si="31">SUM(G23:G25)</f>
        <v>35104</v>
      </c>
      <c r="H26" s="369">
        <f t="shared" si="31"/>
        <v>2542</v>
      </c>
      <c r="I26" s="380">
        <f t="shared" si="26"/>
        <v>7.2413400182315402E-2</v>
      </c>
      <c r="J26" s="327"/>
      <c r="K26" s="362">
        <f t="shared" ref="K26:L26" si="32">SUM(K23:K25)</f>
        <v>35104</v>
      </c>
      <c r="L26" s="362">
        <f t="shared" si="32"/>
        <v>2542</v>
      </c>
      <c r="M26" s="363">
        <f t="shared" si="27"/>
        <v>7.2413400182315402E-2</v>
      </c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</row>
    <row r="27" spans="1:24" ht="7.5" customHeight="1">
      <c r="A27" s="985"/>
      <c r="B27" s="928"/>
      <c r="C27" s="928"/>
      <c r="D27" s="928"/>
      <c r="E27" s="928"/>
      <c r="F27" s="312"/>
      <c r="G27" s="986"/>
      <c r="H27" s="928"/>
      <c r="I27" s="928"/>
      <c r="J27" s="312"/>
      <c r="K27" s="491"/>
      <c r="L27" s="348"/>
      <c r="M27" s="349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</row>
    <row r="28" spans="1:24" ht="15.75" customHeight="1">
      <c r="A28" s="987" t="s">
        <v>159</v>
      </c>
      <c r="B28" s="323" t="s">
        <v>21</v>
      </c>
      <c r="C28" s="364">
        <v>0</v>
      </c>
      <c r="D28" s="365">
        <v>0</v>
      </c>
      <c r="E28" s="381">
        <v>0</v>
      </c>
      <c r="F28" s="382"/>
      <c r="G28" s="338">
        <f t="shared" ref="G28:H28" si="33">K28-C28</f>
        <v>17001</v>
      </c>
      <c r="H28" s="338">
        <f t="shared" si="33"/>
        <v>42458</v>
      </c>
      <c r="I28" s="337">
        <f>H28/G28</f>
        <v>2.4973825069113582</v>
      </c>
      <c r="J28" s="327"/>
      <c r="K28" s="367">
        <v>17001</v>
      </c>
      <c r="L28" s="584">
        <v>42458</v>
      </c>
      <c r="M28" s="368">
        <f>L28/K28</f>
        <v>2.4973825069113582</v>
      </c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</row>
    <row r="29" spans="1:24" ht="15.75" customHeight="1">
      <c r="A29" s="949"/>
      <c r="B29" s="334" t="s">
        <v>28</v>
      </c>
      <c r="C29" s="372">
        <v>0</v>
      </c>
      <c r="D29" s="373">
        <v>0</v>
      </c>
      <c r="E29" s="383">
        <v>0</v>
      </c>
      <c r="F29" s="382"/>
      <c r="G29" s="338">
        <f t="shared" ref="G29:H29" si="34">K29-C29</f>
        <v>0</v>
      </c>
      <c r="H29" s="338">
        <f t="shared" si="34"/>
        <v>544</v>
      </c>
      <c r="I29" s="586">
        <v>0</v>
      </c>
      <c r="J29" s="327"/>
      <c r="K29" s="375">
        <v>0</v>
      </c>
      <c r="L29" s="587">
        <v>544</v>
      </c>
      <c r="M29" s="376">
        <v>0</v>
      </c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</row>
    <row r="30" spans="1:24" ht="15.75" customHeight="1">
      <c r="A30" s="949"/>
      <c r="B30" s="334" t="s">
        <v>31</v>
      </c>
      <c r="C30" s="372">
        <v>0</v>
      </c>
      <c r="D30" s="373">
        <v>0</v>
      </c>
      <c r="E30" s="383">
        <v>0</v>
      </c>
      <c r="F30" s="382"/>
      <c r="G30" s="338">
        <f t="shared" ref="G30:H30" si="35">K30-C30</f>
        <v>75646</v>
      </c>
      <c r="H30" s="338">
        <f t="shared" si="35"/>
        <v>0</v>
      </c>
      <c r="I30" s="337">
        <f t="shared" ref="I30:I32" si="36">H30/G30</f>
        <v>0</v>
      </c>
      <c r="J30" s="327"/>
      <c r="K30" s="375">
        <v>75646</v>
      </c>
      <c r="L30" s="375">
        <v>0</v>
      </c>
      <c r="M30" s="376">
        <f t="shared" ref="M30:M32" si="37">L30/K30</f>
        <v>0</v>
      </c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</row>
    <row r="31" spans="1:24" ht="15.75" customHeight="1">
      <c r="A31" s="949"/>
      <c r="B31" s="377" t="s">
        <v>32</v>
      </c>
      <c r="C31" s="378">
        <v>0</v>
      </c>
      <c r="D31" s="373">
        <v>0</v>
      </c>
      <c r="E31" s="383">
        <v>0</v>
      </c>
      <c r="F31" s="382"/>
      <c r="G31" s="338">
        <f t="shared" ref="G31:H31" si="38">K31-C31</f>
        <v>87373</v>
      </c>
      <c r="H31" s="338">
        <f t="shared" si="38"/>
        <v>50429</v>
      </c>
      <c r="I31" s="337">
        <f t="shared" si="36"/>
        <v>0.57716914836391109</v>
      </c>
      <c r="J31" s="327"/>
      <c r="K31" s="496">
        <v>87373</v>
      </c>
      <c r="L31" s="587">
        <v>50429</v>
      </c>
      <c r="M31" s="376">
        <f t="shared" si="37"/>
        <v>0.57716914836391109</v>
      </c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</row>
    <row r="32" spans="1:24" ht="15.75" customHeight="1">
      <c r="A32" s="950"/>
      <c r="B32" s="357" t="s">
        <v>25</v>
      </c>
      <c r="C32" s="369">
        <f t="shared" ref="C32:D32" si="39">SUM(C28:C31)</f>
        <v>0</v>
      </c>
      <c r="D32" s="358">
        <f t="shared" si="39"/>
        <v>0</v>
      </c>
      <c r="E32" s="384">
        <v>0</v>
      </c>
      <c r="F32" s="385"/>
      <c r="G32" s="370">
        <f t="shared" ref="G32:H32" si="40">SUM(G28:G31)</f>
        <v>180020</v>
      </c>
      <c r="H32" s="369">
        <f t="shared" si="40"/>
        <v>93431</v>
      </c>
      <c r="I32" s="380">
        <f t="shared" si="36"/>
        <v>0.5190034440617709</v>
      </c>
      <c r="J32" s="327"/>
      <c r="K32" s="362">
        <f t="shared" ref="K32:L32" si="41">SUM(K28:K31)</f>
        <v>180020</v>
      </c>
      <c r="L32" s="362">
        <f t="shared" si="41"/>
        <v>93431</v>
      </c>
      <c r="M32" s="363">
        <f t="shared" si="37"/>
        <v>0.5190034440617709</v>
      </c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</row>
    <row r="33" spans="1:24" ht="7.5" customHeight="1">
      <c r="A33" s="985"/>
      <c r="B33" s="928"/>
      <c r="C33" s="928"/>
      <c r="D33" s="928"/>
      <c r="E33" s="928"/>
      <c r="F33" s="312"/>
      <c r="G33" s="986"/>
      <c r="H33" s="928"/>
      <c r="I33" s="928"/>
      <c r="J33" s="312"/>
      <c r="K33" s="491"/>
      <c r="L33" s="348"/>
      <c r="M33" s="349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</row>
    <row r="34" spans="1:24" ht="18.75" customHeight="1">
      <c r="A34" s="987" t="s">
        <v>160</v>
      </c>
      <c r="B34" s="323" t="s">
        <v>21</v>
      </c>
      <c r="C34" s="364">
        <v>0</v>
      </c>
      <c r="D34" s="365">
        <v>0</v>
      </c>
      <c r="E34" s="326">
        <v>0</v>
      </c>
      <c r="F34" s="327"/>
      <c r="G34" s="338">
        <f t="shared" ref="G34:H34" si="42">K34-C34</f>
        <v>6167100</v>
      </c>
      <c r="H34" s="338">
        <f t="shared" si="42"/>
        <v>6053188</v>
      </c>
      <c r="I34" s="337">
        <f t="shared" ref="I34:I35" si="43">H34/G34</f>
        <v>0.98152908174020204</v>
      </c>
      <c r="J34" s="327"/>
      <c r="K34" s="367">
        <v>6167100</v>
      </c>
      <c r="L34" s="584">
        <v>6053188</v>
      </c>
      <c r="M34" s="368">
        <f t="shared" ref="M34:M35" si="44">L34/K34</f>
        <v>0.98152908174020204</v>
      </c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</row>
    <row r="35" spans="1:24" ht="22.5" customHeight="1">
      <c r="A35" s="950"/>
      <c r="B35" s="357" t="s">
        <v>25</v>
      </c>
      <c r="C35" s="369">
        <f t="shared" ref="C35:D35" si="45">SUM(C34)</f>
        <v>0</v>
      </c>
      <c r="D35" s="358">
        <f t="shared" si="45"/>
        <v>0</v>
      </c>
      <c r="E35" s="359">
        <v>0</v>
      </c>
      <c r="F35" s="343"/>
      <c r="G35" s="370">
        <f t="shared" ref="G35:H35" si="46">SUM(G34)</f>
        <v>6167100</v>
      </c>
      <c r="H35" s="369">
        <f t="shared" si="46"/>
        <v>6053188</v>
      </c>
      <c r="I35" s="380">
        <f t="shared" si="43"/>
        <v>0.98152908174020204</v>
      </c>
      <c r="J35" s="327"/>
      <c r="K35" s="362">
        <f t="shared" ref="K35:L35" si="47">SUM(K34)</f>
        <v>6167100</v>
      </c>
      <c r="L35" s="362">
        <f t="shared" si="47"/>
        <v>6053188</v>
      </c>
      <c r="M35" s="363">
        <f t="shared" si="44"/>
        <v>0.98152908174020204</v>
      </c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</row>
    <row r="36" spans="1:24" ht="6" customHeight="1">
      <c r="A36" s="985"/>
      <c r="B36" s="928"/>
      <c r="C36" s="928"/>
      <c r="D36" s="928"/>
      <c r="E36" s="928"/>
      <c r="F36" s="312"/>
      <c r="G36" s="986"/>
      <c r="H36" s="928"/>
      <c r="I36" s="928"/>
      <c r="J36" s="312"/>
      <c r="K36" s="491"/>
      <c r="L36" s="348"/>
      <c r="M36" s="349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</row>
    <row r="37" spans="1:24" ht="15.75" customHeight="1">
      <c r="A37" s="987" t="s">
        <v>161</v>
      </c>
      <c r="B37" s="386" t="s">
        <v>40</v>
      </c>
      <c r="C37" s="386">
        <v>10000</v>
      </c>
      <c r="D37" s="387">
        <v>0</v>
      </c>
      <c r="E37" s="326">
        <f>D37/C37</f>
        <v>0</v>
      </c>
      <c r="F37" s="327"/>
      <c r="G37" s="338">
        <f t="shared" ref="G37:H37" si="48">K37-C37</f>
        <v>234105</v>
      </c>
      <c r="H37" s="338">
        <f t="shared" si="48"/>
        <v>14463</v>
      </c>
      <c r="I37" s="337">
        <f>H37/G37</f>
        <v>6.1779970526046002E-2</v>
      </c>
      <c r="J37" s="327"/>
      <c r="K37" s="498">
        <v>244105</v>
      </c>
      <c r="L37" s="588">
        <v>14463</v>
      </c>
      <c r="M37" s="368">
        <f>L37/K37</f>
        <v>5.924909362774216E-2</v>
      </c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</row>
    <row r="38" spans="1:24" ht="15.75" customHeight="1">
      <c r="A38" s="949"/>
      <c r="B38" s="377" t="s">
        <v>32</v>
      </c>
      <c r="C38" s="377">
        <v>0</v>
      </c>
      <c r="D38" s="373">
        <v>0</v>
      </c>
      <c r="E38" s="337">
        <v>0</v>
      </c>
      <c r="F38" s="327"/>
      <c r="G38" s="338">
        <f t="shared" ref="G38:H38" si="49">K38-C38</f>
        <v>0</v>
      </c>
      <c r="H38" s="338">
        <f t="shared" si="49"/>
        <v>1424</v>
      </c>
      <c r="I38" s="337">
        <v>0</v>
      </c>
      <c r="J38" s="327"/>
      <c r="K38" s="499">
        <v>0</v>
      </c>
      <c r="L38" s="587">
        <v>1424</v>
      </c>
      <c r="M38" s="376">
        <v>0</v>
      </c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</row>
    <row r="39" spans="1:24" ht="15.75" customHeight="1">
      <c r="A39" s="950"/>
      <c r="B39" s="357" t="s">
        <v>25</v>
      </c>
      <c r="C39" s="357">
        <f>SUM(C37:C38)</f>
        <v>10000</v>
      </c>
      <c r="D39" s="358">
        <f>SUM(D38)</f>
        <v>0</v>
      </c>
      <c r="E39" s="359">
        <v>0</v>
      </c>
      <c r="F39" s="343"/>
      <c r="G39" s="360">
        <f t="shared" ref="G39:H39" si="50">SUM(G37:G38)</f>
        <v>234105</v>
      </c>
      <c r="H39" s="357">
        <f t="shared" si="50"/>
        <v>15887</v>
      </c>
      <c r="I39" s="380">
        <f>H39/G39</f>
        <v>6.7862711176608789E-2</v>
      </c>
      <c r="J39" s="327"/>
      <c r="K39" s="346">
        <f t="shared" ref="K39:L39" si="51">SUM(K37:K38)</f>
        <v>244105</v>
      </c>
      <c r="L39" s="362">
        <f t="shared" si="51"/>
        <v>15887</v>
      </c>
      <c r="M39" s="363">
        <f>L39/K39</f>
        <v>6.5082648860121675E-2</v>
      </c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</row>
    <row r="40" spans="1:24" ht="6" customHeight="1">
      <c r="A40" s="985"/>
      <c r="B40" s="928"/>
      <c r="C40" s="928"/>
      <c r="D40" s="928"/>
      <c r="E40" s="928"/>
      <c r="F40" s="312"/>
      <c r="G40" s="986"/>
      <c r="H40" s="928"/>
      <c r="I40" s="928"/>
      <c r="J40" s="312"/>
      <c r="K40" s="491"/>
      <c r="L40" s="348"/>
      <c r="M40" s="349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</row>
    <row r="41" spans="1:24" ht="14.25" customHeight="1">
      <c r="A41" s="987" t="s">
        <v>162</v>
      </c>
      <c r="B41" s="323" t="s">
        <v>40</v>
      </c>
      <c r="C41" s="364">
        <v>1232779</v>
      </c>
      <c r="D41" s="583">
        <v>371023</v>
      </c>
      <c r="E41" s="326">
        <f t="shared" ref="E41:E43" si="52">D41/C41</f>
        <v>0.30096473090472825</v>
      </c>
      <c r="F41" s="327"/>
      <c r="G41" s="338">
        <f t="shared" ref="G41:H41" si="53">K41-C41</f>
        <v>3380525</v>
      </c>
      <c r="H41" s="338">
        <f t="shared" si="53"/>
        <v>151331</v>
      </c>
      <c r="I41" s="337">
        <f t="shared" ref="I41:I43" si="54">H41/G41</f>
        <v>4.4765531980979288E-2</v>
      </c>
      <c r="J41" s="327"/>
      <c r="K41" s="367">
        <v>4613304</v>
      </c>
      <c r="L41" s="584">
        <v>522354</v>
      </c>
      <c r="M41" s="368">
        <f t="shared" ref="M41:M43" si="55">L41/K41</f>
        <v>0.11322774306657442</v>
      </c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</row>
    <row r="42" spans="1:24" ht="15.75" customHeight="1">
      <c r="A42" s="949"/>
      <c r="B42" s="377" t="s">
        <v>32</v>
      </c>
      <c r="C42" s="378">
        <v>135532</v>
      </c>
      <c r="D42" s="585">
        <v>28745</v>
      </c>
      <c r="E42" s="337">
        <f t="shared" si="52"/>
        <v>0.21209013369536345</v>
      </c>
      <c r="F42" s="327"/>
      <c r="G42" s="338">
        <f t="shared" ref="G42:H42" si="56">K42-C42</f>
        <v>501203</v>
      </c>
      <c r="H42" s="338">
        <f t="shared" si="56"/>
        <v>517602</v>
      </c>
      <c r="I42" s="337">
        <f t="shared" si="54"/>
        <v>1.032719277418531</v>
      </c>
      <c r="J42" s="327"/>
      <c r="K42" s="496">
        <v>636735</v>
      </c>
      <c r="L42" s="587">
        <f>546347</f>
        <v>546347</v>
      </c>
      <c r="M42" s="376">
        <f t="shared" si="55"/>
        <v>0.85804455542729707</v>
      </c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</row>
    <row r="43" spans="1:24" ht="15.75" customHeight="1">
      <c r="A43" s="950"/>
      <c r="B43" s="357" t="s">
        <v>25</v>
      </c>
      <c r="C43" s="369">
        <f t="shared" ref="C43:D43" si="57">SUM(C41:C42)</f>
        <v>1368311</v>
      </c>
      <c r="D43" s="369">
        <f t="shared" si="57"/>
        <v>399768</v>
      </c>
      <c r="E43" s="359">
        <f t="shared" si="52"/>
        <v>0.29216165038503672</v>
      </c>
      <c r="F43" s="343"/>
      <c r="G43" s="370">
        <f t="shared" ref="G43:H43" si="58">SUM(G41:G42)</f>
        <v>3881728</v>
      </c>
      <c r="H43" s="369">
        <f t="shared" si="58"/>
        <v>668933</v>
      </c>
      <c r="I43" s="380">
        <f t="shared" si="54"/>
        <v>0.1723286639352371</v>
      </c>
      <c r="J43" s="327"/>
      <c r="K43" s="362">
        <f t="shared" ref="K43:L43" si="59">SUM(K41:K42)</f>
        <v>5250039</v>
      </c>
      <c r="L43" s="362">
        <f t="shared" si="59"/>
        <v>1068701</v>
      </c>
      <c r="M43" s="363">
        <f t="shared" si="55"/>
        <v>0.20356058307376385</v>
      </c>
      <c r="N43" s="305"/>
      <c r="O43" s="305"/>
      <c r="P43" s="305"/>
      <c r="Q43" s="305"/>
      <c r="R43" s="305"/>
      <c r="S43" s="305"/>
      <c r="T43" s="305"/>
      <c r="U43" s="305"/>
      <c r="V43" s="305"/>
      <c r="W43" s="305"/>
      <c r="X43" s="305"/>
    </row>
    <row r="44" spans="1:24" ht="6.75" customHeight="1">
      <c r="A44" s="985"/>
      <c r="B44" s="928"/>
      <c r="C44" s="928"/>
      <c r="D44" s="928"/>
      <c r="E44" s="928"/>
      <c r="F44" s="312"/>
      <c r="G44" s="986"/>
      <c r="H44" s="928"/>
      <c r="I44" s="928"/>
      <c r="J44" s="312"/>
      <c r="K44" s="491"/>
      <c r="L44" s="348"/>
      <c r="M44" s="349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</row>
    <row r="45" spans="1:24" ht="15.75" customHeight="1">
      <c r="A45" s="987" t="s">
        <v>163</v>
      </c>
      <c r="B45" s="391" t="s">
        <v>32</v>
      </c>
      <c r="C45" s="392">
        <v>0</v>
      </c>
      <c r="D45" s="365">
        <v>0</v>
      </c>
      <c r="E45" s="326">
        <v>0</v>
      </c>
      <c r="F45" s="327"/>
      <c r="G45" s="338">
        <f t="shared" ref="G45:H45" si="60">K45-C45</f>
        <v>6000000</v>
      </c>
      <c r="H45" s="338">
        <f t="shared" si="60"/>
        <v>4980410</v>
      </c>
      <c r="I45" s="337">
        <f t="shared" ref="I45:I46" si="61">H45/G45</f>
        <v>0.8300683333333333</v>
      </c>
      <c r="J45" s="327"/>
      <c r="K45" s="500">
        <v>6000000</v>
      </c>
      <c r="L45" s="584">
        <f>30+4980380</f>
        <v>4980410</v>
      </c>
      <c r="M45" s="368">
        <f t="shared" ref="M45:M46" si="62">L45/K45</f>
        <v>0.8300683333333333</v>
      </c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</row>
    <row r="46" spans="1:24" ht="15.75" customHeight="1">
      <c r="A46" s="950"/>
      <c r="B46" s="357" t="s">
        <v>25</v>
      </c>
      <c r="C46" s="369">
        <f t="shared" ref="C46:D46" si="63">SUM(C45)</f>
        <v>0</v>
      </c>
      <c r="D46" s="358">
        <f t="shared" si="63"/>
        <v>0</v>
      </c>
      <c r="E46" s="359">
        <v>0</v>
      </c>
      <c r="F46" s="343"/>
      <c r="G46" s="370">
        <f t="shared" ref="G46:H46" si="64">SUM(G45)</f>
        <v>6000000</v>
      </c>
      <c r="H46" s="369">
        <f t="shared" si="64"/>
        <v>4980410</v>
      </c>
      <c r="I46" s="380">
        <f t="shared" si="61"/>
        <v>0.8300683333333333</v>
      </c>
      <c r="J46" s="327"/>
      <c r="K46" s="362">
        <f t="shared" ref="K46:L46" si="65">SUM(K45)</f>
        <v>6000000</v>
      </c>
      <c r="L46" s="362">
        <f t="shared" si="65"/>
        <v>4980410</v>
      </c>
      <c r="M46" s="363">
        <f t="shared" si="62"/>
        <v>0.8300683333333333</v>
      </c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</row>
    <row r="47" spans="1:24" ht="6.75" customHeight="1">
      <c r="A47" s="985"/>
      <c r="B47" s="928"/>
      <c r="C47" s="928"/>
      <c r="D47" s="928"/>
      <c r="E47" s="928"/>
      <c r="F47" s="312"/>
      <c r="G47" s="986"/>
      <c r="H47" s="928"/>
      <c r="I47" s="928"/>
      <c r="J47" s="312"/>
      <c r="K47" s="491"/>
      <c r="L47" s="348"/>
      <c r="M47" s="349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</row>
    <row r="48" spans="1:24" ht="15.75" customHeight="1">
      <c r="A48" s="987" t="s">
        <v>164</v>
      </c>
      <c r="B48" s="323" t="s">
        <v>21</v>
      </c>
      <c r="C48" s="364">
        <v>0</v>
      </c>
      <c r="D48" s="365">
        <v>0</v>
      </c>
      <c r="E48" s="326">
        <v>0</v>
      </c>
      <c r="F48" s="327"/>
      <c r="G48" s="338">
        <f t="shared" ref="G48:H48" si="66">K48-C48</f>
        <v>4500</v>
      </c>
      <c r="H48" s="338">
        <f t="shared" si="66"/>
        <v>0</v>
      </c>
      <c r="I48" s="337">
        <f>H48/G48</f>
        <v>0</v>
      </c>
      <c r="J48" s="327"/>
      <c r="K48" s="367">
        <v>4500</v>
      </c>
      <c r="L48" s="367">
        <v>0</v>
      </c>
      <c r="M48" s="368">
        <f>L48/K48</f>
        <v>0</v>
      </c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</row>
    <row r="49" spans="1:24" ht="15.75" customHeight="1">
      <c r="A49" s="949"/>
      <c r="B49" s="334" t="s">
        <v>28</v>
      </c>
      <c r="C49" s="372">
        <v>0</v>
      </c>
      <c r="D49" s="373">
        <v>0</v>
      </c>
      <c r="E49" s="337">
        <v>0</v>
      </c>
      <c r="F49" s="327"/>
      <c r="G49" s="338">
        <f t="shared" ref="G49:H49" si="67">K49-C49</f>
        <v>0</v>
      </c>
      <c r="H49" s="338">
        <f t="shared" si="67"/>
        <v>5052</v>
      </c>
      <c r="I49" s="337">
        <v>0</v>
      </c>
      <c r="J49" s="327"/>
      <c r="K49" s="375">
        <v>0</v>
      </c>
      <c r="L49" s="375">
        <f>4957+95</f>
        <v>5052</v>
      </c>
      <c r="M49" s="376">
        <v>0</v>
      </c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</row>
    <row r="50" spans="1:24" ht="15.75" customHeight="1">
      <c r="A50" s="949"/>
      <c r="B50" s="377" t="s">
        <v>32</v>
      </c>
      <c r="C50" s="378">
        <v>2</v>
      </c>
      <c r="D50" s="373">
        <v>0</v>
      </c>
      <c r="E50" s="337">
        <f t="shared" ref="E50:E51" si="68">D50/C50</f>
        <v>0</v>
      </c>
      <c r="F50" s="327"/>
      <c r="G50" s="338">
        <f t="shared" ref="G50:H50" si="69">K50-C50</f>
        <v>145498</v>
      </c>
      <c r="H50" s="338">
        <f t="shared" si="69"/>
        <v>75267</v>
      </c>
      <c r="I50" s="337">
        <f t="shared" ref="I50:I51" si="70">H50/G50</f>
        <v>0.51730607980865717</v>
      </c>
      <c r="J50" s="327"/>
      <c r="K50" s="496">
        <v>145500</v>
      </c>
      <c r="L50" s="587">
        <v>75267</v>
      </c>
      <c r="M50" s="376">
        <f t="shared" ref="M50:M51" si="71">L50/K50</f>
        <v>0.51729896907216499</v>
      </c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</row>
    <row r="51" spans="1:24" ht="15.75" customHeight="1">
      <c r="A51" s="950"/>
      <c r="B51" s="357" t="s">
        <v>25</v>
      </c>
      <c r="C51" s="369">
        <f t="shared" ref="C51:D51" si="72">SUM(C48:C50)</f>
        <v>2</v>
      </c>
      <c r="D51" s="358">
        <f t="shared" si="72"/>
        <v>0</v>
      </c>
      <c r="E51" s="359">
        <f t="shared" si="68"/>
        <v>0</v>
      </c>
      <c r="F51" s="343"/>
      <c r="G51" s="370">
        <f t="shared" ref="G51:H51" si="73">SUM(G48:G50)</f>
        <v>149998</v>
      </c>
      <c r="H51" s="369">
        <f t="shared" si="73"/>
        <v>80319</v>
      </c>
      <c r="I51" s="380">
        <f t="shared" si="70"/>
        <v>0.53546713956186087</v>
      </c>
      <c r="J51" s="327"/>
      <c r="K51" s="362">
        <f t="shared" ref="K51:L51" si="74">SUM(K48:K50)</f>
        <v>150000</v>
      </c>
      <c r="L51" s="362">
        <f t="shared" si="74"/>
        <v>80319</v>
      </c>
      <c r="M51" s="363">
        <f t="shared" si="71"/>
        <v>0.53546000000000005</v>
      </c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</row>
    <row r="52" spans="1:24" ht="6.75" customHeight="1">
      <c r="A52" s="985"/>
      <c r="B52" s="928"/>
      <c r="C52" s="928"/>
      <c r="D52" s="928"/>
      <c r="E52" s="928"/>
      <c r="F52" s="312"/>
      <c r="G52" s="986"/>
      <c r="H52" s="928"/>
      <c r="I52" s="928"/>
      <c r="J52" s="312"/>
      <c r="K52" s="491"/>
      <c r="L52" s="348"/>
      <c r="M52" s="349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</row>
    <row r="53" spans="1:24" ht="15.75" customHeight="1">
      <c r="A53" s="987" t="s">
        <v>165</v>
      </c>
      <c r="B53" s="323" t="s">
        <v>21</v>
      </c>
      <c r="C53" s="364">
        <f>330003</f>
        <v>330003</v>
      </c>
      <c r="D53" s="589">
        <f>115772</f>
        <v>115772</v>
      </c>
      <c r="E53" s="329">
        <f t="shared" ref="E53:E55" si="75">D53/C53</f>
        <v>0.35082105314194112</v>
      </c>
      <c r="F53" s="327"/>
      <c r="G53" s="338">
        <f t="shared" ref="G53:H53" si="76">K53-C53</f>
        <v>189981</v>
      </c>
      <c r="H53" s="338">
        <f t="shared" si="76"/>
        <v>25380</v>
      </c>
      <c r="I53" s="337">
        <f t="shared" ref="I53:I55" si="77">H53/G53</f>
        <v>0.13359230659908097</v>
      </c>
      <c r="J53" s="327"/>
      <c r="K53" s="367">
        <v>519984</v>
      </c>
      <c r="L53" s="584">
        <v>141152</v>
      </c>
      <c r="M53" s="368">
        <f t="shared" ref="M53:M55" si="78">L53/K53</f>
        <v>0.27145450629250129</v>
      </c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</row>
    <row r="54" spans="1:24" ht="15.75" customHeight="1">
      <c r="A54" s="949"/>
      <c r="B54" s="377" t="s">
        <v>32</v>
      </c>
      <c r="C54" s="378">
        <f>1004+1035010</f>
        <v>1036014</v>
      </c>
      <c r="D54" s="590">
        <f>16168+652939</f>
        <v>669107</v>
      </c>
      <c r="E54" s="329">
        <f t="shared" si="75"/>
        <v>0.64584744993793519</v>
      </c>
      <c r="F54" s="327"/>
      <c r="G54" s="338">
        <f t="shared" ref="G54:H54" si="79">K54-C54</f>
        <v>1497425</v>
      </c>
      <c r="H54" s="338">
        <f t="shared" si="79"/>
        <v>530682</v>
      </c>
      <c r="I54" s="337">
        <f t="shared" si="77"/>
        <v>0.35439638045311117</v>
      </c>
      <c r="J54" s="327"/>
      <c r="K54" s="496">
        <f>2533439</f>
        <v>2533439</v>
      </c>
      <c r="L54" s="587">
        <f>1199786+3</f>
        <v>1199789</v>
      </c>
      <c r="M54" s="376">
        <f t="shared" si="78"/>
        <v>0.47358116773287218</v>
      </c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</row>
    <row r="55" spans="1:24" ht="15.75" customHeight="1">
      <c r="A55" s="950"/>
      <c r="B55" s="357" t="s">
        <v>25</v>
      </c>
      <c r="C55" s="369">
        <f t="shared" ref="C55:D55" si="80">SUM(C53:C54)</f>
        <v>1366017</v>
      </c>
      <c r="D55" s="357">
        <f t="shared" si="80"/>
        <v>784879</v>
      </c>
      <c r="E55" s="397">
        <f t="shared" si="75"/>
        <v>0.57457484057665464</v>
      </c>
      <c r="F55" s="343"/>
      <c r="G55" s="370">
        <f t="shared" ref="G55:H55" si="81">SUM(G53:G54)</f>
        <v>1687406</v>
      </c>
      <c r="H55" s="369">
        <f t="shared" si="81"/>
        <v>556062</v>
      </c>
      <c r="I55" s="380">
        <f t="shared" si="77"/>
        <v>0.32953657863015778</v>
      </c>
      <c r="J55" s="327"/>
      <c r="K55" s="362">
        <f t="shared" ref="K55:L55" si="82">SUM(K53:K54)</f>
        <v>3053423</v>
      </c>
      <c r="L55" s="362">
        <f t="shared" si="82"/>
        <v>1340941</v>
      </c>
      <c r="M55" s="363">
        <f t="shared" si="78"/>
        <v>0.43915991986698205</v>
      </c>
      <c r="N55" s="305"/>
      <c r="O55" s="305"/>
      <c r="P55" s="305"/>
      <c r="Q55" s="305"/>
      <c r="R55" s="305"/>
      <c r="S55" s="305"/>
      <c r="T55" s="305"/>
      <c r="U55" s="305"/>
      <c r="V55" s="305"/>
      <c r="W55" s="305"/>
      <c r="X55" s="305"/>
    </row>
    <row r="56" spans="1:24" ht="6.75" customHeight="1">
      <c r="A56" s="985"/>
      <c r="B56" s="928"/>
      <c r="C56" s="928"/>
      <c r="D56" s="928"/>
      <c r="E56" s="928"/>
      <c r="F56" s="312"/>
      <c r="G56" s="986"/>
      <c r="H56" s="928"/>
      <c r="I56" s="928"/>
      <c r="J56" s="312"/>
      <c r="K56" s="491"/>
      <c r="L56" s="348"/>
      <c r="M56" s="349"/>
      <c r="N56" s="305"/>
      <c r="O56" s="305"/>
      <c r="P56" s="305"/>
      <c r="Q56" s="305"/>
      <c r="R56" s="305"/>
      <c r="S56" s="305"/>
      <c r="T56" s="305"/>
      <c r="U56" s="305"/>
      <c r="V56" s="305"/>
      <c r="W56" s="305"/>
      <c r="X56" s="305"/>
    </row>
    <row r="57" spans="1:24" ht="15.75" customHeight="1">
      <c r="A57" s="987" t="s">
        <v>166</v>
      </c>
      <c r="B57" s="323" t="s">
        <v>21</v>
      </c>
      <c r="C57" s="364">
        <v>350210</v>
      </c>
      <c r="D57" s="583">
        <v>93396</v>
      </c>
      <c r="E57" s="326">
        <f>D57/C57</f>
        <v>0.2666857028639959</v>
      </c>
      <c r="F57" s="327"/>
      <c r="G57" s="338">
        <f t="shared" ref="G57:H57" si="83">K57-C57</f>
        <v>18111</v>
      </c>
      <c r="H57" s="338">
        <f t="shared" si="83"/>
        <v>12276</v>
      </c>
      <c r="I57" s="337">
        <f t="shared" ref="I57:I61" si="84">H57/G57</f>
        <v>0.67782010932582404</v>
      </c>
      <c r="J57" s="327"/>
      <c r="K57" s="367">
        <v>368321</v>
      </c>
      <c r="L57" s="584">
        <v>105672</v>
      </c>
      <c r="M57" s="368">
        <f t="shared" ref="M57:M61" si="85">L57/K57</f>
        <v>0.28690191436274337</v>
      </c>
      <c r="N57" s="305"/>
      <c r="O57" s="305"/>
      <c r="P57" s="305"/>
      <c r="Q57" s="305"/>
      <c r="R57" s="305"/>
      <c r="S57" s="305"/>
      <c r="T57" s="305"/>
      <c r="U57" s="305"/>
      <c r="V57" s="305"/>
      <c r="W57" s="305"/>
      <c r="X57" s="305"/>
    </row>
    <row r="58" spans="1:24" ht="15.75" customHeight="1">
      <c r="A58" s="949"/>
      <c r="B58" s="334" t="s">
        <v>28</v>
      </c>
      <c r="C58" s="372">
        <v>0</v>
      </c>
      <c r="D58" s="373">
        <v>0</v>
      </c>
      <c r="E58" s="337">
        <v>0</v>
      </c>
      <c r="F58" s="327"/>
      <c r="G58" s="338">
        <f t="shared" ref="G58:H58" si="86">K58-C58</f>
        <v>33979</v>
      </c>
      <c r="H58" s="338">
        <f t="shared" si="86"/>
        <v>2761</v>
      </c>
      <c r="I58" s="337">
        <f t="shared" si="84"/>
        <v>8.125606992554224E-2</v>
      </c>
      <c r="J58" s="327"/>
      <c r="K58" s="375">
        <v>33979</v>
      </c>
      <c r="L58" s="587">
        <v>2761</v>
      </c>
      <c r="M58" s="376">
        <f t="shared" si="85"/>
        <v>8.125606992554224E-2</v>
      </c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</row>
    <row r="59" spans="1:24" ht="15.75" customHeight="1">
      <c r="A59" s="949"/>
      <c r="B59" s="334" t="s">
        <v>31</v>
      </c>
      <c r="C59" s="372">
        <v>84000</v>
      </c>
      <c r="D59" s="373">
        <v>72911</v>
      </c>
      <c r="E59" s="337">
        <f t="shared" ref="E59:E61" si="87">D59/C59</f>
        <v>0.86798809523809528</v>
      </c>
      <c r="F59" s="327"/>
      <c r="G59" s="338">
        <f t="shared" ref="G59:H59" si="88">K59-C59</f>
        <v>20631</v>
      </c>
      <c r="H59" s="338">
        <f t="shared" si="88"/>
        <v>9444</v>
      </c>
      <c r="I59" s="337">
        <f t="shared" si="84"/>
        <v>0.4577577432019776</v>
      </c>
      <c r="J59" s="327"/>
      <c r="K59" s="375">
        <v>104631</v>
      </c>
      <c r="L59" s="587">
        <v>82355</v>
      </c>
      <c r="M59" s="376">
        <f t="shared" si="85"/>
        <v>0.78709942560044344</v>
      </c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</row>
    <row r="60" spans="1:24" ht="15.75" customHeight="1">
      <c r="A60" s="949"/>
      <c r="B60" s="377" t="s">
        <v>32</v>
      </c>
      <c r="C60" s="378">
        <v>76700</v>
      </c>
      <c r="D60" s="585">
        <v>25452</v>
      </c>
      <c r="E60" s="337">
        <f t="shared" si="87"/>
        <v>0.33183833116036504</v>
      </c>
      <c r="F60" s="327"/>
      <c r="G60" s="338">
        <f t="shared" ref="G60:H60" si="89">K60-C60</f>
        <v>418722</v>
      </c>
      <c r="H60" s="338">
        <f t="shared" si="89"/>
        <v>138015</v>
      </c>
      <c r="I60" s="337">
        <f t="shared" si="84"/>
        <v>0.32961009930216228</v>
      </c>
      <c r="J60" s="327"/>
      <c r="K60" s="496">
        <v>495422</v>
      </c>
      <c r="L60" s="587">
        <v>163467</v>
      </c>
      <c r="M60" s="376">
        <f t="shared" si="85"/>
        <v>0.32995506860817647</v>
      </c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</row>
    <row r="61" spans="1:24" ht="15.75" customHeight="1">
      <c r="A61" s="950"/>
      <c r="B61" s="357" t="s">
        <v>25</v>
      </c>
      <c r="C61" s="369">
        <f t="shared" ref="C61:D61" si="90">SUM(C57:C60)</f>
        <v>510910</v>
      </c>
      <c r="D61" s="369">
        <f t="shared" si="90"/>
        <v>191759</v>
      </c>
      <c r="E61" s="359">
        <f t="shared" si="87"/>
        <v>0.37532833571470514</v>
      </c>
      <c r="F61" s="343"/>
      <c r="G61" s="370">
        <f t="shared" ref="G61:H61" si="91">SUM(G57:G60)</f>
        <v>491443</v>
      </c>
      <c r="H61" s="369">
        <f t="shared" si="91"/>
        <v>162496</v>
      </c>
      <c r="I61" s="380">
        <f t="shared" si="84"/>
        <v>0.33065075705626085</v>
      </c>
      <c r="J61" s="327"/>
      <c r="K61" s="362">
        <f t="shared" ref="K61:L61" si="92">SUM(K57:K60)</f>
        <v>1002353</v>
      </c>
      <c r="L61" s="362">
        <f t="shared" si="92"/>
        <v>354255</v>
      </c>
      <c r="M61" s="363">
        <f t="shared" si="85"/>
        <v>0.35342339475214818</v>
      </c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</row>
    <row r="62" spans="1:24" ht="7.5" customHeight="1">
      <c r="A62" s="985"/>
      <c r="B62" s="928"/>
      <c r="C62" s="928"/>
      <c r="D62" s="928"/>
      <c r="E62" s="928"/>
      <c r="F62" s="312"/>
      <c r="G62" s="986"/>
      <c r="H62" s="928"/>
      <c r="I62" s="928"/>
      <c r="J62" s="312"/>
      <c r="K62" s="491"/>
      <c r="L62" s="348"/>
      <c r="M62" s="349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</row>
    <row r="63" spans="1:24" ht="15.75" customHeight="1">
      <c r="A63" s="987" t="s">
        <v>167</v>
      </c>
      <c r="B63" s="323" t="s">
        <v>21</v>
      </c>
      <c r="C63" s="364">
        <v>0</v>
      </c>
      <c r="D63" s="365">
        <v>0</v>
      </c>
      <c r="E63" s="381">
        <v>0</v>
      </c>
      <c r="F63" s="382"/>
      <c r="G63" s="338">
        <f t="shared" ref="G63:H63" si="93">K63-C63</f>
        <v>83415</v>
      </c>
      <c r="H63" s="338">
        <f t="shared" si="93"/>
        <v>69411</v>
      </c>
      <c r="I63" s="337">
        <f t="shared" ref="I63:I67" si="94">H63/G63</f>
        <v>0.8321165258047114</v>
      </c>
      <c r="J63" s="327"/>
      <c r="K63" s="367">
        <v>83415</v>
      </c>
      <c r="L63" s="584">
        <v>69411</v>
      </c>
      <c r="M63" s="368">
        <f t="shared" ref="M63:M67" si="95">L63/K63</f>
        <v>0.8321165258047114</v>
      </c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</row>
    <row r="64" spans="1:24" ht="15.75" customHeight="1">
      <c r="A64" s="949"/>
      <c r="B64" s="334" t="s">
        <v>28</v>
      </c>
      <c r="C64" s="372">
        <v>0</v>
      </c>
      <c r="D64" s="373">
        <v>0</v>
      </c>
      <c r="E64" s="383">
        <v>0</v>
      </c>
      <c r="F64" s="382"/>
      <c r="G64" s="338">
        <f t="shared" ref="G64:H64" si="96">K64-C64</f>
        <v>19235</v>
      </c>
      <c r="H64" s="338">
        <f t="shared" si="96"/>
        <v>178199</v>
      </c>
      <c r="I64" s="337">
        <f t="shared" si="94"/>
        <v>9.2643098518325964</v>
      </c>
      <c r="J64" s="327"/>
      <c r="K64" s="375">
        <v>19235</v>
      </c>
      <c r="L64" s="587">
        <v>178199</v>
      </c>
      <c r="M64" s="376">
        <f t="shared" si="95"/>
        <v>9.2643098518325964</v>
      </c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</row>
    <row r="65" spans="1:24" ht="15.75" customHeight="1">
      <c r="A65" s="949"/>
      <c r="B65" s="334" t="s">
        <v>31</v>
      </c>
      <c r="C65" s="372">
        <v>0</v>
      </c>
      <c r="D65" s="373">
        <v>0</v>
      </c>
      <c r="E65" s="383">
        <v>0</v>
      </c>
      <c r="F65" s="382"/>
      <c r="G65" s="338">
        <f t="shared" ref="G65:H65" si="97">K65-C65</f>
        <v>40499</v>
      </c>
      <c r="H65" s="338">
        <f t="shared" si="97"/>
        <v>34010</v>
      </c>
      <c r="I65" s="337">
        <f t="shared" si="94"/>
        <v>0.83977382157584135</v>
      </c>
      <c r="J65" s="327"/>
      <c r="K65" s="375">
        <v>40499</v>
      </c>
      <c r="L65" s="587">
        <v>34010</v>
      </c>
      <c r="M65" s="376">
        <f t="shared" si="95"/>
        <v>0.83977382157584135</v>
      </c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</row>
    <row r="66" spans="1:24" ht="15.75" customHeight="1">
      <c r="A66" s="949"/>
      <c r="B66" s="377" t="s">
        <v>32</v>
      </c>
      <c r="C66" s="378">
        <v>0</v>
      </c>
      <c r="D66" s="373">
        <v>0</v>
      </c>
      <c r="E66" s="383">
        <v>0</v>
      </c>
      <c r="F66" s="382"/>
      <c r="G66" s="338">
        <f t="shared" ref="G66:H66" si="98">K66-C66</f>
        <v>184800</v>
      </c>
      <c r="H66" s="338">
        <f t="shared" si="98"/>
        <v>4556</v>
      </c>
      <c r="I66" s="337">
        <f t="shared" si="94"/>
        <v>2.4653679653679653E-2</v>
      </c>
      <c r="J66" s="327"/>
      <c r="K66" s="496">
        <v>184800</v>
      </c>
      <c r="L66" s="587">
        <v>4556</v>
      </c>
      <c r="M66" s="376">
        <f t="shared" si="95"/>
        <v>2.4653679653679653E-2</v>
      </c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</row>
    <row r="67" spans="1:24" ht="15.75" customHeight="1">
      <c r="A67" s="950"/>
      <c r="B67" s="357" t="s">
        <v>25</v>
      </c>
      <c r="C67" s="369">
        <f t="shared" ref="C67:D67" si="99">SUM(C63:C66)</f>
        <v>0</v>
      </c>
      <c r="D67" s="358">
        <f t="shared" si="99"/>
        <v>0</v>
      </c>
      <c r="E67" s="384">
        <v>0</v>
      </c>
      <c r="F67" s="385"/>
      <c r="G67" s="370">
        <f t="shared" ref="G67:H67" si="100">SUM(G63:G66)</f>
        <v>327949</v>
      </c>
      <c r="H67" s="369">
        <f t="shared" si="100"/>
        <v>286176</v>
      </c>
      <c r="I67" s="380">
        <f t="shared" si="94"/>
        <v>0.87262348718855676</v>
      </c>
      <c r="J67" s="327"/>
      <c r="K67" s="362">
        <f t="shared" ref="K67:L67" si="101">SUM(K63:K66)</f>
        <v>327949</v>
      </c>
      <c r="L67" s="362">
        <f t="shared" si="101"/>
        <v>286176</v>
      </c>
      <c r="M67" s="363">
        <f t="shared" si="95"/>
        <v>0.87262348718855676</v>
      </c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</row>
    <row r="68" spans="1:24" ht="7.5" customHeight="1">
      <c r="A68" s="985"/>
      <c r="B68" s="928"/>
      <c r="C68" s="928"/>
      <c r="D68" s="928"/>
      <c r="E68" s="928"/>
      <c r="F68" s="312"/>
      <c r="G68" s="986"/>
      <c r="H68" s="928"/>
      <c r="I68" s="928"/>
      <c r="J68" s="312"/>
      <c r="K68" s="491"/>
      <c r="L68" s="348"/>
      <c r="M68" s="349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</row>
    <row r="69" spans="1:24" ht="15.75" customHeight="1">
      <c r="A69" s="987" t="s">
        <v>168</v>
      </c>
      <c r="B69" s="591" t="s">
        <v>181</v>
      </c>
      <c r="C69" s="364">
        <f>5000+590000</f>
        <v>595000</v>
      </c>
      <c r="D69" s="365">
        <f>0+590000</f>
        <v>590000</v>
      </c>
      <c r="E69" s="326">
        <f t="shared" ref="E69:E71" si="102">D69/C69</f>
        <v>0.99159663865546221</v>
      </c>
      <c r="F69" s="327"/>
      <c r="G69" s="328">
        <f t="shared" ref="G69:H69" si="103">K69-C69</f>
        <v>181580</v>
      </c>
      <c r="H69" s="323">
        <f t="shared" si="103"/>
        <v>144384</v>
      </c>
      <c r="I69" s="337">
        <f t="shared" ref="I69:I73" si="104">H69/G69</f>
        <v>0.79515365128318094</v>
      </c>
      <c r="J69" s="327"/>
      <c r="K69" s="367">
        <f>286580+490000</f>
        <v>776580</v>
      </c>
      <c r="L69" s="584">
        <v>734384</v>
      </c>
      <c r="M69" s="368">
        <f t="shared" ref="M69:M73" si="105">L69/K69</f>
        <v>0.94566432305750858</v>
      </c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</row>
    <row r="70" spans="1:24" ht="15.75" customHeight="1">
      <c r="A70" s="949"/>
      <c r="B70" s="334" t="s">
        <v>28</v>
      </c>
      <c r="C70" s="372">
        <v>57501</v>
      </c>
      <c r="D70" s="585">
        <v>17351</v>
      </c>
      <c r="E70" s="337">
        <f t="shared" si="102"/>
        <v>0.30175127389088885</v>
      </c>
      <c r="F70" s="327"/>
      <c r="G70" s="338">
        <f t="shared" ref="G70:H70" si="106">K70-C70</f>
        <v>33499</v>
      </c>
      <c r="H70" s="334">
        <f t="shared" si="106"/>
        <v>1727</v>
      </c>
      <c r="I70" s="337">
        <f t="shared" si="104"/>
        <v>5.1553777724708198E-2</v>
      </c>
      <c r="J70" s="327"/>
      <c r="K70" s="375">
        <v>91000</v>
      </c>
      <c r="L70" s="587">
        <v>19078</v>
      </c>
      <c r="M70" s="376">
        <f t="shared" si="105"/>
        <v>0.20964835164835166</v>
      </c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</row>
    <row r="71" spans="1:24" ht="15.75" customHeight="1">
      <c r="A71" s="949"/>
      <c r="B71" s="334" t="s">
        <v>31</v>
      </c>
      <c r="C71" s="372">
        <v>34006</v>
      </c>
      <c r="D71" s="373">
        <v>58944</v>
      </c>
      <c r="E71" s="337">
        <f t="shared" si="102"/>
        <v>1.7333411750867493</v>
      </c>
      <c r="F71" s="327"/>
      <c r="G71" s="338">
        <f t="shared" ref="G71:H71" si="107">K71-C71</f>
        <v>47000</v>
      </c>
      <c r="H71" s="334">
        <f t="shared" si="107"/>
        <v>19958</v>
      </c>
      <c r="I71" s="337">
        <f t="shared" si="104"/>
        <v>0.42463829787234042</v>
      </c>
      <c r="J71" s="327"/>
      <c r="K71" s="375">
        <v>81006</v>
      </c>
      <c r="L71" s="587">
        <v>78902</v>
      </c>
      <c r="M71" s="376">
        <f t="shared" si="105"/>
        <v>0.97402661531244594</v>
      </c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</row>
    <row r="72" spans="1:24" ht="15.75" customHeight="1">
      <c r="A72" s="949"/>
      <c r="B72" s="377" t="s">
        <v>32</v>
      </c>
      <c r="C72" s="378">
        <v>0</v>
      </c>
      <c r="D72" s="373">
        <v>0</v>
      </c>
      <c r="E72" s="337">
        <v>0</v>
      </c>
      <c r="F72" s="327"/>
      <c r="G72" s="338">
        <f t="shared" ref="G72:H72" si="108">K72-C72</f>
        <v>125000</v>
      </c>
      <c r="H72" s="334">
        <f t="shared" si="108"/>
        <v>27041</v>
      </c>
      <c r="I72" s="337">
        <f t="shared" si="104"/>
        <v>0.21632799999999999</v>
      </c>
      <c r="J72" s="327"/>
      <c r="K72" s="496">
        <v>125000</v>
      </c>
      <c r="L72" s="587">
        <v>27041</v>
      </c>
      <c r="M72" s="376">
        <f t="shared" si="105"/>
        <v>0.21632799999999999</v>
      </c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</row>
    <row r="73" spans="1:24" ht="15.75" customHeight="1">
      <c r="A73" s="950"/>
      <c r="B73" s="357" t="s">
        <v>25</v>
      </c>
      <c r="C73" s="369">
        <f t="shared" ref="C73:D73" si="109">SUM(C69:C72)</f>
        <v>686507</v>
      </c>
      <c r="D73" s="358">
        <f t="shared" si="109"/>
        <v>666295</v>
      </c>
      <c r="E73" s="359">
        <f>D73/C73</f>
        <v>0.97055820261118964</v>
      </c>
      <c r="F73" s="343"/>
      <c r="G73" s="360">
        <f t="shared" ref="G73:H73" si="110">SUM(G69:G72)</f>
        <v>387079</v>
      </c>
      <c r="H73" s="357">
        <f t="shared" si="110"/>
        <v>193110</v>
      </c>
      <c r="I73" s="380">
        <f t="shared" si="104"/>
        <v>0.49889040738453905</v>
      </c>
      <c r="J73" s="327"/>
      <c r="K73" s="362">
        <f t="shared" ref="K73:L73" si="111">SUM(K69:K72)</f>
        <v>1073586</v>
      </c>
      <c r="L73" s="362">
        <f t="shared" si="111"/>
        <v>859405</v>
      </c>
      <c r="M73" s="363">
        <f t="shared" si="105"/>
        <v>0.80049944764555425</v>
      </c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</row>
    <row r="74" spans="1:24" ht="7.5" customHeight="1">
      <c r="A74" s="985"/>
      <c r="B74" s="928"/>
      <c r="C74" s="928"/>
      <c r="D74" s="928"/>
      <c r="E74" s="928"/>
      <c r="F74" s="312"/>
      <c r="G74" s="986"/>
      <c r="H74" s="928"/>
      <c r="I74" s="928"/>
      <c r="J74" s="312"/>
      <c r="K74" s="491"/>
      <c r="L74" s="348"/>
      <c r="M74" s="349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</row>
    <row r="75" spans="1:24" ht="15.75" customHeight="1">
      <c r="A75" s="987" t="s">
        <v>169</v>
      </c>
      <c r="B75" s="323" t="s">
        <v>21</v>
      </c>
      <c r="C75" s="364">
        <v>102</v>
      </c>
      <c r="D75" s="583">
        <v>6594</v>
      </c>
      <c r="E75" s="326">
        <f t="shared" ref="E75:E78" si="112">D75/C75</f>
        <v>64.647058823529406</v>
      </c>
      <c r="F75" s="327"/>
      <c r="G75" s="323">
        <f t="shared" ref="G75:H75" si="113">K75-C75</f>
        <v>71000</v>
      </c>
      <c r="H75" s="323">
        <f t="shared" si="113"/>
        <v>5788</v>
      </c>
      <c r="I75" s="381">
        <f t="shared" ref="I75:I78" si="114">H75/G75</f>
        <v>8.1521126760563375E-2</v>
      </c>
      <c r="J75" s="327"/>
      <c r="K75" s="367">
        <v>71102</v>
      </c>
      <c r="L75" s="584">
        <v>12382</v>
      </c>
      <c r="M75" s="368">
        <f t="shared" ref="M75:M78" si="115">L75/K75</f>
        <v>0.17414418722398808</v>
      </c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</row>
    <row r="76" spans="1:24" ht="15.75" customHeight="1">
      <c r="A76" s="949"/>
      <c r="B76" s="334" t="s">
        <v>102</v>
      </c>
      <c r="C76" s="372">
        <v>87509</v>
      </c>
      <c r="D76" s="585">
        <v>48463</v>
      </c>
      <c r="E76" s="337">
        <f t="shared" si="112"/>
        <v>0.55380589425087701</v>
      </c>
      <c r="F76" s="327"/>
      <c r="G76" s="334">
        <f t="shared" ref="G76:H76" si="116">K76-C76</f>
        <v>108507</v>
      </c>
      <c r="H76" s="334">
        <f t="shared" si="116"/>
        <v>45615</v>
      </c>
      <c r="I76" s="383">
        <f t="shared" si="114"/>
        <v>0.42038762476153613</v>
      </c>
      <c r="J76" s="327"/>
      <c r="K76" s="375">
        <v>196016</v>
      </c>
      <c r="L76" s="587">
        <v>94078</v>
      </c>
      <c r="M76" s="376">
        <f t="shared" si="115"/>
        <v>0.47995061627622237</v>
      </c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</row>
    <row r="77" spans="1:24" ht="15.75" customHeight="1">
      <c r="A77" s="949"/>
      <c r="B77" s="334" t="s">
        <v>31</v>
      </c>
      <c r="C77" s="372">
        <v>1303</v>
      </c>
      <c r="D77" s="373">
        <v>0</v>
      </c>
      <c r="E77" s="337">
        <f t="shared" si="112"/>
        <v>0</v>
      </c>
      <c r="F77" s="327"/>
      <c r="G77" s="334">
        <f t="shared" ref="G77:H77" si="117">K77-C77</f>
        <v>41722</v>
      </c>
      <c r="H77" s="334">
        <f t="shared" si="117"/>
        <v>7764</v>
      </c>
      <c r="I77" s="383">
        <f t="shared" si="114"/>
        <v>0.18608887397536072</v>
      </c>
      <c r="J77" s="327"/>
      <c r="K77" s="375">
        <v>43025</v>
      </c>
      <c r="L77" s="587">
        <v>7764</v>
      </c>
      <c r="M77" s="376">
        <f t="shared" si="115"/>
        <v>0.18045322486926205</v>
      </c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</row>
    <row r="78" spans="1:24" ht="15.75" customHeight="1">
      <c r="A78" s="950"/>
      <c r="B78" s="357" t="s">
        <v>25</v>
      </c>
      <c r="C78" s="369">
        <f t="shared" ref="C78:D78" si="118">SUM(C75:C77)</f>
        <v>88914</v>
      </c>
      <c r="D78" s="358">
        <f t="shared" si="118"/>
        <v>55057</v>
      </c>
      <c r="E78" s="359">
        <f t="shared" si="112"/>
        <v>0.61921632138920757</v>
      </c>
      <c r="F78" s="343"/>
      <c r="G78" s="357">
        <f t="shared" ref="G78:H78" si="119">SUM(G75:G77)</f>
        <v>221229</v>
      </c>
      <c r="H78" s="357">
        <f t="shared" si="119"/>
        <v>59167</v>
      </c>
      <c r="I78" s="384">
        <f t="shared" si="114"/>
        <v>0.2674468537126688</v>
      </c>
      <c r="J78" s="327"/>
      <c r="K78" s="362">
        <f t="shared" ref="K78:L78" si="120">SUM(K75:K77)</f>
        <v>310143</v>
      </c>
      <c r="L78" s="362">
        <f t="shared" si="120"/>
        <v>114224</v>
      </c>
      <c r="M78" s="363">
        <f t="shared" si="115"/>
        <v>0.36829462538248486</v>
      </c>
      <c r="N78" s="305"/>
      <c r="O78" s="305"/>
      <c r="P78" s="305"/>
      <c r="Q78" s="305"/>
      <c r="R78" s="305"/>
      <c r="S78" s="305"/>
      <c r="T78" s="305"/>
      <c r="U78" s="305"/>
      <c r="V78" s="305"/>
      <c r="W78" s="305"/>
      <c r="X78" s="305"/>
    </row>
    <row r="79" spans="1:24" ht="6" customHeight="1">
      <c r="A79" s="985"/>
      <c r="B79" s="928"/>
      <c r="C79" s="928"/>
      <c r="D79" s="928"/>
      <c r="E79" s="928"/>
      <c r="F79" s="312"/>
      <c r="G79" s="986"/>
      <c r="H79" s="928"/>
      <c r="I79" s="928"/>
      <c r="J79" s="312"/>
      <c r="K79" s="491"/>
      <c r="L79" s="348"/>
      <c r="M79" s="349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</row>
    <row r="80" spans="1:24" ht="15.75" customHeight="1">
      <c r="A80" s="987" t="s">
        <v>170</v>
      </c>
      <c r="B80" s="323" t="s">
        <v>21</v>
      </c>
      <c r="C80" s="364">
        <v>0</v>
      </c>
      <c r="D80" s="365">
        <v>0</v>
      </c>
      <c r="E80" s="326">
        <v>0</v>
      </c>
      <c r="F80" s="327"/>
      <c r="G80" s="338">
        <f t="shared" ref="G80:H80" si="121">K80-C80</f>
        <v>482000</v>
      </c>
      <c r="H80" s="338">
        <f t="shared" si="121"/>
        <v>88914</v>
      </c>
      <c r="I80" s="337">
        <f t="shared" ref="I80:I84" si="122">H80/G80</f>
        <v>0.18446887966804978</v>
      </c>
      <c r="J80" s="327"/>
      <c r="K80" s="367">
        <v>482000</v>
      </c>
      <c r="L80" s="584">
        <v>88914</v>
      </c>
      <c r="M80" s="368">
        <f t="shared" ref="M80:M84" si="123">L80/K80</f>
        <v>0.18446887966804978</v>
      </c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05"/>
    </row>
    <row r="81" spans="1:24" ht="15.75" customHeight="1">
      <c r="A81" s="949"/>
      <c r="B81" s="334" t="s">
        <v>28</v>
      </c>
      <c r="C81" s="372">
        <v>0</v>
      </c>
      <c r="D81" s="373">
        <v>0</v>
      </c>
      <c r="E81" s="337">
        <v>0</v>
      </c>
      <c r="F81" s="327"/>
      <c r="G81" s="338">
        <f t="shared" ref="G81:H81" si="124">K81-C81</f>
        <v>141003</v>
      </c>
      <c r="H81" s="338">
        <f t="shared" si="124"/>
        <v>10803</v>
      </c>
      <c r="I81" s="337">
        <f t="shared" si="122"/>
        <v>7.6615391161890173E-2</v>
      </c>
      <c r="J81" s="327"/>
      <c r="K81" s="375">
        <v>141003</v>
      </c>
      <c r="L81" s="375">
        <v>10803</v>
      </c>
      <c r="M81" s="376">
        <f t="shared" si="123"/>
        <v>7.6615391161890173E-2</v>
      </c>
      <c r="N81" s="305"/>
      <c r="O81" s="305"/>
      <c r="P81" s="305"/>
      <c r="Q81" s="305"/>
      <c r="R81" s="305"/>
      <c r="S81" s="305"/>
      <c r="T81" s="305"/>
      <c r="U81" s="305"/>
      <c r="V81" s="305"/>
      <c r="W81" s="305"/>
      <c r="X81" s="305"/>
    </row>
    <row r="82" spans="1:24" ht="15.75" customHeight="1">
      <c r="A82" s="949"/>
      <c r="B82" s="334" t="s">
        <v>31</v>
      </c>
      <c r="C82" s="372">
        <v>165102</v>
      </c>
      <c r="D82" s="585">
        <v>76814</v>
      </c>
      <c r="E82" s="337">
        <f t="shared" ref="E82:E84" si="125">D82/C82</f>
        <v>0.46525178374580561</v>
      </c>
      <c r="F82" s="327"/>
      <c r="G82" s="338">
        <f t="shared" ref="G82:H82" si="126">K82-C82</f>
        <v>270414</v>
      </c>
      <c r="H82" s="338">
        <f t="shared" si="126"/>
        <v>111252</v>
      </c>
      <c r="I82" s="337">
        <f t="shared" si="122"/>
        <v>0.41141361024207329</v>
      </c>
      <c r="J82" s="327"/>
      <c r="K82" s="375">
        <v>435516</v>
      </c>
      <c r="L82" s="587">
        <v>188066</v>
      </c>
      <c r="M82" s="376">
        <f t="shared" si="123"/>
        <v>0.43182340028839356</v>
      </c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</row>
    <row r="83" spans="1:24" ht="15.75" customHeight="1">
      <c r="A83" s="949"/>
      <c r="B83" s="377" t="s">
        <v>32</v>
      </c>
      <c r="C83" s="378">
        <v>1</v>
      </c>
      <c r="D83" s="373">
        <v>0</v>
      </c>
      <c r="E83" s="337">
        <f t="shared" si="125"/>
        <v>0</v>
      </c>
      <c r="F83" s="327"/>
      <c r="G83" s="338">
        <f t="shared" ref="G83:H83" si="127">K83-C83</f>
        <v>707810</v>
      </c>
      <c r="H83" s="338">
        <f t="shared" si="127"/>
        <v>330118</v>
      </c>
      <c r="I83" s="337">
        <f t="shared" si="122"/>
        <v>0.46639352368573489</v>
      </c>
      <c r="J83" s="327"/>
      <c r="K83" s="496">
        <v>707811</v>
      </c>
      <c r="L83" s="587">
        <v>330118</v>
      </c>
      <c r="M83" s="376">
        <f t="shared" si="123"/>
        <v>0.46639286476192093</v>
      </c>
      <c r="N83" s="305"/>
      <c r="O83" s="305"/>
      <c r="P83" s="305"/>
      <c r="Q83" s="305"/>
      <c r="R83" s="305"/>
      <c r="S83" s="305"/>
      <c r="T83" s="305"/>
      <c r="U83" s="305"/>
      <c r="V83" s="305"/>
      <c r="W83" s="305"/>
      <c r="X83" s="305"/>
    </row>
    <row r="84" spans="1:24" ht="15.75" customHeight="1">
      <c r="A84" s="950"/>
      <c r="B84" s="357" t="s">
        <v>25</v>
      </c>
      <c r="C84" s="369">
        <f t="shared" ref="C84:D84" si="128">SUM(C80:C83)</f>
        <v>165103</v>
      </c>
      <c r="D84" s="358">
        <f t="shared" si="128"/>
        <v>76814</v>
      </c>
      <c r="E84" s="359">
        <f t="shared" si="125"/>
        <v>0.46524896579710845</v>
      </c>
      <c r="F84" s="343"/>
      <c r="G84" s="370">
        <f t="shared" ref="G84:H84" si="129">SUM(G80:G83)</f>
        <v>1601227</v>
      </c>
      <c r="H84" s="398">
        <f t="shared" si="129"/>
        <v>541087</v>
      </c>
      <c r="I84" s="380">
        <f t="shared" si="122"/>
        <v>0.33792023242176156</v>
      </c>
      <c r="J84" s="327"/>
      <c r="K84" s="362">
        <f t="shared" ref="K84:L84" si="130">SUM(K80:K83)</f>
        <v>1766330</v>
      </c>
      <c r="L84" s="362">
        <f t="shared" si="130"/>
        <v>617901</v>
      </c>
      <c r="M84" s="363">
        <f t="shared" si="123"/>
        <v>0.34982194720125909</v>
      </c>
      <c r="N84" s="305"/>
      <c r="O84" s="305"/>
      <c r="P84" s="305"/>
      <c r="Q84" s="305"/>
      <c r="R84" s="305"/>
      <c r="S84" s="305"/>
      <c r="T84" s="305"/>
      <c r="U84" s="305"/>
      <c r="V84" s="305"/>
      <c r="W84" s="305"/>
      <c r="X84" s="305"/>
    </row>
    <row r="85" spans="1:24" ht="6" customHeight="1">
      <c r="A85" s="985"/>
      <c r="B85" s="928"/>
      <c r="C85" s="928"/>
      <c r="D85" s="928"/>
      <c r="E85" s="928"/>
      <c r="F85" s="312"/>
      <c r="G85" s="986"/>
      <c r="H85" s="928"/>
      <c r="I85" s="928"/>
      <c r="J85" s="312"/>
      <c r="K85" s="491"/>
      <c r="L85" s="348"/>
      <c r="M85" s="349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</row>
    <row r="86" spans="1:24" ht="15.75" customHeight="1">
      <c r="A86" s="987" t="s">
        <v>56</v>
      </c>
      <c r="B86" s="323" t="s">
        <v>21</v>
      </c>
      <c r="C86" s="364">
        <v>441</v>
      </c>
      <c r="D86" s="365">
        <v>0</v>
      </c>
      <c r="E86" s="326">
        <f t="shared" ref="E86:E88" si="131">D86/C86</f>
        <v>0</v>
      </c>
      <c r="F86" s="327"/>
      <c r="G86" s="338">
        <f t="shared" ref="G86:H86" si="132">K86-C86</f>
        <v>31100</v>
      </c>
      <c r="H86" s="338">
        <f t="shared" si="132"/>
        <v>1146</v>
      </c>
      <c r="I86" s="337">
        <f t="shared" ref="I86:I90" si="133">H86/G86</f>
        <v>3.6848874598070742E-2</v>
      </c>
      <c r="J86" s="327"/>
      <c r="K86" s="367">
        <v>31541</v>
      </c>
      <c r="L86" s="584">
        <v>1146</v>
      </c>
      <c r="M86" s="368">
        <f t="shared" ref="M86:M90" si="134">L86/K86</f>
        <v>3.6333660949240669E-2</v>
      </c>
      <c r="N86" s="305"/>
      <c r="O86" s="305"/>
      <c r="P86" s="305"/>
      <c r="Q86" s="305"/>
      <c r="R86" s="305"/>
      <c r="S86" s="305"/>
      <c r="T86" s="305"/>
      <c r="U86" s="305"/>
      <c r="V86" s="305"/>
      <c r="W86" s="305"/>
      <c r="X86" s="305"/>
    </row>
    <row r="87" spans="1:24" ht="15.75" customHeight="1">
      <c r="A87" s="949"/>
      <c r="B87" s="334" t="s">
        <v>28</v>
      </c>
      <c r="C87" s="372">
        <v>1</v>
      </c>
      <c r="D87" s="373">
        <v>0</v>
      </c>
      <c r="E87" s="337">
        <f t="shared" si="131"/>
        <v>0</v>
      </c>
      <c r="F87" s="327"/>
      <c r="G87" s="338">
        <f t="shared" ref="G87:H87" si="135">K87-C87</f>
        <v>9730</v>
      </c>
      <c r="H87" s="338">
        <f t="shared" si="135"/>
        <v>4890</v>
      </c>
      <c r="I87" s="337">
        <f t="shared" si="133"/>
        <v>0.50256937307297023</v>
      </c>
      <c r="J87" s="327"/>
      <c r="K87" s="375">
        <v>9731</v>
      </c>
      <c r="L87" s="375">
        <v>4890</v>
      </c>
      <c r="M87" s="376">
        <f t="shared" si="134"/>
        <v>0.50251772685232765</v>
      </c>
      <c r="N87" s="305"/>
      <c r="O87" s="305"/>
      <c r="P87" s="305"/>
      <c r="Q87" s="305"/>
      <c r="R87" s="305"/>
      <c r="S87" s="305"/>
      <c r="T87" s="305"/>
      <c r="U87" s="305"/>
      <c r="V87" s="305"/>
      <c r="W87" s="305"/>
      <c r="X87" s="305"/>
    </row>
    <row r="88" spans="1:24" ht="15.75" customHeight="1">
      <c r="A88" s="949"/>
      <c r="B88" s="334" t="s">
        <v>103</v>
      </c>
      <c r="C88" s="372">
        <v>1544</v>
      </c>
      <c r="D88" s="373">
        <v>0</v>
      </c>
      <c r="E88" s="337">
        <f t="shared" si="131"/>
        <v>0</v>
      </c>
      <c r="F88" s="327"/>
      <c r="G88" s="338">
        <f t="shared" ref="G88:H88" si="136">K88-C88</f>
        <v>23059</v>
      </c>
      <c r="H88" s="338">
        <f t="shared" si="136"/>
        <v>75213</v>
      </c>
      <c r="I88" s="337">
        <f t="shared" si="133"/>
        <v>3.261763302831866</v>
      </c>
      <c r="J88" s="327"/>
      <c r="K88" s="375">
        <v>24603</v>
      </c>
      <c r="L88" s="587">
        <v>75213</v>
      </c>
      <c r="M88" s="376">
        <f t="shared" si="134"/>
        <v>3.0570662114376295</v>
      </c>
      <c r="N88" s="305"/>
      <c r="O88" s="305"/>
      <c r="P88" s="305"/>
      <c r="Q88" s="305"/>
      <c r="R88" s="305"/>
      <c r="S88" s="305"/>
      <c r="T88" s="305"/>
      <c r="U88" s="305"/>
      <c r="V88" s="305"/>
      <c r="W88" s="305"/>
      <c r="X88" s="305"/>
    </row>
    <row r="89" spans="1:24" ht="15.75" customHeight="1">
      <c r="A89" s="949"/>
      <c r="B89" s="377" t="s">
        <v>32</v>
      </c>
      <c r="C89" s="378">
        <v>0</v>
      </c>
      <c r="D89" s="373">
        <v>0</v>
      </c>
      <c r="E89" s="337">
        <v>0</v>
      </c>
      <c r="F89" s="327"/>
      <c r="G89" s="338">
        <f t="shared" ref="G89:H89" si="137">K89-C89</f>
        <v>334764</v>
      </c>
      <c r="H89" s="338">
        <f t="shared" si="137"/>
        <v>137191</v>
      </c>
      <c r="I89" s="337">
        <f t="shared" si="133"/>
        <v>0.40981407797732133</v>
      </c>
      <c r="J89" s="327"/>
      <c r="K89" s="496">
        <v>334764</v>
      </c>
      <c r="L89" s="587">
        <v>137191</v>
      </c>
      <c r="M89" s="376">
        <f t="shared" si="134"/>
        <v>0.40981407797732133</v>
      </c>
      <c r="N89" s="305"/>
      <c r="O89" s="305"/>
      <c r="P89" s="305"/>
      <c r="Q89" s="305"/>
      <c r="R89" s="305"/>
      <c r="S89" s="305"/>
      <c r="T89" s="305"/>
      <c r="U89" s="305"/>
      <c r="V89" s="305"/>
      <c r="W89" s="305"/>
      <c r="X89" s="305"/>
    </row>
    <row r="90" spans="1:24" ht="15.75" customHeight="1">
      <c r="A90" s="950"/>
      <c r="B90" s="357" t="s">
        <v>25</v>
      </c>
      <c r="C90" s="369">
        <f t="shared" ref="C90:D90" si="138">SUM(C86:C89)</f>
        <v>1986</v>
      </c>
      <c r="D90" s="358">
        <f t="shared" si="138"/>
        <v>0</v>
      </c>
      <c r="E90" s="359">
        <f>D90/C90</f>
        <v>0</v>
      </c>
      <c r="F90" s="343"/>
      <c r="G90" s="370">
        <f t="shared" ref="G90:H90" si="139">SUM(G86:G89)</f>
        <v>398653</v>
      </c>
      <c r="H90" s="398">
        <f t="shared" si="139"/>
        <v>218440</v>
      </c>
      <c r="I90" s="380">
        <f t="shared" si="133"/>
        <v>0.54794520547945202</v>
      </c>
      <c r="J90" s="327"/>
      <c r="K90" s="362">
        <f t="shared" ref="K90:L90" si="140">SUM(K86:K89)</f>
        <v>400639</v>
      </c>
      <c r="L90" s="362">
        <f t="shared" si="140"/>
        <v>218440</v>
      </c>
      <c r="M90" s="363">
        <f t="shared" si="134"/>
        <v>0.54522899667780722</v>
      </c>
      <c r="N90" s="305"/>
      <c r="O90" s="305"/>
      <c r="P90" s="305"/>
      <c r="Q90" s="305"/>
      <c r="R90" s="305"/>
      <c r="S90" s="305"/>
      <c r="T90" s="305"/>
      <c r="U90" s="305"/>
      <c r="V90" s="305"/>
      <c r="W90" s="305"/>
      <c r="X90" s="305"/>
    </row>
    <row r="91" spans="1:24" ht="7.5" customHeight="1">
      <c r="A91" s="985"/>
      <c r="B91" s="928"/>
      <c r="C91" s="928"/>
      <c r="D91" s="928"/>
      <c r="E91" s="928"/>
      <c r="F91" s="312"/>
      <c r="G91" s="986"/>
      <c r="H91" s="928"/>
      <c r="I91" s="928"/>
      <c r="J91" s="312"/>
      <c r="K91" s="491"/>
      <c r="L91" s="348"/>
      <c r="M91" s="349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</row>
    <row r="92" spans="1:24" ht="15.75" customHeight="1">
      <c r="A92" s="987" t="s">
        <v>171</v>
      </c>
      <c r="B92" s="323" t="s">
        <v>21</v>
      </c>
      <c r="C92" s="364">
        <v>0</v>
      </c>
      <c r="D92" s="365">
        <v>0</v>
      </c>
      <c r="E92" s="592">
        <v>0</v>
      </c>
      <c r="F92" s="327"/>
      <c r="G92" s="338">
        <f t="shared" ref="G92:H92" si="141">K92-C92</f>
        <v>5000</v>
      </c>
      <c r="H92" s="338">
        <f t="shared" si="141"/>
        <v>0</v>
      </c>
      <c r="I92" s="337">
        <f t="shared" ref="I92:I97" si="142">H92/G92</f>
        <v>0</v>
      </c>
      <c r="J92" s="327"/>
      <c r="K92" s="367">
        <v>5000</v>
      </c>
      <c r="L92" s="367">
        <v>0</v>
      </c>
      <c r="M92" s="368">
        <f t="shared" ref="M92:M98" si="143">L92/K92</f>
        <v>0</v>
      </c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</row>
    <row r="93" spans="1:24" ht="15.75" customHeight="1">
      <c r="A93" s="949"/>
      <c r="B93" s="399" t="s">
        <v>31</v>
      </c>
      <c r="C93" s="400">
        <v>1</v>
      </c>
      <c r="D93" s="401">
        <v>0</v>
      </c>
      <c r="E93" s="383">
        <f>D93/C93</f>
        <v>0</v>
      </c>
      <c r="F93" s="327"/>
      <c r="G93" s="338">
        <f t="shared" ref="G93:H93" si="144">K93-C93</f>
        <v>7001</v>
      </c>
      <c r="H93" s="338">
        <f t="shared" si="144"/>
        <v>876</v>
      </c>
      <c r="I93" s="337">
        <f t="shared" si="142"/>
        <v>0.12512498214540779</v>
      </c>
      <c r="J93" s="327"/>
      <c r="K93" s="403">
        <v>7002</v>
      </c>
      <c r="L93" s="403">
        <v>876</v>
      </c>
      <c r="M93" s="376">
        <f t="shared" si="143"/>
        <v>0.12510711225364182</v>
      </c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</row>
    <row r="94" spans="1:24" ht="15.75" customHeight="1">
      <c r="A94" s="949"/>
      <c r="B94" s="334" t="s">
        <v>32</v>
      </c>
      <c r="C94" s="372">
        <v>0</v>
      </c>
      <c r="D94" s="373">
        <v>0</v>
      </c>
      <c r="E94" s="383">
        <v>0</v>
      </c>
      <c r="F94" s="327"/>
      <c r="G94" s="338">
        <f t="shared" ref="G94:H94" si="145">K94-C94</f>
        <v>19000</v>
      </c>
      <c r="H94" s="338">
        <f t="shared" si="145"/>
        <v>361</v>
      </c>
      <c r="I94" s="337">
        <f t="shared" si="142"/>
        <v>1.9E-2</v>
      </c>
      <c r="J94" s="327"/>
      <c r="K94" s="375">
        <v>19000</v>
      </c>
      <c r="L94" s="375">
        <v>361</v>
      </c>
      <c r="M94" s="376">
        <f t="shared" si="143"/>
        <v>1.9E-2</v>
      </c>
      <c r="N94" s="305"/>
      <c r="O94" s="305"/>
      <c r="P94" s="305"/>
      <c r="Q94" s="305"/>
      <c r="R94" s="305"/>
      <c r="S94" s="305"/>
      <c r="T94" s="305"/>
      <c r="U94" s="305"/>
      <c r="V94" s="305"/>
      <c r="W94" s="305"/>
      <c r="X94" s="305"/>
    </row>
    <row r="95" spans="1:24" ht="15.75" customHeight="1">
      <c r="A95" s="1000"/>
      <c r="B95" s="183" t="s">
        <v>25</v>
      </c>
      <c r="C95" s="341">
        <f t="shared" ref="C95:D95" si="146">SUM(C92:C94)</f>
        <v>1</v>
      </c>
      <c r="D95" s="341">
        <f t="shared" si="146"/>
        <v>0</v>
      </c>
      <c r="E95" s="384">
        <f t="shared" ref="E95:E98" si="147">D95/C95</f>
        <v>0</v>
      </c>
      <c r="F95" s="343"/>
      <c r="G95" s="184">
        <f t="shared" ref="G95:H95" si="148">SUM(G92:G94)</f>
        <v>31001</v>
      </c>
      <c r="H95" s="404">
        <f t="shared" si="148"/>
        <v>1237</v>
      </c>
      <c r="I95" s="342">
        <f t="shared" si="142"/>
        <v>3.9901938647140416E-2</v>
      </c>
      <c r="J95" s="327"/>
      <c r="K95" s="406">
        <f t="shared" ref="K95:L95" si="149">SUM(K92:K94)</f>
        <v>31002</v>
      </c>
      <c r="L95" s="406">
        <f t="shared" si="149"/>
        <v>1237</v>
      </c>
      <c r="M95" s="407">
        <f t="shared" si="143"/>
        <v>3.9900651570866398E-2</v>
      </c>
      <c r="N95" s="305"/>
      <c r="O95" s="305"/>
      <c r="P95" s="305"/>
      <c r="Q95" s="305"/>
      <c r="R95" s="305"/>
      <c r="S95" s="305"/>
      <c r="T95" s="305"/>
      <c r="U95" s="305"/>
      <c r="V95" s="305"/>
      <c r="W95" s="305"/>
      <c r="X95" s="305"/>
    </row>
    <row r="96" spans="1:24" ht="15.75" customHeight="1">
      <c r="A96" s="1009" t="s">
        <v>182</v>
      </c>
      <c r="B96" s="955"/>
      <c r="C96" s="501">
        <f t="shared" ref="C96:D96" si="150">C8+C11+C15+C21+C26+C32+C35+C39+C43+C46+C51+C55+C61+C67+C73+C78+C84+C90+C95</f>
        <v>18581086</v>
      </c>
      <c r="D96" s="501">
        <f t="shared" si="150"/>
        <v>7415882</v>
      </c>
      <c r="E96" s="502">
        <f t="shared" si="147"/>
        <v>0.39910918016309704</v>
      </c>
      <c r="F96" s="312"/>
      <c r="G96" s="501">
        <f t="shared" ref="G96:H96" si="151">G8+G11+G15+G21+G26+G32+G35+G39+G43+G46+G51+G55+G61+G67+G73+G78+G84+G90+G95</f>
        <v>22154755</v>
      </c>
      <c r="H96" s="501">
        <f t="shared" si="151"/>
        <v>14111888</v>
      </c>
      <c r="I96" s="503">
        <f t="shared" si="142"/>
        <v>0.63696881324122068</v>
      </c>
      <c r="J96" s="312"/>
      <c r="K96" s="501">
        <f t="shared" ref="K96:L96" si="152">K8+K11+K15+K21+K26+K32+K35+K39+K43+K46+K51+K55+K61+K67+K73+K78+K84+K90+K95</f>
        <v>40735841</v>
      </c>
      <c r="L96" s="501">
        <f t="shared" si="152"/>
        <v>21527770</v>
      </c>
      <c r="M96" s="503">
        <f t="shared" si="143"/>
        <v>0.52847245746074079</v>
      </c>
      <c r="N96" s="305"/>
      <c r="O96" s="305"/>
      <c r="P96" s="305"/>
      <c r="Q96" s="305"/>
      <c r="R96" s="305"/>
      <c r="S96" s="305"/>
      <c r="T96" s="305"/>
      <c r="U96" s="305"/>
      <c r="V96" s="305"/>
      <c r="W96" s="305"/>
      <c r="X96" s="305"/>
    </row>
    <row r="97" spans="1:24" ht="15.75" customHeight="1">
      <c r="A97" s="994" t="s">
        <v>183</v>
      </c>
      <c r="B97" s="504" t="s">
        <v>21</v>
      </c>
      <c r="C97" s="505">
        <f>C5+C10+C13+C17+C23+C28+C34+C48+C53+C57+C63+C69+C75+C80+C86+C92</f>
        <v>9069662</v>
      </c>
      <c r="D97" s="505">
        <f>D5+D10+D13+D17+D23+D28+D34+D48+D53+D57+D63+D75+D80+D86+D92</f>
        <v>1195713</v>
      </c>
      <c r="E97" s="506">
        <f t="shared" si="147"/>
        <v>0.13183655576139441</v>
      </c>
      <c r="F97" s="507"/>
      <c r="G97" s="505">
        <f t="shared" ref="G97:H97" si="153">G5+G10+G13+G17+G23+G28+G34+G48+G53+G57+G63+G69+G75+G80+G86+G92</f>
        <v>7616487</v>
      </c>
      <c r="H97" s="505">
        <f t="shared" si="153"/>
        <v>6589944</v>
      </c>
      <c r="I97" s="508">
        <f t="shared" si="142"/>
        <v>0.86522093453320403</v>
      </c>
      <c r="J97" s="239"/>
      <c r="K97" s="505">
        <f t="shared" ref="K97:L97" si="154">K5+K10+K13+K17+K23+K28+K34+K48+K53+K57+K63+K69+K75+K80+K86+K92</f>
        <v>16686149</v>
      </c>
      <c r="L97" s="505">
        <f t="shared" si="154"/>
        <v>8375657</v>
      </c>
      <c r="M97" s="506">
        <f t="shared" si="143"/>
        <v>0.50195266744891232</v>
      </c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</row>
    <row r="98" spans="1:24" ht="15.75" customHeight="1">
      <c r="A98" s="949"/>
      <c r="B98" s="178" t="s">
        <v>158</v>
      </c>
      <c r="C98" s="415">
        <f>C14</f>
        <v>6479400</v>
      </c>
      <c r="D98" s="415">
        <f>D14+D69</f>
        <v>4748700</v>
      </c>
      <c r="E98" s="416">
        <f t="shared" si="147"/>
        <v>0.73289193443837397</v>
      </c>
      <c r="F98" s="417"/>
      <c r="G98" s="415">
        <f t="shared" ref="G98:H98" si="155">G14</f>
        <v>0</v>
      </c>
      <c r="H98" s="415">
        <f t="shared" si="155"/>
        <v>0</v>
      </c>
      <c r="I98" s="593">
        <v>0</v>
      </c>
      <c r="J98" s="419"/>
      <c r="K98" s="415">
        <f t="shared" ref="K98:L98" si="156">K14</f>
        <v>6479400</v>
      </c>
      <c r="L98" s="415">
        <f t="shared" si="156"/>
        <v>4158700</v>
      </c>
      <c r="M98" s="416">
        <f t="shared" si="143"/>
        <v>0.64183412044325094</v>
      </c>
      <c r="N98" s="305"/>
      <c r="O98" s="305"/>
      <c r="P98" s="305"/>
      <c r="Q98" s="305"/>
      <c r="R98" s="305"/>
      <c r="S98" s="305"/>
      <c r="T98" s="305"/>
      <c r="U98" s="305"/>
      <c r="V98" s="305"/>
      <c r="W98" s="305"/>
      <c r="X98" s="305"/>
    </row>
    <row r="99" spans="1:24" ht="15.75" customHeight="1">
      <c r="A99" s="949"/>
      <c r="B99" s="178" t="s">
        <v>22</v>
      </c>
      <c r="C99" s="415">
        <f t="shared" ref="C99:D99" si="157">C6</f>
        <v>10000</v>
      </c>
      <c r="D99" s="415">
        <f t="shared" si="157"/>
        <v>0</v>
      </c>
      <c r="E99" s="416">
        <v>0</v>
      </c>
      <c r="F99" s="417"/>
      <c r="G99" s="415">
        <f t="shared" ref="G99:H99" si="158">G6</f>
        <v>0</v>
      </c>
      <c r="H99" s="415">
        <f t="shared" si="158"/>
        <v>0</v>
      </c>
      <c r="I99" s="593">
        <v>0</v>
      </c>
      <c r="J99" s="419"/>
      <c r="K99" s="415">
        <f t="shared" ref="K99:L99" si="159">K6</f>
        <v>10000</v>
      </c>
      <c r="L99" s="415">
        <f t="shared" si="159"/>
        <v>0</v>
      </c>
      <c r="M99" s="416">
        <v>0</v>
      </c>
      <c r="N99" s="305"/>
      <c r="O99" s="305"/>
      <c r="P99" s="305"/>
      <c r="Q99" s="305"/>
      <c r="R99" s="305"/>
      <c r="S99" s="305"/>
      <c r="T99" s="305"/>
      <c r="U99" s="305"/>
      <c r="V99" s="305"/>
      <c r="W99" s="305"/>
      <c r="X99" s="305"/>
    </row>
    <row r="100" spans="1:24" ht="15.75" customHeight="1">
      <c r="A100" s="949"/>
      <c r="B100" s="178" t="s">
        <v>28</v>
      </c>
      <c r="C100" s="415">
        <f t="shared" ref="C100:D100" si="160">C18+C24+C29+C49+C58+C64+C70+C76+C81+C87</f>
        <v>145011</v>
      </c>
      <c r="D100" s="415">
        <f t="shared" si="160"/>
        <v>65814</v>
      </c>
      <c r="E100" s="416">
        <f t="shared" ref="E100:E104" si="161">D100/C100</f>
        <v>0.45385522477605145</v>
      </c>
      <c r="F100" s="417"/>
      <c r="G100" s="415">
        <f t="shared" ref="G100:H100" si="162">G18+G24+G29+G49+G58+G64+G70+G76+G81+G87</f>
        <v>375953</v>
      </c>
      <c r="H100" s="415">
        <f t="shared" si="162"/>
        <v>250584</v>
      </c>
      <c r="I100" s="418">
        <f t="shared" ref="I100:I104" si="163">H100/G100</f>
        <v>0.6665301247762353</v>
      </c>
      <c r="J100" s="419"/>
      <c r="K100" s="415">
        <f t="shared" ref="K100:L100" si="164">K18+K24+K29+K49+K58+K64+K70+K76+K81+K87</f>
        <v>520964</v>
      </c>
      <c r="L100" s="415">
        <f t="shared" si="164"/>
        <v>316398</v>
      </c>
      <c r="M100" s="416">
        <f t="shared" ref="M100:M104" si="165">L100/K100</f>
        <v>0.60733179259987258</v>
      </c>
      <c r="N100" s="305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</row>
    <row r="101" spans="1:24" ht="15.75" customHeight="1">
      <c r="A101" s="949"/>
      <c r="B101" s="178" t="s">
        <v>31</v>
      </c>
      <c r="C101" s="415">
        <f t="shared" ref="C101:D101" si="166">C19+C25+C30+C59+C65+C71+C77+C82+C88+C93</f>
        <v>385982</v>
      </c>
      <c r="D101" s="415">
        <f t="shared" si="166"/>
        <v>310859</v>
      </c>
      <c r="E101" s="416">
        <f t="shared" si="161"/>
        <v>0.80537175308693154</v>
      </c>
      <c r="F101" s="417"/>
      <c r="G101" s="415">
        <f t="shared" ref="G101:H101" si="167">G19+G25+G30+G59+G65+G71+G77+G82+G88+G93</f>
        <v>526089</v>
      </c>
      <c r="H101" s="415">
        <f t="shared" si="167"/>
        <v>299122</v>
      </c>
      <c r="I101" s="418">
        <f t="shared" si="163"/>
        <v>0.56857679974300923</v>
      </c>
      <c r="J101" s="419"/>
      <c r="K101" s="415">
        <f t="shared" ref="K101:L101" si="168">K19+K25+K30+K59+K65+K71+K77+K82+K88+K93</f>
        <v>912071</v>
      </c>
      <c r="L101" s="415">
        <f t="shared" si="168"/>
        <v>609981</v>
      </c>
      <c r="M101" s="416">
        <f t="shared" si="165"/>
        <v>0.6687867501543191</v>
      </c>
      <c r="N101" s="305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</row>
    <row r="102" spans="1:24" ht="15.75" customHeight="1">
      <c r="A102" s="949"/>
      <c r="B102" s="178" t="s">
        <v>40</v>
      </c>
      <c r="C102" s="415">
        <f t="shared" ref="C102:D102" si="169">C37+C41+C7</f>
        <v>1242781</v>
      </c>
      <c r="D102" s="415">
        <f t="shared" si="169"/>
        <v>371492</v>
      </c>
      <c r="E102" s="416">
        <f t="shared" si="161"/>
        <v>0.29891992233547182</v>
      </c>
      <c r="F102" s="417"/>
      <c r="G102" s="415">
        <f t="shared" ref="G102:H102" si="170">G37+G41+G7</f>
        <v>3614630</v>
      </c>
      <c r="H102" s="415">
        <f t="shared" si="170"/>
        <v>165794</v>
      </c>
      <c r="I102" s="418">
        <f t="shared" si="163"/>
        <v>4.5867488511963879E-2</v>
      </c>
      <c r="J102" s="419"/>
      <c r="K102" s="415">
        <f t="shared" ref="K102:L102" si="171">K37+K41+K7</f>
        <v>4857411</v>
      </c>
      <c r="L102" s="415">
        <f t="shared" si="171"/>
        <v>537286</v>
      </c>
      <c r="M102" s="416">
        <f t="shared" si="165"/>
        <v>0.11061159947140566</v>
      </c>
      <c r="N102" s="305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</row>
    <row r="103" spans="1:24" ht="15.75" customHeight="1">
      <c r="A103" s="949"/>
      <c r="B103" s="510" t="s">
        <v>32</v>
      </c>
      <c r="C103" s="511">
        <f t="shared" ref="C103:D103" si="172">C20+C31++C38+C42+C45+C50+C54+C60+C66+C72+C83+C89+C94</f>
        <v>1248250</v>
      </c>
      <c r="D103" s="511">
        <f t="shared" si="172"/>
        <v>723304</v>
      </c>
      <c r="E103" s="407">
        <f t="shared" si="161"/>
        <v>0.57945443621069492</v>
      </c>
      <c r="F103" s="441"/>
      <c r="G103" s="511">
        <f t="shared" ref="G103:H103" si="173">G20+G31++G38+G42+G45+G50+G54+G60+G66+G72+G83+G89+G94</f>
        <v>10021596</v>
      </c>
      <c r="H103" s="511">
        <f t="shared" si="173"/>
        <v>6806444</v>
      </c>
      <c r="I103" s="512">
        <f t="shared" si="163"/>
        <v>0.67917764795148394</v>
      </c>
      <c r="J103" s="513"/>
      <c r="K103" s="511">
        <f t="shared" ref="K103:L103" si="174">K20+K31++K38+K42+K45+K50+K54+K60+K66+K72+K83+K89+K94</f>
        <v>11269846</v>
      </c>
      <c r="L103" s="511">
        <f t="shared" si="174"/>
        <v>7529748</v>
      </c>
      <c r="M103" s="594">
        <f t="shared" si="165"/>
        <v>0.66813228858672957</v>
      </c>
      <c r="N103" s="305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</row>
    <row r="104" spans="1:24" ht="15.75" customHeight="1">
      <c r="A104" s="950"/>
      <c r="B104" s="595" t="s">
        <v>25</v>
      </c>
      <c r="C104" s="514">
        <f t="shared" ref="C104:D104" si="175">C97+C98+C99+C100+C101+C102+C103</f>
        <v>18581086</v>
      </c>
      <c r="D104" s="514">
        <f t="shared" si="175"/>
        <v>7415882</v>
      </c>
      <c r="E104" s="503">
        <f t="shared" si="161"/>
        <v>0.39910918016309704</v>
      </c>
      <c r="F104" s="446"/>
      <c r="G104" s="514">
        <f t="shared" ref="G104:H104" si="176">G97+G98+G99+G100+G101+G102+G103</f>
        <v>22154755</v>
      </c>
      <c r="H104" s="514">
        <f t="shared" si="176"/>
        <v>14111888</v>
      </c>
      <c r="I104" s="448">
        <f t="shared" si="163"/>
        <v>0.63696881324122068</v>
      </c>
      <c r="J104" s="515"/>
      <c r="K104" s="514">
        <f t="shared" ref="K104:L104" si="177">K97+K98+K99+K100+K101+K102+K103</f>
        <v>40735841</v>
      </c>
      <c r="L104" s="514">
        <f t="shared" si="177"/>
        <v>21527770</v>
      </c>
      <c r="M104" s="503">
        <f t="shared" si="165"/>
        <v>0.52847245746074079</v>
      </c>
      <c r="N104" s="305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</row>
    <row r="105" spans="1:24" ht="9" customHeight="1">
      <c r="A105" s="985"/>
      <c r="B105" s="928"/>
      <c r="C105" s="928"/>
      <c r="D105" s="928"/>
      <c r="E105" s="955"/>
      <c r="F105" s="516"/>
      <c r="G105" s="986"/>
      <c r="H105" s="928"/>
      <c r="I105" s="928"/>
      <c r="J105" s="312"/>
      <c r="K105" s="491"/>
      <c r="L105" s="596"/>
      <c r="M105" s="597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</row>
    <row r="106" spans="1:24" ht="15.75" customHeight="1">
      <c r="A106" s="1006">
        <v>1500</v>
      </c>
      <c r="B106" s="399" t="s">
        <v>29</v>
      </c>
      <c r="C106" s="399">
        <f>6920014+5000001-1800000</f>
        <v>10120015</v>
      </c>
      <c r="D106" s="598">
        <f>1670014+3200000</f>
        <v>4870014</v>
      </c>
      <c r="E106" s="453">
        <f t="shared" ref="E106:E107" si="178">D106/C106</f>
        <v>0.48122596656230254</v>
      </c>
      <c r="F106" s="427"/>
      <c r="G106" s="323">
        <f t="shared" ref="G106:H106" si="179">K106-C106</f>
        <v>100000</v>
      </c>
      <c r="H106" s="323">
        <f t="shared" si="179"/>
        <v>29492</v>
      </c>
      <c r="I106" s="599">
        <f t="shared" ref="I106:I114" si="180">H106/G106</f>
        <v>0.29492000000000002</v>
      </c>
      <c r="J106" s="427"/>
      <c r="K106" s="323">
        <f>12020015-1800000</f>
        <v>10220015</v>
      </c>
      <c r="L106" s="589">
        <v>4899506</v>
      </c>
      <c r="M106" s="381">
        <f t="shared" ref="M106:M114" si="181">L106/K106</f>
        <v>0.47940301457483186</v>
      </c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</row>
    <row r="107" spans="1:24" ht="15.75" customHeight="1">
      <c r="A107" s="1000"/>
      <c r="B107" s="178" t="s">
        <v>25</v>
      </c>
      <c r="C107" s="178">
        <f t="shared" ref="C107:D107" si="182">SUM(C106)</f>
        <v>10120015</v>
      </c>
      <c r="D107" s="431">
        <f t="shared" si="182"/>
        <v>4870014</v>
      </c>
      <c r="E107" s="457">
        <f t="shared" si="178"/>
        <v>0.48122596656230254</v>
      </c>
      <c r="F107" s="417"/>
      <c r="G107" s="178">
        <f t="shared" ref="G107:H107" si="183">SUM(G106)</f>
        <v>100000</v>
      </c>
      <c r="H107" s="178">
        <f t="shared" si="183"/>
        <v>29492</v>
      </c>
      <c r="I107" s="457">
        <f t="shared" si="180"/>
        <v>0.29492000000000002</v>
      </c>
      <c r="J107" s="417"/>
      <c r="K107" s="178">
        <f t="shared" ref="K107:L107" si="184">SUM(K106)</f>
        <v>10220015</v>
      </c>
      <c r="L107" s="431">
        <f t="shared" si="184"/>
        <v>4899506</v>
      </c>
      <c r="M107" s="418">
        <f t="shared" si="181"/>
        <v>0.47940301457483186</v>
      </c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</row>
    <row r="108" spans="1:24" ht="15.75" customHeight="1">
      <c r="A108" s="1002">
        <v>1600</v>
      </c>
      <c r="B108" s="334" t="s">
        <v>29</v>
      </c>
      <c r="C108" s="377">
        <v>0</v>
      </c>
      <c r="D108" s="590">
        <v>332</v>
      </c>
      <c r="E108" s="461">
        <v>0</v>
      </c>
      <c r="F108" s="436"/>
      <c r="G108" s="334">
        <f t="shared" ref="G108:H108" si="185">K108-C108</f>
        <v>13416785</v>
      </c>
      <c r="H108" s="334">
        <f t="shared" si="185"/>
        <v>1180105</v>
      </c>
      <c r="I108" s="461">
        <f t="shared" si="180"/>
        <v>8.7957360872966212E-2</v>
      </c>
      <c r="J108" s="436"/>
      <c r="K108" s="377">
        <v>13416785</v>
      </c>
      <c r="L108" s="590">
        <v>1180437</v>
      </c>
      <c r="M108" s="383">
        <f t="shared" si="181"/>
        <v>8.7982105996332202E-2</v>
      </c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</row>
    <row r="109" spans="1:24" ht="17.25" customHeight="1">
      <c r="A109" s="1000"/>
      <c r="B109" s="178" t="s">
        <v>25</v>
      </c>
      <c r="C109" s="178">
        <f t="shared" ref="C109:D109" si="186">SUM(C108)</f>
        <v>0</v>
      </c>
      <c r="D109" s="431">
        <f t="shared" si="186"/>
        <v>332</v>
      </c>
      <c r="E109" s="457">
        <v>0</v>
      </c>
      <c r="F109" s="417"/>
      <c r="G109" s="178">
        <f t="shared" ref="G109:H109" si="187">SUM(G108)</f>
        <v>13416785</v>
      </c>
      <c r="H109" s="178">
        <f t="shared" si="187"/>
        <v>1180105</v>
      </c>
      <c r="I109" s="457">
        <f t="shared" si="180"/>
        <v>8.7957360872966212E-2</v>
      </c>
      <c r="J109" s="417"/>
      <c r="K109" s="178">
        <f t="shared" ref="K109:L109" si="188">SUM(K108)</f>
        <v>13416785</v>
      </c>
      <c r="L109" s="431">
        <f t="shared" si="188"/>
        <v>1180437</v>
      </c>
      <c r="M109" s="418">
        <f t="shared" si="181"/>
        <v>8.7982105996332202E-2</v>
      </c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</row>
    <row r="110" spans="1:24" ht="16.5" customHeight="1">
      <c r="A110" s="999">
        <v>3300</v>
      </c>
      <c r="B110" s="334" t="s">
        <v>29</v>
      </c>
      <c r="C110" s="377">
        <v>0</v>
      </c>
      <c r="D110" s="396">
        <v>0</v>
      </c>
      <c r="E110" s="461">
        <v>0</v>
      </c>
      <c r="F110" s="436"/>
      <c r="G110" s="334">
        <f t="shared" ref="G110:H110" si="189">K110-C110</f>
        <v>1</v>
      </c>
      <c r="H110" s="334">
        <f t="shared" si="189"/>
        <v>0</v>
      </c>
      <c r="I110" s="461">
        <f t="shared" si="180"/>
        <v>0</v>
      </c>
      <c r="J110" s="436"/>
      <c r="K110" s="377">
        <v>1</v>
      </c>
      <c r="L110" s="396">
        <v>0</v>
      </c>
      <c r="M110" s="383">
        <f t="shared" si="181"/>
        <v>0</v>
      </c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</row>
    <row r="111" spans="1:24" ht="15" customHeight="1">
      <c r="A111" s="1000"/>
      <c r="B111" s="178" t="s">
        <v>25</v>
      </c>
      <c r="C111" s="178">
        <f t="shared" ref="C111:D111" si="190">SUM(C110)</f>
        <v>0</v>
      </c>
      <c r="D111" s="431">
        <f t="shared" si="190"/>
        <v>0</v>
      </c>
      <c r="E111" s="457">
        <v>0</v>
      </c>
      <c r="F111" s="417"/>
      <c r="G111" s="178">
        <f t="shared" ref="G111:H111" si="191">SUM(G110)</f>
        <v>1</v>
      </c>
      <c r="H111" s="178">
        <f t="shared" si="191"/>
        <v>0</v>
      </c>
      <c r="I111" s="461">
        <f t="shared" si="180"/>
        <v>0</v>
      </c>
      <c r="J111" s="417"/>
      <c r="K111" s="178">
        <f t="shared" ref="K111:L111" si="192">SUM(K110)</f>
        <v>1</v>
      </c>
      <c r="L111" s="431">
        <f t="shared" si="192"/>
        <v>0</v>
      </c>
      <c r="M111" s="383">
        <f t="shared" si="181"/>
        <v>0</v>
      </c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</row>
    <row r="112" spans="1:24" ht="15" customHeight="1">
      <c r="A112" s="999">
        <v>4200</v>
      </c>
      <c r="B112" s="334" t="s">
        <v>29</v>
      </c>
      <c r="C112" s="600">
        <v>0</v>
      </c>
      <c r="D112" s="590">
        <v>0</v>
      </c>
      <c r="E112" s="461">
        <v>0</v>
      </c>
      <c r="F112" s="436"/>
      <c r="G112" s="334">
        <f t="shared" ref="G112:H112" si="193">K112-C112</f>
        <v>10000</v>
      </c>
      <c r="H112" s="334">
        <f t="shared" si="193"/>
        <v>647</v>
      </c>
      <c r="I112" s="461">
        <f t="shared" si="180"/>
        <v>6.4699999999999994E-2</v>
      </c>
      <c r="J112" s="436"/>
      <c r="K112" s="377">
        <v>10000</v>
      </c>
      <c r="L112" s="396">
        <v>647</v>
      </c>
      <c r="M112" s="383">
        <f t="shared" si="181"/>
        <v>6.4699999999999994E-2</v>
      </c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</row>
    <row r="113" spans="1:24" ht="16.5" customHeight="1">
      <c r="A113" s="1000"/>
      <c r="B113" s="357" t="s">
        <v>25</v>
      </c>
      <c r="C113" s="357">
        <f t="shared" ref="C113:D113" si="194">SUM(C112)</f>
        <v>0</v>
      </c>
      <c r="D113" s="398">
        <f t="shared" si="194"/>
        <v>0</v>
      </c>
      <c r="E113" s="464">
        <v>0</v>
      </c>
      <c r="F113" s="441"/>
      <c r="G113" s="357">
        <f t="shared" ref="G113:H113" si="195">SUM(G112)</f>
        <v>10000</v>
      </c>
      <c r="H113" s="357">
        <f t="shared" si="195"/>
        <v>647</v>
      </c>
      <c r="I113" s="601">
        <f t="shared" si="180"/>
        <v>6.4699999999999994E-2</v>
      </c>
      <c r="J113" s="417"/>
      <c r="K113" s="357">
        <f t="shared" ref="K113:L113" si="196">SUM(K112)</f>
        <v>10000</v>
      </c>
      <c r="L113" s="398">
        <f t="shared" si="196"/>
        <v>647</v>
      </c>
      <c r="M113" s="512">
        <f t="shared" si="181"/>
        <v>6.4699999999999994E-2</v>
      </c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</row>
    <row r="114" spans="1:24" ht="17.25" customHeight="1">
      <c r="A114" s="442"/>
      <c r="B114" s="523" t="s">
        <v>120</v>
      </c>
      <c r="C114" s="198">
        <f t="shared" ref="C114:D114" si="197">C107+C109+C111+C113</f>
        <v>10120015</v>
      </c>
      <c r="D114" s="198">
        <f t="shared" si="197"/>
        <v>4870346</v>
      </c>
      <c r="E114" s="237">
        <f>D114/C114</f>
        <v>0.48125877283778729</v>
      </c>
      <c r="F114" s="446"/>
      <c r="G114" s="198">
        <f t="shared" ref="G114:H114" si="198">G107+G109+G111+G113</f>
        <v>13526786</v>
      </c>
      <c r="H114" s="198">
        <f t="shared" si="198"/>
        <v>1210244</v>
      </c>
      <c r="I114" s="237">
        <f t="shared" si="180"/>
        <v>8.9470181608550622E-2</v>
      </c>
      <c r="J114" s="421"/>
      <c r="K114" s="447">
        <f t="shared" ref="K114:L114" si="199">K107+K109+K111+K113</f>
        <v>23646801</v>
      </c>
      <c r="L114" s="563">
        <f t="shared" si="199"/>
        <v>6080590</v>
      </c>
      <c r="M114" s="448">
        <f t="shared" si="181"/>
        <v>0.25714218172682218</v>
      </c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</row>
    <row r="115" spans="1:24" ht="8.25" customHeight="1">
      <c r="A115" s="985"/>
      <c r="B115" s="928"/>
      <c r="C115" s="928"/>
      <c r="D115" s="928"/>
      <c r="E115" s="928"/>
      <c r="F115" s="312"/>
      <c r="G115" s="986"/>
      <c r="H115" s="928"/>
      <c r="I115" s="928"/>
      <c r="J115" s="312"/>
      <c r="K115" s="491"/>
      <c r="L115" s="348"/>
      <c r="M115" s="602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</row>
    <row r="116" spans="1:24" ht="13.5" customHeight="1">
      <c r="A116" s="310" t="s">
        <v>23</v>
      </c>
      <c r="B116" s="450" t="s">
        <v>7</v>
      </c>
      <c r="C116" s="168" t="s">
        <v>148</v>
      </c>
      <c r="D116" s="169" t="s">
        <v>149</v>
      </c>
      <c r="E116" s="450" t="s">
        <v>150</v>
      </c>
      <c r="F116" s="386"/>
      <c r="G116" s="305"/>
      <c r="H116" s="305"/>
      <c r="I116" s="305"/>
      <c r="J116" s="386"/>
      <c r="K116" s="494"/>
      <c r="L116" s="305"/>
      <c r="M116" s="524"/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</row>
    <row r="117" spans="1:24" ht="17.25" customHeight="1">
      <c r="A117" s="994">
        <v>3000</v>
      </c>
      <c r="B117" s="603" t="s">
        <v>23</v>
      </c>
      <c r="C117" s="323">
        <v>1093000</v>
      </c>
      <c r="D117" s="394">
        <v>0</v>
      </c>
      <c r="E117" s="453">
        <f t="shared" ref="E117:E121" si="200">D117/C117</f>
        <v>0</v>
      </c>
      <c r="F117" s="327"/>
      <c r="G117" s="305"/>
      <c r="H117" s="305"/>
      <c r="I117" s="246"/>
      <c r="J117" s="201"/>
      <c r="K117" s="525" t="s">
        <v>151</v>
      </c>
      <c r="L117" s="455" t="s">
        <v>152</v>
      </c>
      <c r="M117" s="450" t="s">
        <v>150</v>
      </c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</row>
    <row r="118" spans="1:24" ht="15" customHeight="1">
      <c r="A118" s="950"/>
      <c r="B118" s="179" t="s">
        <v>25</v>
      </c>
      <c r="C118" s="178">
        <f t="shared" ref="C118:D118" si="201">SUM(C117)</f>
        <v>1093000</v>
      </c>
      <c r="D118" s="431">
        <f t="shared" si="201"/>
        <v>0</v>
      </c>
      <c r="E118" s="457">
        <f t="shared" si="200"/>
        <v>0</v>
      </c>
      <c r="F118" s="343"/>
      <c r="G118" s="305"/>
      <c r="H118" s="198" t="s">
        <v>153</v>
      </c>
      <c r="I118" s="458"/>
      <c r="J118" s="201"/>
      <c r="K118" s="520">
        <f t="shared" ref="K118:L118" si="202">K104+K114+C121</f>
        <v>68635642</v>
      </c>
      <c r="L118" s="460">
        <f t="shared" si="202"/>
        <v>27608360</v>
      </c>
      <c r="M118" s="448">
        <f>L118/K118</f>
        <v>0.40224523579163141</v>
      </c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</row>
    <row r="119" spans="1:24" ht="14.25" customHeight="1">
      <c r="A119" s="994">
        <v>5300</v>
      </c>
      <c r="B119" s="179" t="s">
        <v>23</v>
      </c>
      <c r="C119" s="334">
        <v>3160000</v>
      </c>
      <c r="D119" s="396">
        <v>0</v>
      </c>
      <c r="E119" s="461">
        <f t="shared" si="200"/>
        <v>0</v>
      </c>
      <c r="F119" s="327"/>
      <c r="G119" s="305"/>
      <c r="H119" s="305"/>
      <c r="I119" s="305"/>
      <c r="J119" s="350"/>
      <c r="K119" s="526"/>
      <c r="L119" s="527"/>
      <c r="M119" s="528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</row>
    <row r="120" spans="1:24" ht="15.75" customHeight="1">
      <c r="A120" s="950"/>
      <c r="B120" s="184" t="s">
        <v>25</v>
      </c>
      <c r="C120" s="183">
        <f t="shared" ref="C120:D120" si="203">SUM(C119)</f>
        <v>3160000</v>
      </c>
      <c r="D120" s="604">
        <f t="shared" si="203"/>
        <v>0</v>
      </c>
      <c r="E120" s="464">
        <f t="shared" si="200"/>
        <v>0</v>
      </c>
      <c r="F120" s="343"/>
      <c r="G120" s="305"/>
      <c r="H120" s="305"/>
      <c r="I120" s="305"/>
      <c r="J120" s="350"/>
      <c r="K120" s="494"/>
      <c r="L120" s="305"/>
      <c r="M120" s="524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</row>
    <row r="121" spans="1:24" ht="15.75" customHeight="1">
      <c r="A121" s="523"/>
      <c r="B121" s="605" t="s">
        <v>121</v>
      </c>
      <c r="C121" s="198">
        <f t="shared" ref="C121:D121" si="204">C117+C120</f>
        <v>4253000</v>
      </c>
      <c r="D121" s="198">
        <f t="shared" si="204"/>
        <v>0</v>
      </c>
      <c r="E121" s="237">
        <f t="shared" si="200"/>
        <v>0</v>
      </c>
      <c r="F121" s="467"/>
      <c r="G121" s="532"/>
      <c r="H121" s="458"/>
      <c r="I121" s="458"/>
      <c r="J121" s="468"/>
      <c r="K121" s="532"/>
      <c r="L121" s="458"/>
      <c r="M121" s="469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</row>
    <row r="122" spans="1:24" ht="15.75" customHeight="1">
      <c r="A122" s="245"/>
      <c r="B122" s="246"/>
      <c r="C122" s="305"/>
      <c r="D122" s="305"/>
      <c r="E122" s="305"/>
      <c r="F122" s="305"/>
      <c r="G122" s="305"/>
      <c r="H122" s="305"/>
      <c r="I122" s="305"/>
      <c r="J122" s="305"/>
      <c r="K122" s="246"/>
      <c r="L122" s="246"/>
      <c r="M122" s="470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</row>
    <row r="123" spans="1:24" ht="15.75" customHeight="1">
      <c r="A123" s="606" t="s">
        <v>174</v>
      </c>
      <c r="B123" s="607" t="s">
        <v>7</v>
      </c>
      <c r="C123" s="608" t="s">
        <v>92</v>
      </c>
      <c r="D123" s="608" t="str">
        <f>H3</f>
        <v>Actual Exp. up to Oct -2021</v>
      </c>
      <c r="E123" s="608" t="s">
        <v>176</v>
      </c>
      <c r="F123" s="299"/>
      <c r="G123" s="608" t="s">
        <v>177</v>
      </c>
      <c r="H123" s="305"/>
      <c r="I123" s="305"/>
      <c r="J123" s="305"/>
      <c r="K123" s="305"/>
      <c r="L123" s="305"/>
      <c r="M123" s="305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</row>
    <row r="124" spans="1:24" ht="15.75" customHeight="1">
      <c r="A124" s="606"/>
      <c r="B124" s="606"/>
      <c r="C124" s="296" t="s">
        <v>19</v>
      </c>
      <c r="D124" s="296" t="s">
        <v>19</v>
      </c>
      <c r="E124" s="296" t="s">
        <v>19</v>
      </c>
      <c r="F124" s="299"/>
      <c r="G124" s="296" t="s">
        <v>19</v>
      </c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</row>
    <row r="125" spans="1:24" ht="15.75" customHeight="1">
      <c r="A125" s="298" t="s">
        <v>109</v>
      </c>
      <c r="B125" s="297" t="s">
        <v>21</v>
      </c>
      <c r="C125" s="299">
        <v>9819593</v>
      </c>
      <c r="D125" s="609">
        <v>2571230</v>
      </c>
      <c r="E125" s="609">
        <v>7778639</v>
      </c>
      <c r="F125" s="299"/>
      <c r="G125" s="609">
        <v>8363261</v>
      </c>
      <c r="H125" s="305"/>
      <c r="I125" s="610"/>
      <c r="J125" s="305"/>
      <c r="K125" s="610"/>
      <c r="L125" s="610"/>
      <c r="M125" s="610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</row>
    <row r="126" spans="1:24" ht="15.75" customHeight="1">
      <c r="A126" s="297" t="s">
        <v>110</v>
      </c>
      <c r="B126" s="297" t="s">
        <v>21</v>
      </c>
      <c r="C126" s="299">
        <v>6871037</v>
      </c>
      <c r="D126" s="609">
        <v>3723555</v>
      </c>
      <c r="E126" s="609">
        <v>6455216</v>
      </c>
      <c r="F126" s="299"/>
      <c r="G126" s="609">
        <v>6651641</v>
      </c>
      <c r="H126" s="305"/>
      <c r="I126" s="305"/>
      <c r="J126" s="305"/>
      <c r="K126" s="610"/>
      <c r="L126" s="610"/>
      <c r="M126" s="610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</row>
    <row r="127" spans="1:24" ht="15.75" customHeight="1">
      <c r="A127" s="297" t="s">
        <v>111</v>
      </c>
      <c r="B127" s="297" t="s">
        <v>21</v>
      </c>
      <c r="C127" s="299">
        <v>20000</v>
      </c>
      <c r="D127" s="609">
        <v>400863</v>
      </c>
      <c r="E127" s="609">
        <v>970000</v>
      </c>
      <c r="F127" s="297"/>
      <c r="G127" s="609">
        <v>52000</v>
      </c>
      <c r="H127" s="305"/>
      <c r="I127" s="305"/>
      <c r="J127" s="305"/>
      <c r="K127" s="610"/>
      <c r="L127" s="610"/>
      <c r="M127" s="610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</row>
    <row r="128" spans="1:24" ht="15.75" customHeight="1">
      <c r="A128" s="298"/>
      <c r="B128" s="297" t="s">
        <v>25</v>
      </c>
      <c r="C128" s="297">
        <f t="shared" ref="C128:E128" si="205">SUM(C125:C127)</f>
        <v>16710630</v>
      </c>
      <c r="D128" s="297">
        <f t="shared" si="205"/>
        <v>6695648</v>
      </c>
      <c r="E128" s="297">
        <f t="shared" si="205"/>
        <v>15203855</v>
      </c>
      <c r="F128" s="297"/>
      <c r="G128" s="297">
        <f>SUM(G125:G127)</f>
        <v>15066902</v>
      </c>
      <c r="H128" s="305"/>
      <c r="I128" s="305"/>
      <c r="J128" s="305"/>
      <c r="K128" s="610"/>
      <c r="L128" s="610"/>
      <c r="M128" s="610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</row>
    <row r="129" spans="1:24" ht="15.75" customHeight="1">
      <c r="A129" s="298" t="s">
        <v>79</v>
      </c>
      <c r="B129" s="297"/>
      <c r="C129" s="299"/>
      <c r="D129" s="299"/>
      <c r="E129" s="299"/>
      <c r="F129" s="297"/>
      <c r="G129" s="299"/>
      <c r="H129" s="305"/>
      <c r="I129" s="305"/>
      <c r="J129" s="305"/>
      <c r="K129" s="610"/>
      <c r="L129" s="610"/>
      <c r="M129" s="610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</row>
    <row r="130" spans="1:24" ht="15.75" customHeight="1">
      <c r="A130" s="298" t="s">
        <v>109</v>
      </c>
      <c r="B130" s="297" t="s">
        <v>21</v>
      </c>
      <c r="C130" s="299">
        <v>9905586</v>
      </c>
      <c r="D130" s="609">
        <v>2339123</v>
      </c>
      <c r="E130" s="609">
        <v>7439698</v>
      </c>
      <c r="F130" s="297"/>
      <c r="G130" s="609">
        <v>8101999</v>
      </c>
      <c r="H130" s="305"/>
      <c r="I130" s="305"/>
      <c r="J130" s="305"/>
      <c r="K130" s="610"/>
      <c r="L130" s="610"/>
      <c r="M130" s="610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</row>
    <row r="131" spans="1:24" ht="15.75" customHeight="1">
      <c r="A131" s="297" t="s">
        <v>110</v>
      </c>
      <c r="B131" s="297" t="s">
        <v>21</v>
      </c>
      <c r="C131" s="299">
        <v>6941037</v>
      </c>
      <c r="D131" s="609">
        <v>3272468</v>
      </c>
      <c r="E131" s="609">
        <v>6975049</v>
      </c>
      <c r="F131" s="297"/>
      <c r="G131" s="609">
        <v>6892665</v>
      </c>
      <c r="H131" s="305"/>
      <c r="I131" s="305"/>
      <c r="J131" s="305"/>
      <c r="K131" s="610"/>
      <c r="L131" s="610"/>
      <c r="M131" s="610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</row>
    <row r="132" spans="1:24" ht="15.75" customHeight="1">
      <c r="A132" s="297" t="s">
        <v>111</v>
      </c>
      <c r="B132" s="297" t="s">
        <v>21</v>
      </c>
      <c r="C132" s="299">
        <v>20000</v>
      </c>
      <c r="D132" s="299">
        <v>0</v>
      </c>
      <c r="E132" s="609">
        <v>240000</v>
      </c>
      <c r="F132" s="295"/>
      <c r="G132" s="609">
        <v>520000</v>
      </c>
      <c r="H132" s="305"/>
      <c r="I132" s="305"/>
      <c r="J132" s="305"/>
      <c r="K132" s="610"/>
      <c r="L132" s="610"/>
      <c r="M132" s="610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</row>
    <row r="133" spans="1:24" ht="15.75" customHeight="1">
      <c r="A133" s="298"/>
      <c r="B133" s="297" t="s">
        <v>25</v>
      </c>
      <c r="C133" s="297">
        <f t="shared" ref="C133:E133" si="206">SUM(C130:C132)</f>
        <v>16866623</v>
      </c>
      <c r="D133" s="297">
        <f t="shared" si="206"/>
        <v>5611591</v>
      </c>
      <c r="E133" s="297">
        <f t="shared" si="206"/>
        <v>14654747</v>
      </c>
      <c r="F133" s="295"/>
      <c r="G133" s="297">
        <f>SUM(G130:G132)</f>
        <v>15514664</v>
      </c>
      <c r="H133" s="305"/>
      <c r="I133" s="305"/>
      <c r="J133" s="305"/>
      <c r="K133" s="610"/>
      <c r="L133" s="610"/>
      <c r="M133" s="610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</row>
    <row r="134" spans="1:24" ht="15.75" customHeight="1">
      <c r="A134" s="298"/>
      <c r="B134" s="297" t="s">
        <v>83</v>
      </c>
      <c r="C134" s="297">
        <f t="shared" ref="C134:E134" si="207">C128-C133</f>
        <v>-155993</v>
      </c>
      <c r="D134" s="297">
        <f t="shared" si="207"/>
        <v>1084057</v>
      </c>
      <c r="E134" s="297">
        <f t="shared" si="207"/>
        <v>549108</v>
      </c>
      <c r="F134" s="297"/>
      <c r="G134" s="297">
        <f>G128-G133</f>
        <v>-447762</v>
      </c>
      <c r="H134" s="305"/>
      <c r="I134" s="305"/>
      <c r="J134" s="305"/>
      <c r="K134" s="610"/>
      <c r="L134" s="610"/>
      <c r="M134" s="610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</row>
    <row r="135" spans="1:24" ht="15.75" customHeight="1">
      <c r="A135" s="300" t="s">
        <v>178</v>
      </c>
      <c r="B135" s="611"/>
      <c r="C135" s="302"/>
      <c r="D135" s="302"/>
      <c r="E135" s="302"/>
      <c r="F135" s="299"/>
      <c r="G135" s="302"/>
      <c r="H135" s="305"/>
      <c r="I135" s="305"/>
      <c r="J135" s="305"/>
      <c r="K135" s="610"/>
      <c r="L135" s="610"/>
      <c r="M135" s="610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</row>
    <row r="136" spans="1:24" ht="15.75" customHeight="1">
      <c r="A136" s="612" t="s">
        <v>117</v>
      </c>
      <c r="B136" s="613" t="s">
        <v>184</v>
      </c>
      <c r="C136" s="609">
        <v>0</v>
      </c>
      <c r="D136" s="609">
        <v>5216</v>
      </c>
      <c r="E136" s="609">
        <v>5216</v>
      </c>
      <c r="F136" s="299"/>
      <c r="G136" s="609">
        <v>0</v>
      </c>
      <c r="H136" s="305"/>
      <c r="I136" s="305"/>
      <c r="J136" s="305"/>
      <c r="K136" s="610"/>
      <c r="L136" s="610"/>
      <c r="M136" s="610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</row>
    <row r="137" spans="1:24" ht="15.75" customHeight="1">
      <c r="A137" s="298" t="s">
        <v>118</v>
      </c>
      <c r="B137" s="297" t="s">
        <v>28</v>
      </c>
      <c r="C137" s="299">
        <v>0</v>
      </c>
      <c r="D137" s="609">
        <v>86172</v>
      </c>
      <c r="E137" s="299">
        <v>0</v>
      </c>
      <c r="F137" s="299"/>
      <c r="G137" s="299">
        <v>0</v>
      </c>
      <c r="H137" s="305"/>
      <c r="I137" s="305"/>
      <c r="J137" s="305"/>
      <c r="K137" s="610"/>
      <c r="L137" s="610"/>
      <c r="M137" s="610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</row>
    <row r="138" spans="1:24" ht="15.75" customHeight="1">
      <c r="A138" s="298" t="s">
        <v>112</v>
      </c>
      <c r="B138" s="297" t="s">
        <v>32</v>
      </c>
      <c r="C138" s="299">
        <v>293605</v>
      </c>
      <c r="D138" s="609">
        <v>413844</v>
      </c>
      <c r="E138" s="609">
        <v>383887</v>
      </c>
      <c r="F138" s="299"/>
      <c r="G138" s="609">
        <v>239956</v>
      </c>
      <c r="H138" s="305"/>
      <c r="I138" s="305"/>
      <c r="J138" s="305"/>
      <c r="K138" s="610"/>
      <c r="L138" s="610"/>
      <c r="M138" s="610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</row>
    <row r="139" spans="1:24" ht="15.75" customHeight="1">
      <c r="A139" s="298"/>
      <c r="B139" s="614" t="s">
        <v>185</v>
      </c>
      <c r="C139" s="299">
        <v>0</v>
      </c>
      <c r="D139" s="299">
        <v>5217</v>
      </c>
      <c r="E139" s="299">
        <v>0</v>
      </c>
      <c r="F139" s="299"/>
      <c r="G139" s="299">
        <v>0</v>
      </c>
      <c r="H139" s="305"/>
      <c r="I139" s="305"/>
      <c r="J139" s="305"/>
      <c r="K139" s="610"/>
      <c r="L139" s="610"/>
      <c r="M139" s="610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</row>
    <row r="140" spans="1:24" ht="15.75" customHeight="1">
      <c r="A140" s="297"/>
      <c r="B140" s="615" t="s">
        <v>144</v>
      </c>
      <c r="C140" s="299">
        <v>0</v>
      </c>
      <c r="D140" s="609">
        <v>1253</v>
      </c>
      <c r="E140" s="299">
        <v>0</v>
      </c>
      <c r="F140" s="299"/>
      <c r="G140" s="299">
        <v>0</v>
      </c>
      <c r="H140" s="305"/>
      <c r="I140" s="305"/>
      <c r="J140" s="305"/>
      <c r="K140" s="610"/>
      <c r="L140" s="610"/>
      <c r="M140" s="610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</row>
    <row r="141" spans="1:24" ht="15.75" customHeight="1">
      <c r="A141" s="297"/>
      <c r="B141" s="299"/>
      <c r="C141" s="299">
        <f t="shared" ref="C141:D141" si="208">SUM(C137:C140)</f>
        <v>293605</v>
      </c>
      <c r="D141" s="299">
        <f t="shared" si="208"/>
        <v>506486</v>
      </c>
      <c r="E141" s="299">
        <f>SUM(E136:E140)</f>
        <v>389103</v>
      </c>
      <c r="F141" s="299"/>
      <c r="G141" s="299">
        <f>SUM(G136:G140)</f>
        <v>239956</v>
      </c>
      <c r="H141" s="305"/>
      <c r="I141" s="305"/>
      <c r="J141" s="305"/>
      <c r="K141" s="610"/>
      <c r="L141" s="610"/>
      <c r="M141" s="610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</row>
    <row r="142" spans="1:24" ht="15.75" customHeight="1">
      <c r="A142" s="299"/>
      <c r="B142" s="613" t="s">
        <v>186</v>
      </c>
      <c r="C142" s="297">
        <f t="shared" ref="C142:E142" si="209">C133+C141</f>
        <v>17160228</v>
      </c>
      <c r="D142" s="297">
        <f t="shared" si="209"/>
        <v>6118077</v>
      </c>
      <c r="E142" s="297">
        <f t="shared" si="209"/>
        <v>15043850</v>
      </c>
      <c r="F142" s="297"/>
      <c r="G142" s="297">
        <f>G133+G141</f>
        <v>15754620</v>
      </c>
      <c r="H142" s="305"/>
      <c r="I142" s="305"/>
      <c r="J142" s="305"/>
      <c r="K142" s="610"/>
      <c r="L142" s="610"/>
      <c r="M142" s="610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</row>
    <row r="143" spans="1:24" ht="15.75" customHeight="1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610"/>
      <c r="L143" s="610"/>
      <c r="M143" s="610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</row>
    <row r="144" spans="1:24" ht="15.75" customHeight="1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610"/>
      <c r="L144" s="610"/>
      <c r="M144" s="610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</row>
    <row r="145" spans="1:24" ht="15.75" customHeight="1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610"/>
      <c r="L145" s="610"/>
      <c r="M145" s="610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</row>
    <row r="146" spans="1:24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</row>
    <row r="147" spans="1:24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</row>
    <row r="148" spans="1:24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</row>
    <row r="149" spans="1:24" ht="15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</row>
    <row r="150" spans="1:24" ht="15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</row>
    <row r="151" spans="1:24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</row>
    <row r="152" spans="1:24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</row>
    <row r="153" spans="1:24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</row>
    <row r="154" spans="1:24" ht="15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</row>
    <row r="155" spans="1:24" ht="15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</row>
    <row r="156" spans="1:24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</row>
    <row r="157" spans="1:24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</row>
    <row r="158" spans="1:24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</row>
    <row r="159" spans="1:24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</row>
    <row r="160" spans="1:24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</row>
    <row r="161" spans="1:24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</row>
    <row r="162" spans="1:24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</row>
    <row r="163" spans="1:24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</row>
    <row r="164" spans="1:24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</row>
    <row r="165" spans="1:24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</row>
    <row r="166" spans="1:24" ht="15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</row>
    <row r="167" spans="1:24" ht="15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</row>
    <row r="168" spans="1:24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</row>
    <row r="169" spans="1:24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</row>
    <row r="170" spans="1:24" ht="15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</row>
    <row r="171" spans="1:24" ht="15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</row>
    <row r="172" spans="1:24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</row>
    <row r="173" spans="1:24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</row>
    <row r="174" spans="1:24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</row>
    <row r="175" spans="1:24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</row>
    <row r="176" spans="1:24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</row>
    <row r="177" spans="1:24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</row>
    <row r="178" spans="1:24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</row>
    <row r="179" spans="1:24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</row>
    <row r="180" spans="1:24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</row>
    <row r="181" spans="1:24" ht="15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</row>
    <row r="182" spans="1:24" ht="15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</row>
    <row r="183" spans="1:24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</row>
    <row r="184" spans="1:24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</row>
    <row r="185" spans="1:24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</row>
    <row r="186" spans="1:24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</row>
    <row r="187" spans="1:24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</row>
    <row r="188" spans="1:24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</row>
    <row r="189" spans="1:24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</row>
    <row r="190" spans="1:24" ht="15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</row>
    <row r="191" spans="1:24" ht="15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</row>
    <row r="192" spans="1:24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</row>
    <row r="193" spans="1:24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</row>
    <row r="194" spans="1:24" ht="15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</row>
    <row r="195" spans="1:24" ht="15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</row>
    <row r="196" spans="1:24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</row>
    <row r="197" spans="1:24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</row>
    <row r="198" spans="1:24" ht="15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</row>
    <row r="199" spans="1:24" ht="15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</row>
    <row r="200" spans="1:24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</row>
    <row r="201" spans="1:24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</row>
    <row r="202" spans="1:24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</row>
    <row r="203" spans="1:24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</row>
    <row r="204" spans="1:24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</row>
    <row r="205" spans="1:24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</row>
    <row r="206" spans="1:24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</row>
    <row r="207" spans="1:24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</row>
    <row r="208" spans="1:24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</row>
    <row r="209" spans="1:24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</row>
    <row r="210" spans="1:24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</row>
    <row r="211" spans="1:24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</row>
    <row r="212" spans="1:24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</row>
    <row r="213" spans="1:24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</row>
    <row r="214" spans="1:24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</row>
    <row r="215" spans="1:24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</row>
    <row r="216" spans="1:24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</row>
    <row r="217" spans="1:24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</row>
    <row r="218" spans="1:24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</row>
    <row r="219" spans="1:24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</row>
    <row r="220" spans="1:24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</row>
    <row r="221" spans="1:24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</row>
    <row r="222" spans="1:24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</row>
    <row r="223" spans="1:24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</row>
    <row r="224" spans="1:24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</row>
    <row r="225" spans="1:24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</row>
    <row r="226" spans="1:24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</row>
    <row r="227" spans="1:24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</row>
    <row r="228" spans="1:24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</row>
    <row r="229" spans="1:24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</row>
    <row r="230" spans="1:24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</row>
    <row r="231" spans="1:24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</row>
    <row r="232" spans="1:24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</row>
    <row r="233" spans="1:24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</row>
    <row r="234" spans="1:24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</row>
    <row r="235" spans="1:24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</row>
    <row r="236" spans="1:24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</row>
    <row r="237" spans="1:24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</row>
    <row r="238" spans="1:24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</row>
    <row r="239" spans="1:24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</row>
    <row r="240" spans="1:24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</row>
    <row r="241" spans="1:24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</row>
    <row r="242" spans="1:24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</row>
    <row r="243" spans="1:24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</row>
    <row r="244" spans="1:24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</row>
    <row r="245" spans="1:24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</row>
    <row r="246" spans="1:24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</row>
    <row r="247" spans="1:24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</row>
    <row r="248" spans="1:24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</row>
    <row r="249" spans="1:24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</row>
    <row r="250" spans="1:24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</row>
    <row r="251" spans="1:24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</row>
    <row r="252" spans="1:24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</row>
    <row r="253" spans="1:24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</row>
    <row r="254" spans="1:24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</row>
    <row r="255" spans="1:24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</row>
    <row r="256" spans="1:24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</row>
    <row r="257" spans="1:24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</row>
    <row r="258" spans="1:24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</row>
    <row r="259" spans="1:24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</row>
    <row r="260" spans="1:24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</row>
    <row r="261" spans="1:24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</row>
    <row r="262" spans="1:24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</row>
    <row r="263" spans="1:24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</row>
    <row r="264" spans="1:24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</row>
    <row r="265" spans="1:24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</row>
    <row r="266" spans="1:24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</row>
    <row r="267" spans="1:24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</row>
    <row r="268" spans="1:24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</row>
    <row r="269" spans="1:24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</row>
    <row r="270" spans="1:24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</row>
    <row r="271" spans="1:24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</row>
    <row r="272" spans="1:24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</row>
    <row r="273" spans="1:24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</row>
    <row r="274" spans="1:24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</row>
    <row r="275" spans="1:24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</row>
    <row r="276" spans="1:24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</row>
    <row r="277" spans="1:24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</row>
    <row r="278" spans="1:24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</row>
    <row r="279" spans="1:24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</row>
    <row r="280" spans="1:24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</row>
    <row r="281" spans="1:24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</row>
    <row r="282" spans="1:24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</row>
    <row r="283" spans="1:24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</row>
    <row r="284" spans="1:24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</row>
    <row r="285" spans="1:24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</row>
    <row r="286" spans="1:24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</row>
    <row r="287" spans="1:24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</row>
    <row r="288" spans="1:24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</row>
    <row r="289" spans="1:24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</row>
    <row r="290" spans="1:24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</row>
    <row r="291" spans="1:24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</row>
    <row r="292" spans="1:24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</row>
    <row r="293" spans="1:24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</row>
    <row r="294" spans="1:24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</row>
    <row r="295" spans="1:24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</row>
    <row r="296" spans="1:24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</row>
    <row r="297" spans="1:24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</row>
    <row r="298" spans="1:24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</row>
    <row r="299" spans="1:24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</row>
    <row r="300" spans="1:24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</row>
    <row r="301" spans="1:24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</row>
    <row r="302" spans="1:24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</row>
    <row r="303" spans="1:24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</row>
    <row r="304" spans="1:24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</row>
    <row r="305" spans="1:24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</row>
    <row r="306" spans="1:24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</row>
    <row r="307" spans="1:24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</row>
    <row r="308" spans="1:24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</row>
    <row r="309" spans="1:24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</row>
    <row r="310" spans="1:24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</row>
    <row r="311" spans="1:24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</row>
    <row r="312" spans="1:24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</row>
    <row r="313" spans="1:24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</row>
    <row r="314" spans="1:24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</row>
    <row r="315" spans="1:24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</row>
    <row r="316" spans="1:24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</row>
    <row r="317" spans="1:24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</row>
    <row r="318" spans="1:24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</row>
    <row r="319" spans="1:24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</row>
    <row r="320" spans="1:24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</row>
    <row r="321" spans="1:24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</row>
    <row r="322" spans="1:24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</row>
    <row r="323" spans="1:24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</row>
    <row r="324" spans="1:24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</row>
    <row r="325" spans="1:24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</row>
    <row r="326" spans="1:24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</row>
    <row r="327" spans="1:24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</row>
    <row r="328" spans="1:24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</row>
    <row r="329" spans="1:24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</row>
    <row r="330" spans="1:24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</row>
    <row r="331" spans="1:24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</row>
    <row r="332" spans="1:24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</row>
    <row r="333" spans="1:24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</row>
    <row r="334" spans="1:24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</row>
    <row r="335" spans="1:24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</row>
    <row r="336" spans="1:24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</row>
    <row r="337" spans="1:24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</row>
    <row r="338" spans="1:24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</row>
    <row r="339" spans="1:24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</row>
    <row r="340" spans="1:24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</row>
    <row r="341" spans="1:24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</row>
    <row r="342" spans="1:24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</row>
    <row r="343" spans="1:24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</row>
    <row r="344" spans="1:24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</row>
    <row r="345" spans="1:24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</row>
    <row r="346" spans="1:24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</row>
    <row r="347" spans="1:24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</row>
    <row r="348" spans="1:24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</row>
    <row r="349" spans="1:24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</row>
    <row r="350" spans="1:24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</row>
    <row r="351" spans="1:24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</row>
    <row r="352" spans="1:24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</row>
    <row r="353" spans="1:24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</row>
    <row r="354" spans="1:24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</row>
    <row r="355" spans="1:24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</row>
    <row r="356" spans="1:24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</row>
    <row r="357" spans="1:24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</row>
    <row r="358" spans="1:24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</row>
    <row r="359" spans="1:24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</row>
    <row r="360" spans="1:24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</row>
    <row r="361" spans="1:24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</row>
    <row r="362" spans="1:24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</row>
    <row r="363" spans="1:24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</row>
    <row r="364" spans="1:24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</row>
    <row r="365" spans="1:24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</row>
    <row r="366" spans="1:24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</row>
    <row r="367" spans="1:24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</row>
    <row r="368" spans="1:24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</row>
    <row r="369" spans="1:24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</row>
    <row r="370" spans="1:24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</row>
    <row r="371" spans="1:24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</row>
    <row r="372" spans="1:24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</row>
    <row r="373" spans="1:24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</row>
    <row r="374" spans="1:24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</row>
    <row r="375" spans="1:24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</row>
    <row r="376" spans="1:24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</row>
    <row r="377" spans="1:24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</row>
    <row r="378" spans="1:24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</row>
    <row r="379" spans="1:24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</row>
    <row r="380" spans="1:24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</row>
    <row r="381" spans="1:24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</row>
    <row r="382" spans="1:24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</row>
    <row r="383" spans="1:24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</row>
    <row r="384" spans="1:24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</row>
    <row r="385" spans="1:24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</row>
    <row r="386" spans="1:24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</row>
    <row r="387" spans="1:24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</row>
    <row r="388" spans="1:24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</row>
    <row r="389" spans="1:24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</row>
    <row r="390" spans="1:24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</row>
    <row r="391" spans="1:24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</row>
    <row r="392" spans="1:24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</row>
    <row r="393" spans="1:24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</row>
    <row r="394" spans="1:24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</row>
    <row r="395" spans="1:24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</row>
    <row r="396" spans="1:24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</row>
    <row r="397" spans="1:24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</row>
    <row r="398" spans="1:24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</row>
    <row r="399" spans="1:24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</row>
    <row r="400" spans="1:24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</row>
    <row r="401" spans="1:24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</row>
    <row r="402" spans="1:24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</row>
    <row r="403" spans="1:24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</row>
    <row r="404" spans="1:24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</row>
    <row r="405" spans="1:24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</row>
    <row r="406" spans="1:24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</row>
    <row r="407" spans="1:24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</row>
    <row r="408" spans="1:24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</row>
    <row r="409" spans="1:24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</row>
    <row r="410" spans="1:24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</row>
    <row r="411" spans="1:24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</row>
    <row r="412" spans="1:24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</row>
    <row r="413" spans="1:24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</row>
    <row r="414" spans="1:24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</row>
    <row r="415" spans="1:24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</row>
    <row r="416" spans="1:24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</row>
    <row r="417" spans="1:24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</row>
    <row r="418" spans="1:24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</row>
    <row r="419" spans="1:24" ht="15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</row>
    <row r="420" spans="1:24" ht="15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</row>
    <row r="421" spans="1:24" ht="15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</row>
    <row r="422" spans="1:24" ht="15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</row>
    <row r="423" spans="1:24" ht="15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</row>
    <row r="424" spans="1:24" ht="15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</row>
    <row r="425" spans="1:24" ht="15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</row>
    <row r="426" spans="1:24" ht="15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</row>
    <row r="427" spans="1:24" ht="15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</row>
    <row r="428" spans="1:24" ht="15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</row>
    <row r="429" spans="1:24" ht="15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</row>
    <row r="430" spans="1:24" ht="15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</row>
    <row r="431" spans="1:24" ht="15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</row>
    <row r="432" spans="1:24" ht="15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</row>
    <row r="433" spans="1:24" ht="15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</row>
    <row r="434" spans="1:24" ht="15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</row>
    <row r="435" spans="1:24" ht="15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</row>
    <row r="436" spans="1:24" ht="15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</row>
    <row r="437" spans="1:24" ht="15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</row>
    <row r="438" spans="1:24" ht="15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</row>
    <row r="439" spans="1:24" ht="15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</row>
    <row r="440" spans="1:24" ht="15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</row>
    <row r="441" spans="1:24" ht="15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</row>
    <row r="442" spans="1:24" ht="15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</row>
    <row r="443" spans="1:24" ht="15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</row>
    <row r="444" spans="1:24" ht="15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</row>
    <row r="445" spans="1:24" ht="15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</row>
    <row r="446" spans="1:24" ht="15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</row>
    <row r="447" spans="1:24" ht="15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</row>
    <row r="448" spans="1:24" ht="15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</row>
    <row r="449" spans="1:24" ht="15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</row>
    <row r="450" spans="1:24" ht="15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</row>
    <row r="451" spans="1:24" ht="15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</row>
    <row r="452" spans="1:24" ht="15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</row>
    <row r="453" spans="1:24" ht="15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</row>
    <row r="454" spans="1:24" ht="15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</row>
    <row r="455" spans="1:24" ht="15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</row>
    <row r="456" spans="1:24" ht="15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</row>
    <row r="457" spans="1:24" ht="15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</row>
    <row r="458" spans="1:24" ht="15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</row>
    <row r="459" spans="1:24" ht="15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</row>
    <row r="460" spans="1:24" ht="15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</row>
    <row r="461" spans="1:24" ht="15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</row>
    <row r="462" spans="1:24" ht="15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</row>
    <row r="463" spans="1:24" ht="15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</row>
    <row r="464" spans="1:24" ht="15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</row>
    <row r="465" spans="1:24" ht="15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</row>
    <row r="466" spans="1:24" ht="15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</row>
    <row r="467" spans="1:24" ht="15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</row>
    <row r="468" spans="1:24" ht="15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</row>
    <row r="469" spans="1:24" ht="15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</row>
    <row r="470" spans="1:24" ht="15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</row>
    <row r="471" spans="1:24" ht="15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</row>
    <row r="472" spans="1:24" ht="15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</row>
    <row r="473" spans="1:24" ht="15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</row>
    <row r="474" spans="1:24" ht="15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</row>
    <row r="475" spans="1:24" ht="15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</row>
    <row r="476" spans="1:24" ht="15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</row>
    <row r="477" spans="1:24" ht="15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</row>
    <row r="478" spans="1:24" ht="15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</row>
    <row r="479" spans="1:24" ht="15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</row>
    <row r="480" spans="1:24" ht="15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</row>
    <row r="481" spans="1:24" ht="15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</row>
    <row r="482" spans="1:24" ht="15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</row>
    <row r="483" spans="1:24" ht="15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</row>
    <row r="484" spans="1:24" ht="15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</row>
    <row r="485" spans="1:24" ht="15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</row>
    <row r="486" spans="1:24" ht="15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</row>
    <row r="487" spans="1:24" ht="15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</row>
    <row r="488" spans="1:24" ht="15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</row>
    <row r="489" spans="1:24" ht="15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</row>
    <row r="490" spans="1:24" ht="15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</row>
    <row r="491" spans="1:24" ht="15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</row>
    <row r="492" spans="1:24" ht="15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</row>
    <row r="493" spans="1:24" ht="15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</row>
    <row r="494" spans="1:24" ht="15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</row>
    <row r="495" spans="1:24" ht="15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</row>
    <row r="496" spans="1:24" ht="15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</row>
    <row r="497" spans="1:24" ht="15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</row>
    <row r="498" spans="1:24" ht="15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</row>
    <row r="499" spans="1:24" ht="15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</row>
    <row r="500" spans="1:24" ht="15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</row>
    <row r="501" spans="1:24" ht="15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</row>
    <row r="502" spans="1:24" ht="15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</row>
    <row r="503" spans="1:24" ht="15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</row>
    <row r="504" spans="1:24" ht="15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</row>
    <row r="505" spans="1:24" ht="15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</row>
    <row r="506" spans="1:24" ht="15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</row>
    <row r="507" spans="1:24" ht="15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</row>
    <row r="508" spans="1:24" ht="15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</row>
    <row r="509" spans="1:24" ht="15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</row>
    <row r="510" spans="1:24" ht="15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</row>
    <row r="511" spans="1:24" ht="15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</row>
    <row r="512" spans="1:24" ht="15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</row>
    <row r="513" spans="1:24" ht="15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</row>
    <row r="514" spans="1:24" ht="15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</row>
    <row r="515" spans="1:24" ht="15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</row>
    <row r="516" spans="1:24" ht="15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</row>
    <row r="517" spans="1:24" ht="15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</row>
    <row r="518" spans="1:24" ht="15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</row>
    <row r="519" spans="1:24" ht="15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</row>
    <row r="520" spans="1:24" ht="15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</row>
    <row r="521" spans="1:24" ht="15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</row>
    <row r="522" spans="1:24" ht="15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</row>
    <row r="523" spans="1:24" ht="15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</row>
    <row r="524" spans="1:24" ht="15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</row>
    <row r="525" spans="1:24" ht="15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</row>
    <row r="526" spans="1:24" ht="15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</row>
    <row r="527" spans="1:24" ht="15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</row>
    <row r="528" spans="1:24" ht="15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</row>
    <row r="529" spans="1:24" ht="15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</row>
    <row r="530" spans="1:24" ht="15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</row>
    <row r="531" spans="1:24" ht="15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</row>
    <row r="532" spans="1:24" ht="15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</row>
    <row r="533" spans="1:24" ht="15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</row>
    <row r="534" spans="1:24" ht="15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</row>
    <row r="535" spans="1:24" ht="15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</row>
    <row r="536" spans="1:24" ht="15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</row>
    <row r="537" spans="1:24" ht="15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</row>
    <row r="538" spans="1:24" ht="15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</row>
    <row r="539" spans="1:24" ht="15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</row>
    <row r="540" spans="1:24" ht="15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</row>
    <row r="541" spans="1:24" ht="15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</row>
    <row r="542" spans="1:24" ht="15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</row>
    <row r="543" spans="1:24" ht="15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</row>
    <row r="544" spans="1:24" ht="15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</row>
    <row r="545" spans="1:24" ht="15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</row>
    <row r="546" spans="1:24" ht="15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</row>
    <row r="547" spans="1:24" ht="15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</row>
    <row r="548" spans="1:24" ht="15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</row>
    <row r="549" spans="1:24" ht="15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</row>
    <row r="550" spans="1:24" ht="15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</row>
    <row r="551" spans="1:24" ht="15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</row>
    <row r="552" spans="1:24" ht="15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</row>
    <row r="553" spans="1:24" ht="15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</row>
    <row r="554" spans="1:24" ht="15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</row>
    <row r="555" spans="1:24" ht="15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</row>
    <row r="556" spans="1:24" ht="15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</row>
    <row r="557" spans="1:24" ht="15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</row>
    <row r="558" spans="1:24" ht="15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</row>
    <row r="559" spans="1:24" ht="15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</row>
    <row r="560" spans="1:24" ht="15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</row>
    <row r="561" spans="1:24" ht="15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</row>
    <row r="562" spans="1:24" ht="15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</row>
    <row r="563" spans="1:24" ht="15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</row>
    <row r="564" spans="1:24" ht="15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</row>
    <row r="565" spans="1:24" ht="15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</row>
    <row r="566" spans="1:24" ht="15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</row>
    <row r="567" spans="1:24" ht="15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</row>
    <row r="568" spans="1:24" ht="15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</row>
    <row r="569" spans="1:24" ht="15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</row>
    <row r="570" spans="1:24" ht="15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</row>
    <row r="571" spans="1:24" ht="15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</row>
    <row r="572" spans="1:24" ht="15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</row>
    <row r="573" spans="1:24" ht="15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</row>
    <row r="574" spans="1:24" ht="15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</row>
    <row r="575" spans="1:24" ht="15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</row>
    <row r="576" spans="1:24" ht="15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</row>
    <row r="577" spans="1:24" ht="15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</row>
    <row r="578" spans="1:24" ht="15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</row>
    <row r="579" spans="1:24" ht="15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</row>
    <row r="580" spans="1:24" ht="15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</row>
    <row r="581" spans="1:24" ht="15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</row>
    <row r="582" spans="1:24" ht="15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</row>
    <row r="583" spans="1:24" ht="15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</row>
    <row r="584" spans="1:24" ht="15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</row>
    <row r="585" spans="1:24" ht="15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</row>
    <row r="586" spans="1:24" ht="15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</row>
    <row r="587" spans="1:24" ht="15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</row>
    <row r="588" spans="1:24" ht="15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</row>
    <row r="589" spans="1:24" ht="15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</row>
    <row r="590" spans="1:24" ht="15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</row>
    <row r="591" spans="1:24" ht="15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</row>
    <row r="592" spans="1:24" ht="15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</row>
    <row r="593" spans="1:24" ht="15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</row>
    <row r="594" spans="1:24" ht="15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</row>
    <row r="595" spans="1:24" ht="15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</row>
    <row r="596" spans="1:24" ht="15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</row>
    <row r="597" spans="1:24" ht="15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</row>
    <row r="598" spans="1:24" ht="15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</row>
    <row r="599" spans="1:24" ht="15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</row>
    <row r="600" spans="1:24" ht="15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</row>
    <row r="601" spans="1:24" ht="15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</row>
    <row r="602" spans="1:24" ht="15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</row>
    <row r="603" spans="1:24" ht="15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</row>
    <row r="604" spans="1:24" ht="15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</row>
    <row r="605" spans="1:24" ht="15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</row>
    <row r="606" spans="1:24" ht="15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</row>
    <row r="607" spans="1:24" ht="15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</row>
    <row r="608" spans="1:24" ht="15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</row>
    <row r="609" spans="1:24" ht="15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</row>
    <row r="610" spans="1:24" ht="15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</row>
    <row r="611" spans="1:24" ht="15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</row>
    <row r="612" spans="1:24" ht="15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</row>
    <row r="613" spans="1:24" ht="15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</row>
    <row r="614" spans="1:24" ht="15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</row>
    <row r="615" spans="1:24" ht="15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</row>
    <row r="616" spans="1:24" ht="15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</row>
    <row r="617" spans="1:24" ht="15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</row>
    <row r="618" spans="1:24" ht="15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</row>
    <row r="619" spans="1:24" ht="15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</row>
    <row r="620" spans="1:24" ht="15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</row>
    <row r="621" spans="1:24" ht="15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</row>
    <row r="622" spans="1:24" ht="15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</row>
    <row r="623" spans="1:24" ht="15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</row>
    <row r="624" spans="1:24" ht="15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</row>
    <row r="625" spans="1:24" ht="15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</row>
    <row r="626" spans="1:24" ht="15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</row>
    <row r="627" spans="1:24" ht="15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</row>
    <row r="628" spans="1:24" ht="15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</row>
    <row r="629" spans="1:24" ht="15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</row>
    <row r="630" spans="1:24" ht="15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</row>
    <row r="631" spans="1:24" ht="15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</row>
    <row r="632" spans="1:24" ht="15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</row>
    <row r="633" spans="1:24" ht="15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</row>
    <row r="634" spans="1:24" ht="15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</row>
    <row r="635" spans="1:24" ht="15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</row>
    <row r="636" spans="1:24" ht="15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</row>
    <row r="637" spans="1:24" ht="15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</row>
    <row r="638" spans="1:24" ht="15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</row>
    <row r="639" spans="1:24" ht="15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</row>
    <row r="640" spans="1:24" ht="15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</row>
    <row r="641" spans="1:24" ht="15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</row>
    <row r="642" spans="1:24" ht="15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</row>
    <row r="643" spans="1:24" ht="15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</row>
    <row r="644" spans="1:24" ht="15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</row>
    <row r="645" spans="1:24" ht="15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</row>
    <row r="646" spans="1:24" ht="15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</row>
    <row r="647" spans="1:24" ht="15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</row>
    <row r="648" spans="1:24" ht="15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</row>
    <row r="649" spans="1:24" ht="15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</row>
    <row r="650" spans="1:24" ht="15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</row>
    <row r="651" spans="1:24" ht="15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</row>
    <row r="652" spans="1:24" ht="15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</row>
    <row r="653" spans="1:24" ht="15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</row>
    <row r="654" spans="1:24" ht="15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</row>
    <row r="655" spans="1:24" ht="15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</row>
    <row r="656" spans="1:24" ht="15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</row>
    <row r="657" spans="1:24" ht="15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</row>
    <row r="658" spans="1:24" ht="15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</row>
    <row r="659" spans="1:24" ht="15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</row>
    <row r="660" spans="1:24" ht="15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</row>
    <row r="661" spans="1:24" ht="15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</row>
    <row r="662" spans="1:24" ht="15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</row>
    <row r="663" spans="1:24" ht="15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</row>
    <row r="664" spans="1:24" ht="15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</row>
    <row r="665" spans="1:24" ht="15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</row>
    <row r="666" spans="1:24" ht="15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</row>
    <row r="667" spans="1:24" ht="15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</row>
    <row r="668" spans="1:24" ht="15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</row>
    <row r="669" spans="1:24" ht="15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</row>
    <row r="670" spans="1:24" ht="15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</row>
    <row r="671" spans="1:24" ht="15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</row>
    <row r="672" spans="1:24" ht="15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</row>
    <row r="673" spans="1:24" ht="15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</row>
    <row r="674" spans="1:24" ht="15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</row>
    <row r="675" spans="1:24" ht="15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</row>
    <row r="676" spans="1:24" ht="15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</row>
    <row r="677" spans="1:24" ht="15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</row>
    <row r="678" spans="1:24" ht="15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</row>
    <row r="679" spans="1:24" ht="15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</row>
    <row r="680" spans="1:24" ht="15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</row>
    <row r="681" spans="1:24" ht="15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</row>
    <row r="682" spans="1:24" ht="15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</row>
    <row r="683" spans="1:24" ht="15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</row>
    <row r="684" spans="1:24" ht="15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</row>
    <row r="685" spans="1:24" ht="15.75" customHeight="1">
      <c r="A685" s="305"/>
      <c r="B685" s="305"/>
      <c r="C685" s="305"/>
      <c r="D685" s="305"/>
      <c r="E685" s="305"/>
      <c r="F685" s="305"/>
      <c r="G685" s="305"/>
      <c r="H685" s="305"/>
      <c r="I685" s="305"/>
      <c r="J685" s="305"/>
      <c r="K685" s="305"/>
      <c r="L685" s="305"/>
      <c r="M685" s="305"/>
      <c r="N685" s="305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</row>
    <row r="686" spans="1:24" ht="15.75" customHeight="1">
      <c r="A686" s="305"/>
      <c r="B686" s="305"/>
      <c r="C686" s="305"/>
      <c r="D686" s="305"/>
      <c r="E686" s="305"/>
      <c r="F686" s="305"/>
      <c r="G686" s="305"/>
      <c r="H686" s="305"/>
      <c r="I686" s="305"/>
      <c r="J686" s="305"/>
      <c r="K686" s="305"/>
      <c r="L686" s="305"/>
      <c r="M686" s="305"/>
      <c r="N686" s="305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</row>
    <row r="687" spans="1:24" ht="15.75" customHeight="1">
      <c r="A687" s="305"/>
      <c r="B687" s="305"/>
      <c r="C687" s="305"/>
      <c r="D687" s="305"/>
      <c r="E687" s="305"/>
      <c r="F687" s="305"/>
      <c r="G687" s="305"/>
      <c r="H687" s="305"/>
      <c r="I687" s="305"/>
      <c r="J687" s="305"/>
      <c r="K687" s="305"/>
      <c r="L687" s="305"/>
      <c r="M687" s="305"/>
      <c r="N687" s="305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</row>
    <row r="688" spans="1:24" ht="15.75" customHeight="1">
      <c r="A688" s="305"/>
      <c r="B688" s="305"/>
      <c r="C688" s="305"/>
      <c r="D688" s="305"/>
      <c r="E688" s="305"/>
      <c r="F688" s="305"/>
      <c r="G688" s="305"/>
      <c r="H688" s="305"/>
      <c r="I688" s="305"/>
      <c r="J688" s="305"/>
      <c r="K688" s="305"/>
      <c r="L688" s="305"/>
      <c r="M688" s="305"/>
      <c r="N688" s="305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</row>
    <row r="689" spans="1:24" ht="15.75" customHeight="1">
      <c r="A689" s="305"/>
      <c r="B689" s="305"/>
      <c r="C689" s="305"/>
      <c r="D689" s="305"/>
      <c r="E689" s="305"/>
      <c r="F689" s="305"/>
      <c r="G689" s="305"/>
      <c r="H689" s="305"/>
      <c r="I689" s="305"/>
      <c r="J689" s="305"/>
      <c r="K689" s="305"/>
      <c r="L689" s="305"/>
      <c r="M689" s="305"/>
      <c r="N689" s="305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</row>
    <row r="690" spans="1:24" ht="15.75" customHeight="1">
      <c r="A690" s="305"/>
      <c r="B690" s="305"/>
      <c r="C690" s="305"/>
      <c r="D690" s="305"/>
      <c r="E690" s="305"/>
      <c r="F690" s="305"/>
      <c r="G690" s="305"/>
      <c r="H690" s="305"/>
      <c r="I690" s="305"/>
      <c r="J690" s="305"/>
      <c r="K690" s="305"/>
      <c r="L690" s="305"/>
      <c r="M690" s="305"/>
      <c r="N690" s="305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</row>
    <row r="691" spans="1:24" ht="15.75" customHeight="1">
      <c r="A691" s="305"/>
      <c r="B691" s="305"/>
      <c r="C691" s="305"/>
      <c r="D691" s="305"/>
      <c r="E691" s="305"/>
      <c r="F691" s="305"/>
      <c r="G691" s="305"/>
      <c r="H691" s="305"/>
      <c r="I691" s="305"/>
      <c r="J691" s="305"/>
      <c r="K691" s="305"/>
      <c r="L691" s="305"/>
      <c r="M691" s="305"/>
      <c r="N691" s="305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</row>
    <row r="692" spans="1:24" ht="15.75" customHeight="1">
      <c r="A692" s="305"/>
      <c r="B692" s="305"/>
      <c r="C692" s="305"/>
      <c r="D692" s="305"/>
      <c r="E692" s="305"/>
      <c r="F692" s="305"/>
      <c r="G692" s="305"/>
      <c r="H692" s="305"/>
      <c r="I692" s="305"/>
      <c r="J692" s="305"/>
      <c r="K692" s="305"/>
      <c r="L692" s="305"/>
      <c r="M692" s="305"/>
      <c r="N692" s="305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</row>
    <row r="693" spans="1:24" ht="15.75" customHeight="1">
      <c r="A693" s="305"/>
      <c r="B693" s="305"/>
      <c r="C693" s="305"/>
      <c r="D693" s="305"/>
      <c r="E693" s="305"/>
      <c r="F693" s="305"/>
      <c r="G693" s="305"/>
      <c r="H693" s="305"/>
      <c r="I693" s="305"/>
      <c r="J693" s="305"/>
      <c r="K693" s="305"/>
      <c r="L693" s="305"/>
      <c r="M693" s="305"/>
      <c r="N693" s="305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</row>
    <row r="694" spans="1:24" ht="15.75" customHeight="1">
      <c r="A694" s="305"/>
      <c r="B694" s="305"/>
      <c r="C694" s="305"/>
      <c r="D694" s="305"/>
      <c r="E694" s="305"/>
      <c r="F694" s="305"/>
      <c r="G694" s="305"/>
      <c r="H694" s="305"/>
      <c r="I694" s="305"/>
      <c r="J694" s="305"/>
      <c r="K694" s="305"/>
      <c r="L694" s="305"/>
      <c r="M694" s="305"/>
      <c r="N694" s="305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</row>
    <row r="695" spans="1:24" ht="15.75" customHeight="1">
      <c r="A695" s="305"/>
      <c r="B695" s="305"/>
      <c r="C695" s="305"/>
      <c r="D695" s="305"/>
      <c r="E695" s="305"/>
      <c r="F695" s="305"/>
      <c r="G695" s="305"/>
      <c r="H695" s="305"/>
      <c r="I695" s="305"/>
      <c r="J695" s="305"/>
      <c r="K695" s="305"/>
      <c r="L695" s="305"/>
      <c r="M695" s="305"/>
      <c r="N695" s="305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</row>
    <row r="696" spans="1:24" ht="15.75" customHeight="1">
      <c r="A696" s="305"/>
      <c r="B696" s="305"/>
      <c r="C696" s="305"/>
      <c r="D696" s="305"/>
      <c r="E696" s="305"/>
      <c r="F696" s="305"/>
      <c r="G696" s="305"/>
      <c r="H696" s="305"/>
      <c r="I696" s="305"/>
      <c r="J696" s="305"/>
      <c r="K696" s="305"/>
      <c r="L696" s="305"/>
      <c r="M696" s="305"/>
      <c r="N696" s="305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</row>
    <row r="697" spans="1:24" ht="15.75" customHeight="1">
      <c r="A697" s="305"/>
      <c r="B697" s="305"/>
      <c r="C697" s="305"/>
      <c r="D697" s="305"/>
      <c r="E697" s="305"/>
      <c r="F697" s="305"/>
      <c r="G697" s="305"/>
      <c r="H697" s="305"/>
      <c r="I697" s="305"/>
      <c r="J697" s="305"/>
      <c r="K697" s="305"/>
      <c r="L697" s="305"/>
      <c r="M697" s="305"/>
      <c r="N697" s="305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</row>
    <row r="698" spans="1:24" ht="15.75" customHeight="1">
      <c r="A698" s="305"/>
      <c r="B698" s="305"/>
      <c r="C698" s="305"/>
      <c r="D698" s="305"/>
      <c r="E698" s="305"/>
      <c r="F698" s="305"/>
      <c r="G698" s="305"/>
      <c r="H698" s="305"/>
      <c r="I698" s="305"/>
      <c r="J698" s="305"/>
      <c r="K698" s="305"/>
      <c r="L698" s="305"/>
      <c r="M698" s="305"/>
      <c r="N698" s="305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</row>
    <row r="699" spans="1:24" ht="15.75" customHeight="1">
      <c r="A699" s="305"/>
      <c r="B699" s="305"/>
      <c r="C699" s="305"/>
      <c r="D699" s="305"/>
      <c r="E699" s="305"/>
      <c r="F699" s="305"/>
      <c r="G699" s="305"/>
      <c r="H699" s="305"/>
      <c r="I699" s="305"/>
      <c r="J699" s="305"/>
      <c r="K699" s="305"/>
      <c r="L699" s="305"/>
      <c r="M699" s="305"/>
      <c r="N699" s="305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</row>
    <row r="700" spans="1:24" ht="15.75" customHeight="1">
      <c r="A700" s="305"/>
      <c r="B700" s="305"/>
      <c r="C700" s="305"/>
      <c r="D700" s="305"/>
      <c r="E700" s="305"/>
      <c r="F700" s="305"/>
      <c r="G700" s="305"/>
      <c r="H700" s="305"/>
      <c r="I700" s="305"/>
      <c r="J700" s="305"/>
      <c r="K700" s="305"/>
      <c r="L700" s="305"/>
      <c r="M700" s="305"/>
      <c r="N700" s="305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</row>
    <row r="701" spans="1:24" ht="15.75" customHeight="1">
      <c r="A701" s="305"/>
      <c r="B701" s="305"/>
      <c r="C701" s="305"/>
      <c r="D701" s="305"/>
      <c r="E701" s="305"/>
      <c r="F701" s="305"/>
      <c r="G701" s="305"/>
      <c r="H701" s="305"/>
      <c r="I701" s="305"/>
      <c r="J701" s="305"/>
      <c r="K701" s="305"/>
      <c r="L701" s="305"/>
      <c r="M701" s="305"/>
      <c r="N701" s="305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</row>
    <row r="702" spans="1:24" ht="15.75" customHeight="1">
      <c r="A702" s="305"/>
      <c r="B702" s="305"/>
      <c r="C702" s="305"/>
      <c r="D702" s="305"/>
      <c r="E702" s="305"/>
      <c r="F702" s="305"/>
      <c r="G702" s="305"/>
      <c r="H702" s="305"/>
      <c r="I702" s="305"/>
      <c r="J702" s="305"/>
      <c r="K702" s="305"/>
      <c r="L702" s="305"/>
      <c r="M702" s="305"/>
      <c r="N702" s="305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</row>
    <row r="703" spans="1:24" ht="15.75" customHeight="1">
      <c r="A703" s="305"/>
      <c r="B703" s="305"/>
      <c r="C703" s="305"/>
      <c r="D703" s="305"/>
      <c r="E703" s="305"/>
      <c r="F703" s="305"/>
      <c r="G703" s="305"/>
      <c r="H703" s="305"/>
      <c r="I703" s="305"/>
      <c r="J703" s="305"/>
      <c r="K703" s="305"/>
      <c r="L703" s="305"/>
      <c r="M703" s="305"/>
      <c r="N703" s="305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</row>
    <row r="704" spans="1:24" ht="15.75" customHeight="1">
      <c r="A704" s="305"/>
      <c r="B704" s="305"/>
      <c r="C704" s="305"/>
      <c r="D704" s="305"/>
      <c r="E704" s="305"/>
      <c r="F704" s="305"/>
      <c r="G704" s="305"/>
      <c r="H704" s="305"/>
      <c r="I704" s="305"/>
      <c r="J704" s="305"/>
      <c r="K704" s="305"/>
      <c r="L704" s="305"/>
      <c r="M704" s="305"/>
      <c r="N704" s="305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</row>
    <row r="705" spans="1:24" ht="15.75" customHeight="1">
      <c r="A705" s="305"/>
      <c r="B705" s="305"/>
      <c r="C705" s="305"/>
      <c r="D705" s="305"/>
      <c r="E705" s="305"/>
      <c r="F705" s="305"/>
      <c r="G705" s="305"/>
      <c r="H705" s="305"/>
      <c r="I705" s="305"/>
      <c r="J705" s="305"/>
      <c r="K705" s="305"/>
      <c r="L705" s="305"/>
      <c r="M705" s="305"/>
      <c r="N705" s="305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</row>
    <row r="706" spans="1:24" ht="15.75" customHeight="1">
      <c r="A706" s="305"/>
      <c r="B706" s="305"/>
      <c r="C706" s="305"/>
      <c r="D706" s="305"/>
      <c r="E706" s="305"/>
      <c r="F706" s="305"/>
      <c r="G706" s="305"/>
      <c r="H706" s="305"/>
      <c r="I706" s="305"/>
      <c r="J706" s="305"/>
      <c r="K706" s="305"/>
      <c r="L706" s="305"/>
      <c r="M706" s="305"/>
      <c r="N706" s="305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</row>
    <row r="707" spans="1:24" ht="15.75" customHeight="1">
      <c r="A707" s="305"/>
      <c r="B707" s="305"/>
      <c r="C707" s="305"/>
      <c r="D707" s="305"/>
      <c r="E707" s="305"/>
      <c r="F707" s="305"/>
      <c r="G707" s="305"/>
      <c r="H707" s="305"/>
      <c r="I707" s="305"/>
      <c r="J707" s="305"/>
      <c r="K707" s="305"/>
      <c r="L707" s="305"/>
      <c r="M707" s="305"/>
      <c r="N707" s="305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</row>
    <row r="708" spans="1:24" ht="15.75" customHeight="1">
      <c r="A708" s="305"/>
      <c r="B708" s="305"/>
      <c r="C708" s="305"/>
      <c r="D708" s="305"/>
      <c r="E708" s="305"/>
      <c r="F708" s="305"/>
      <c r="G708" s="305"/>
      <c r="H708" s="305"/>
      <c r="I708" s="305"/>
      <c r="J708" s="305"/>
      <c r="K708" s="305"/>
      <c r="L708" s="305"/>
      <c r="M708" s="305"/>
      <c r="N708" s="305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</row>
    <row r="709" spans="1:24" ht="15.75" customHeight="1">
      <c r="A709" s="305"/>
      <c r="B709" s="305"/>
      <c r="C709" s="305"/>
      <c r="D709" s="305"/>
      <c r="E709" s="305"/>
      <c r="F709" s="305"/>
      <c r="G709" s="305"/>
      <c r="H709" s="305"/>
      <c r="I709" s="305"/>
      <c r="J709" s="305"/>
      <c r="K709" s="305"/>
      <c r="L709" s="305"/>
      <c r="M709" s="305"/>
      <c r="N709" s="305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</row>
    <row r="710" spans="1:24" ht="15.75" customHeight="1">
      <c r="A710" s="305"/>
      <c r="B710" s="305"/>
      <c r="C710" s="305"/>
      <c r="D710" s="305"/>
      <c r="E710" s="305"/>
      <c r="F710" s="305"/>
      <c r="G710" s="305"/>
      <c r="H710" s="305"/>
      <c r="I710" s="305"/>
      <c r="J710" s="305"/>
      <c r="K710" s="305"/>
      <c r="L710" s="305"/>
      <c r="M710" s="305"/>
      <c r="N710" s="305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</row>
    <row r="711" spans="1:24" ht="15.75" customHeight="1">
      <c r="A711" s="305"/>
      <c r="B711" s="305"/>
      <c r="C711" s="305"/>
      <c r="D711" s="305"/>
      <c r="E711" s="305"/>
      <c r="F711" s="305"/>
      <c r="G711" s="305"/>
      <c r="H711" s="305"/>
      <c r="I711" s="305"/>
      <c r="J711" s="305"/>
      <c r="K711" s="305"/>
      <c r="L711" s="305"/>
      <c r="M711" s="305"/>
      <c r="N711" s="305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</row>
    <row r="712" spans="1:24" ht="15.75" customHeight="1">
      <c r="A712" s="305"/>
      <c r="B712" s="305"/>
      <c r="C712" s="305"/>
      <c r="D712" s="305"/>
      <c r="E712" s="305"/>
      <c r="F712" s="305"/>
      <c r="G712" s="305"/>
      <c r="H712" s="305"/>
      <c r="I712" s="305"/>
      <c r="J712" s="305"/>
      <c r="K712" s="305"/>
      <c r="L712" s="305"/>
      <c r="M712" s="305"/>
      <c r="N712" s="305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</row>
    <row r="713" spans="1:24" ht="15.75" customHeight="1">
      <c r="A713" s="305"/>
      <c r="B713" s="305"/>
      <c r="C713" s="305"/>
      <c r="D713" s="305"/>
      <c r="E713" s="305"/>
      <c r="F713" s="305"/>
      <c r="G713" s="305"/>
      <c r="H713" s="305"/>
      <c r="I713" s="305"/>
      <c r="J713" s="305"/>
      <c r="K713" s="305"/>
      <c r="L713" s="305"/>
      <c r="M713" s="305"/>
      <c r="N713" s="305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</row>
    <row r="714" spans="1:24" ht="15.75" customHeight="1">
      <c r="A714" s="305"/>
      <c r="B714" s="305"/>
      <c r="C714" s="305"/>
      <c r="D714" s="305"/>
      <c r="E714" s="305"/>
      <c r="F714" s="305"/>
      <c r="G714" s="305"/>
      <c r="H714" s="305"/>
      <c r="I714" s="305"/>
      <c r="J714" s="305"/>
      <c r="K714" s="305"/>
      <c r="L714" s="305"/>
      <c r="M714" s="305"/>
      <c r="N714" s="305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</row>
    <row r="715" spans="1:24" ht="15.75" customHeight="1">
      <c r="A715" s="305"/>
      <c r="B715" s="305"/>
      <c r="C715" s="305"/>
      <c r="D715" s="305"/>
      <c r="E715" s="305"/>
      <c r="F715" s="305"/>
      <c r="G715" s="305"/>
      <c r="H715" s="305"/>
      <c r="I715" s="305"/>
      <c r="J715" s="305"/>
      <c r="K715" s="305"/>
      <c r="L715" s="305"/>
      <c r="M715" s="305"/>
      <c r="N715" s="305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</row>
    <row r="716" spans="1:24" ht="15.75" customHeight="1">
      <c r="A716" s="305"/>
      <c r="B716" s="305"/>
      <c r="C716" s="305"/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</row>
    <row r="717" spans="1:24" ht="15.75" customHeight="1">
      <c r="A717" s="305"/>
      <c r="B717" s="305"/>
      <c r="C717" s="305"/>
      <c r="D717" s="305"/>
      <c r="E717" s="305"/>
      <c r="F717" s="305"/>
      <c r="G717" s="305"/>
      <c r="H717" s="305"/>
      <c r="I717" s="305"/>
      <c r="J717" s="305"/>
      <c r="K717" s="305"/>
      <c r="L717" s="305"/>
      <c r="M717" s="305"/>
      <c r="N717" s="305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</row>
    <row r="718" spans="1:24" ht="15.75" customHeight="1">
      <c r="A718" s="305"/>
      <c r="B718" s="305"/>
      <c r="C718" s="305"/>
      <c r="D718" s="305"/>
      <c r="E718" s="305"/>
      <c r="F718" s="305"/>
      <c r="G718" s="305"/>
      <c r="H718" s="305"/>
      <c r="I718" s="305"/>
      <c r="J718" s="305"/>
      <c r="K718" s="305"/>
      <c r="L718" s="305"/>
      <c r="M718" s="305"/>
      <c r="N718" s="305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</row>
    <row r="719" spans="1:24" ht="15.75" customHeight="1">
      <c r="A719" s="305"/>
      <c r="B719" s="305"/>
      <c r="C719" s="305"/>
      <c r="D719" s="305"/>
      <c r="E719" s="305"/>
      <c r="F719" s="305"/>
      <c r="G719" s="305"/>
      <c r="H719" s="305"/>
      <c r="I719" s="305"/>
      <c r="J719" s="305"/>
      <c r="K719" s="305"/>
      <c r="L719" s="305"/>
      <c r="M719" s="305"/>
      <c r="N719" s="305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</row>
    <row r="720" spans="1:24" ht="15.75" customHeight="1">
      <c r="A720" s="305"/>
      <c r="B720" s="305"/>
      <c r="C720" s="305"/>
      <c r="D720" s="305"/>
      <c r="E720" s="305"/>
      <c r="F720" s="305"/>
      <c r="G720" s="305"/>
      <c r="H720" s="305"/>
      <c r="I720" s="305"/>
      <c r="J720" s="305"/>
      <c r="K720" s="305"/>
      <c r="L720" s="305"/>
      <c r="M720" s="305"/>
      <c r="N720" s="305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</row>
    <row r="721" spans="1:24" ht="15.75" customHeight="1">
      <c r="A721" s="305"/>
      <c r="B721" s="305"/>
      <c r="C721" s="305"/>
      <c r="D721" s="305"/>
      <c r="E721" s="305"/>
      <c r="F721" s="305"/>
      <c r="G721" s="305"/>
      <c r="H721" s="305"/>
      <c r="I721" s="305"/>
      <c r="J721" s="305"/>
      <c r="K721" s="305"/>
      <c r="L721" s="305"/>
      <c r="M721" s="305"/>
      <c r="N721" s="305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</row>
    <row r="722" spans="1:24" ht="15.75" customHeight="1">
      <c r="A722" s="305"/>
      <c r="B722" s="305"/>
      <c r="C722" s="305"/>
      <c r="D722" s="305"/>
      <c r="E722" s="305"/>
      <c r="F722" s="305"/>
      <c r="G722" s="305"/>
      <c r="H722" s="305"/>
      <c r="I722" s="305"/>
      <c r="J722" s="305"/>
      <c r="K722" s="305"/>
      <c r="L722" s="305"/>
      <c r="M722" s="305"/>
      <c r="N722" s="305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</row>
    <row r="723" spans="1:24" ht="15.75" customHeight="1">
      <c r="A723" s="305"/>
      <c r="B723" s="305"/>
      <c r="C723" s="305"/>
      <c r="D723" s="305"/>
      <c r="E723" s="305"/>
      <c r="F723" s="305"/>
      <c r="G723" s="305"/>
      <c r="H723" s="305"/>
      <c r="I723" s="305"/>
      <c r="J723" s="305"/>
      <c r="K723" s="305"/>
      <c r="L723" s="305"/>
      <c r="M723" s="305"/>
      <c r="N723" s="305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</row>
    <row r="724" spans="1:24" ht="15.75" customHeight="1">
      <c r="A724" s="305"/>
      <c r="B724" s="305"/>
      <c r="C724" s="305"/>
      <c r="D724" s="305"/>
      <c r="E724" s="305"/>
      <c r="F724" s="305"/>
      <c r="G724" s="305"/>
      <c r="H724" s="305"/>
      <c r="I724" s="305"/>
      <c r="J724" s="305"/>
      <c r="K724" s="305"/>
      <c r="L724" s="305"/>
      <c r="M724" s="305"/>
      <c r="N724" s="305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</row>
    <row r="725" spans="1:24" ht="15.75" customHeight="1">
      <c r="A725" s="305"/>
      <c r="B725" s="305"/>
      <c r="C725" s="305"/>
      <c r="D725" s="305"/>
      <c r="E725" s="305"/>
      <c r="F725" s="305"/>
      <c r="G725" s="305"/>
      <c r="H725" s="305"/>
      <c r="I725" s="305"/>
      <c r="J725" s="305"/>
      <c r="K725" s="305"/>
      <c r="L725" s="305"/>
      <c r="M725" s="305"/>
      <c r="N725" s="305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</row>
    <row r="726" spans="1:24" ht="15.75" customHeight="1">
      <c r="A726" s="305"/>
      <c r="B726" s="305"/>
      <c r="C726" s="305"/>
      <c r="D726" s="305"/>
      <c r="E726" s="305"/>
      <c r="F726" s="305"/>
      <c r="G726" s="305"/>
      <c r="H726" s="305"/>
      <c r="I726" s="305"/>
      <c r="J726" s="305"/>
      <c r="K726" s="305"/>
      <c r="L726" s="305"/>
      <c r="M726" s="305"/>
      <c r="N726" s="305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</row>
    <row r="727" spans="1:24" ht="15.75" customHeight="1">
      <c r="A727" s="305"/>
      <c r="B727" s="305"/>
      <c r="C727" s="305"/>
      <c r="D727" s="305"/>
      <c r="E727" s="305"/>
      <c r="F727" s="305"/>
      <c r="G727" s="305"/>
      <c r="H727" s="305"/>
      <c r="I727" s="305"/>
      <c r="J727" s="305"/>
      <c r="K727" s="305"/>
      <c r="L727" s="305"/>
      <c r="M727" s="305"/>
      <c r="N727" s="305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</row>
    <row r="728" spans="1:24" ht="15.75" customHeight="1">
      <c r="A728" s="305"/>
      <c r="B728" s="305"/>
      <c r="C728" s="305"/>
      <c r="D728" s="305"/>
      <c r="E728" s="305"/>
      <c r="F728" s="305"/>
      <c r="G728" s="305"/>
      <c r="H728" s="305"/>
      <c r="I728" s="305"/>
      <c r="J728" s="305"/>
      <c r="K728" s="305"/>
      <c r="L728" s="305"/>
      <c r="M728" s="305"/>
      <c r="N728" s="305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</row>
    <row r="729" spans="1:24" ht="15.75" customHeight="1">
      <c r="A729" s="305"/>
      <c r="B729" s="305"/>
      <c r="C729" s="305"/>
      <c r="D729" s="305"/>
      <c r="E729" s="305"/>
      <c r="F729" s="305"/>
      <c r="G729" s="305"/>
      <c r="H729" s="305"/>
      <c r="I729" s="305"/>
      <c r="J729" s="305"/>
      <c r="K729" s="305"/>
      <c r="L729" s="305"/>
      <c r="M729" s="305"/>
      <c r="N729" s="305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</row>
    <row r="730" spans="1:24" ht="15.75" customHeight="1">
      <c r="A730" s="305"/>
      <c r="B730" s="305"/>
      <c r="C730" s="305"/>
      <c r="D730" s="305"/>
      <c r="E730" s="305"/>
      <c r="F730" s="305"/>
      <c r="G730" s="305"/>
      <c r="H730" s="305"/>
      <c r="I730" s="305"/>
      <c r="J730" s="305"/>
      <c r="K730" s="305"/>
      <c r="L730" s="305"/>
      <c r="M730" s="305"/>
      <c r="N730" s="305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</row>
    <row r="731" spans="1:24" ht="15.75" customHeight="1">
      <c r="A731" s="305"/>
      <c r="B731" s="305"/>
      <c r="C731" s="305"/>
      <c r="D731" s="305"/>
      <c r="E731" s="305"/>
      <c r="F731" s="305"/>
      <c r="G731" s="305"/>
      <c r="H731" s="305"/>
      <c r="I731" s="305"/>
      <c r="J731" s="305"/>
      <c r="K731" s="305"/>
      <c r="L731" s="305"/>
      <c r="M731" s="305"/>
      <c r="N731" s="305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</row>
    <row r="732" spans="1:24" ht="15.75" customHeight="1">
      <c r="A732" s="305"/>
      <c r="B732" s="305"/>
      <c r="C732" s="305"/>
      <c r="D732" s="305"/>
      <c r="E732" s="305"/>
      <c r="F732" s="305"/>
      <c r="G732" s="305"/>
      <c r="H732" s="305"/>
      <c r="I732" s="305"/>
      <c r="J732" s="305"/>
      <c r="K732" s="305"/>
      <c r="L732" s="305"/>
      <c r="M732" s="305"/>
      <c r="N732" s="305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</row>
    <row r="733" spans="1:24" ht="15.75" customHeight="1">
      <c r="A733" s="305"/>
      <c r="B733" s="305"/>
      <c r="C733" s="305"/>
      <c r="D733" s="305"/>
      <c r="E733" s="305"/>
      <c r="F733" s="305"/>
      <c r="G733" s="305"/>
      <c r="H733" s="305"/>
      <c r="I733" s="305"/>
      <c r="J733" s="305"/>
      <c r="K733" s="305"/>
      <c r="L733" s="305"/>
      <c r="M733" s="305"/>
      <c r="N733" s="305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</row>
    <row r="734" spans="1:24" ht="15.75" customHeight="1">
      <c r="A734" s="305"/>
      <c r="B734" s="305"/>
      <c r="C734" s="305"/>
      <c r="D734" s="305"/>
      <c r="E734" s="305"/>
      <c r="F734" s="305"/>
      <c r="G734" s="305"/>
      <c r="H734" s="305"/>
      <c r="I734" s="305"/>
      <c r="J734" s="305"/>
      <c r="K734" s="305"/>
      <c r="L734" s="305"/>
      <c r="M734" s="305"/>
      <c r="N734" s="305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</row>
    <row r="735" spans="1:24" ht="15.75" customHeight="1">
      <c r="A735" s="305"/>
      <c r="B735" s="305"/>
      <c r="C735" s="305"/>
      <c r="D735" s="305"/>
      <c r="E735" s="305"/>
      <c r="F735" s="305"/>
      <c r="G735" s="305"/>
      <c r="H735" s="305"/>
      <c r="I735" s="305"/>
      <c r="J735" s="305"/>
      <c r="K735" s="305"/>
      <c r="L735" s="305"/>
      <c r="M735" s="305"/>
      <c r="N735" s="305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</row>
    <row r="736" spans="1:24" ht="15.75" customHeight="1">
      <c r="A736" s="305"/>
      <c r="B736" s="305"/>
      <c r="C736" s="305"/>
      <c r="D736" s="305"/>
      <c r="E736" s="305"/>
      <c r="F736" s="305"/>
      <c r="G736" s="305"/>
      <c r="H736" s="305"/>
      <c r="I736" s="305"/>
      <c r="J736" s="305"/>
      <c r="K736" s="305"/>
      <c r="L736" s="305"/>
      <c r="M736" s="305"/>
      <c r="N736" s="305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</row>
    <row r="737" spans="1:24" ht="15.75" customHeight="1">
      <c r="A737" s="305"/>
      <c r="B737" s="305"/>
      <c r="C737" s="305"/>
      <c r="D737" s="305"/>
      <c r="E737" s="305"/>
      <c r="F737" s="305"/>
      <c r="G737" s="305"/>
      <c r="H737" s="305"/>
      <c r="I737" s="305"/>
      <c r="J737" s="305"/>
      <c r="K737" s="305"/>
      <c r="L737" s="305"/>
      <c r="M737" s="305"/>
      <c r="N737" s="305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</row>
    <row r="738" spans="1:24" ht="15.75" customHeight="1">
      <c r="A738" s="305"/>
      <c r="B738" s="305"/>
      <c r="C738" s="305"/>
      <c r="D738" s="305"/>
      <c r="E738" s="305"/>
      <c r="F738" s="305"/>
      <c r="G738" s="305"/>
      <c r="H738" s="305"/>
      <c r="I738" s="305"/>
      <c r="J738" s="305"/>
      <c r="K738" s="305"/>
      <c r="L738" s="305"/>
      <c r="M738" s="305"/>
      <c r="N738" s="305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</row>
    <row r="739" spans="1:24" ht="15.75" customHeight="1">
      <c r="A739" s="305"/>
      <c r="B739" s="305"/>
      <c r="C739" s="305"/>
      <c r="D739" s="305"/>
      <c r="E739" s="305"/>
      <c r="F739" s="305"/>
      <c r="G739" s="305"/>
      <c r="H739" s="305"/>
      <c r="I739" s="305"/>
      <c r="J739" s="305"/>
      <c r="K739" s="305"/>
      <c r="L739" s="305"/>
      <c r="M739" s="305"/>
      <c r="N739" s="305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</row>
    <row r="740" spans="1:24" ht="15.75" customHeight="1">
      <c r="A740" s="305"/>
      <c r="B740" s="305"/>
      <c r="C740" s="305"/>
      <c r="D740" s="305"/>
      <c r="E740" s="305"/>
      <c r="F740" s="305"/>
      <c r="G740" s="305"/>
      <c r="H740" s="305"/>
      <c r="I740" s="305"/>
      <c r="J740" s="305"/>
      <c r="K740" s="305"/>
      <c r="L740" s="305"/>
      <c r="M740" s="305"/>
      <c r="N740" s="305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</row>
    <row r="741" spans="1:24" ht="15.75" customHeight="1">
      <c r="A741" s="305"/>
      <c r="B741" s="305"/>
      <c r="C741" s="305"/>
      <c r="D741" s="305"/>
      <c r="E741" s="305"/>
      <c r="F741" s="305"/>
      <c r="G741" s="305"/>
      <c r="H741" s="305"/>
      <c r="I741" s="305"/>
      <c r="J741" s="305"/>
      <c r="K741" s="305"/>
      <c r="L741" s="305"/>
      <c r="M741" s="305"/>
      <c r="N741" s="305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</row>
    <row r="742" spans="1:24" ht="15.75" customHeight="1">
      <c r="A742" s="305"/>
      <c r="B742" s="305"/>
      <c r="C742" s="305"/>
      <c r="D742" s="305"/>
      <c r="E742" s="305"/>
      <c r="F742" s="305"/>
      <c r="G742" s="305"/>
      <c r="H742" s="305"/>
      <c r="I742" s="305"/>
      <c r="J742" s="305"/>
      <c r="K742" s="305"/>
      <c r="L742" s="305"/>
      <c r="M742" s="305"/>
      <c r="N742" s="305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</row>
    <row r="743" spans="1:24" ht="15.75" customHeight="1">
      <c r="A743" s="305"/>
      <c r="B743" s="305"/>
      <c r="C743" s="305"/>
      <c r="D743" s="305"/>
      <c r="E743" s="305"/>
      <c r="F743" s="305"/>
      <c r="G743" s="305"/>
      <c r="H743" s="305"/>
      <c r="I743" s="305"/>
      <c r="J743" s="305"/>
      <c r="K743" s="305"/>
      <c r="L743" s="305"/>
      <c r="M743" s="305"/>
      <c r="N743" s="305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</row>
    <row r="744" spans="1:24" ht="15.75" customHeight="1">
      <c r="A744" s="305"/>
      <c r="B744" s="305"/>
      <c r="C744" s="305"/>
      <c r="D744" s="305"/>
      <c r="E744" s="305"/>
      <c r="F744" s="305"/>
      <c r="G744" s="305"/>
      <c r="H744" s="305"/>
      <c r="I744" s="305"/>
      <c r="J744" s="305"/>
      <c r="K744" s="305"/>
      <c r="L744" s="305"/>
      <c r="M744" s="305"/>
      <c r="N744" s="305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</row>
    <row r="745" spans="1:24" ht="15.75" customHeight="1">
      <c r="A745" s="305"/>
      <c r="B745" s="305"/>
      <c r="C745" s="305"/>
      <c r="D745" s="305"/>
      <c r="E745" s="305"/>
      <c r="F745" s="305"/>
      <c r="G745" s="305"/>
      <c r="H745" s="305"/>
      <c r="I745" s="305"/>
      <c r="J745" s="305"/>
      <c r="K745" s="305"/>
      <c r="L745" s="305"/>
      <c r="M745" s="305"/>
      <c r="N745" s="305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</row>
    <row r="746" spans="1:24" ht="15.75" customHeight="1">
      <c r="A746" s="305"/>
      <c r="B746" s="305"/>
      <c r="C746" s="305"/>
      <c r="D746" s="305"/>
      <c r="E746" s="305"/>
      <c r="F746" s="305"/>
      <c r="G746" s="305"/>
      <c r="H746" s="305"/>
      <c r="I746" s="305"/>
      <c r="J746" s="305"/>
      <c r="K746" s="305"/>
      <c r="L746" s="305"/>
      <c r="M746" s="305"/>
      <c r="N746" s="305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</row>
    <row r="747" spans="1:24" ht="15.75" customHeight="1">
      <c r="A747" s="305"/>
      <c r="B747" s="305"/>
      <c r="C747" s="305"/>
      <c r="D747" s="305"/>
      <c r="E747" s="305"/>
      <c r="F747" s="305"/>
      <c r="G747" s="305"/>
      <c r="H747" s="305"/>
      <c r="I747" s="305"/>
      <c r="J747" s="305"/>
      <c r="K747" s="305"/>
      <c r="L747" s="305"/>
      <c r="M747" s="305"/>
      <c r="N747" s="305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</row>
    <row r="748" spans="1:24" ht="15.75" customHeight="1">
      <c r="A748" s="305"/>
      <c r="B748" s="305"/>
      <c r="C748" s="305"/>
      <c r="D748" s="305"/>
      <c r="E748" s="305"/>
      <c r="F748" s="305"/>
      <c r="G748" s="305"/>
      <c r="H748" s="305"/>
      <c r="I748" s="305"/>
      <c r="J748" s="305"/>
      <c r="K748" s="305"/>
      <c r="L748" s="305"/>
      <c r="M748" s="305"/>
      <c r="N748" s="305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</row>
    <row r="749" spans="1:24" ht="15.75" customHeight="1">
      <c r="A749" s="305"/>
      <c r="B749" s="305"/>
      <c r="C749" s="305"/>
      <c r="D749" s="305"/>
      <c r="E749" s="305"/>
      <c r="F749" s="305"/>
      <c r="G749" s="305"/>
      <c r="H749" s="305"/>
      <c r="I749" s="305"/>
      <c r="J749" s="305"/>
      <c r="K749" s="305"/>
      <c r="L749" s="305"/>
      <c r="M749" s="305"/>
      <c r="N749" s="305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</row>
    <row r="750" spans="1:24" ht="15.75" customHeight="1">
      <c r="A750" s="305"/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</row>
    <row r="751" spans="1:24" ht="15.75" customHeight="1">
      <c r="A751" s="305"/>
      <c r="B751" s="305"/>
      <c r="C751" s="305"/>
      <c r="D751" s="305"/>
      <c r="E751" s="305"/>
      <c r="F751" s="305"/>
      <c r="G751" s="305"/>
      <c r="H751" s="305"/>
      <c r="I751" s="305"/>
      <c r="J751" s="305"/>
      <c r="K751" s="305"/>
      <c r="L751" s="305"/>
      <c r="M751" s="305"/>
      <c r="N751" s="305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</row>
    <row r="752" spans="1:24" ht="15.75" customHeight="1">
      <c r="A752" s="305"/>
      <c r="B752" s="305"/>
      <c r="C752" s="305"/>
      <c r="D752" s="305"/>
      <c r="E752" s="305"/>
      <c r="F752" s="305"/>
      <c r="G752" s="305"/>
      <c r="H752" s="305"/>
      <c r="I752" s="305"/>
      <c r="J752" s="305"/>
      <c r="K752" s="305"/>
      <c r="L752" s="305"/>
      <c r="M752" s="305"/>
      <c r="N752" s="305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</row>
    <row r="753" spans="1:24" ht="15.75" customHeight="1">
      <c r="A753" s="305"/>
      <c r="B753" s="305"/>
      <c r="C753" s="305"/>
      <c r="D753" s="305"/>
      <c r="E753" s="305"/>
      <c r="F753" s="305"/>
      <c r="G753" s="305"/>
      <c r="H753" s="305"/>
      <c r="I753" s="305"/>
      <c r="J753" s="305"/>
      <c r="K753" s="305"/>
      <c r="L753" s="305"/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</row>
    <row r="754" spans="1:24" ht="15.75" customHeight="1">
      <c r="A754" s="305"/>
      <c r="B754" s="305"/>
      <c r="C754" s="305"/>
      <c r="D754" s="305"/>
      <c r="E754" s="305"/>
      <c r="F754" s="305"/>
      <c r="G754" s="305"/>
      <c r="H754" s="305"/>
      <c r="I754" s="305"/>
      <c r="J754" s="305"/>
      <c r="K754" s="305"/>
      <c r="L754" s="305"/>
      <c r="M754" s="305"/>
      <c r="N754" s="305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</row>
    <row r="755" spans="1:24" ht="15.75" customHeight="1">
      <c r="A755" s="305"/>
      <c r="B755" s="305"/>
      <c r="C755" s="305"/>
      <c r="D755" s="305"/>
      <c r="E755" s="305"/>
      <c r="F755" s="305"/>
      <c r="G755" s="305"/>
      <c r="H755" s="305"/>
      <c r="I755" s="305"/>
      <c r="J755" s="305"/>
      <c r="K755" s="305"/>
      <c r="L755" s="305"/>
      <c r="M755" s="305"/>
      <c r="N755" s="305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</row>
    <row r="756" spans="1:24" ht="15.75" customHeight="1">
      <c r="A756" s="305"/>
      <c r="B756" s="305"/>
      <c r="C756" s="305"/>
      <c r="D756" s="305"/>
      <c r="E756" s="305"/>
      <c r="F756" s="305"/>
      <c r="G756" s="305"/>
      <c r="H756" s="305"/>
      <c r="I756" s="305"/>
      <c r="J756" s="305"/>
      <c r="K756" s="305"/>
      <c r="L756" s="305"/>
      <c r="M756" s="305"/>
      <c r="N756" s="305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</row>
    <row r="757" spans="1:24" ht="15.75" customHeight="1">
      <c r="A757" s="305"/>
      <c r="B757" s="305"/>
      <c r="C757" s="305"/>
      <c r="D757" s="305"/>
      <c r="E757" s="305"/>
      <c r="F757" s="305"/>
      <c r="G757" s="305"/>
      <c r="H757" s="305"/>
      <c r="I757" s="305"/>
      <c r="J757" s="305"/>
      <c r="K757" s="305"/>
      <c r="L757" s="305"/>
      <c r="M757" s="305"/>
      <c r="N757" s="305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</row>
    <row r="758" spans="1:24" ht="15.75" customHeight="1">
      <c r="A758" s="305"/>
      <c r="B758" s="305"/>
      <c r="C758" s="305"/>
      <c r="D758" s="305"/>
      <c r="E758" s="305"/>
      <c r="F758" s="305"/>
      <c r="G758" s="305"/>
      <c r="H758" s="305"/>
      <c r="I758" s="305"/>
      <c r="J758" s="305"/>
      <c r="K758" s="305"/>
      <c r="L758" s="305"/>
      <c r="M758" s="305"/>
      <c r="N758" s="305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</row>
    <row r="759" spans="1:24" ht="15.75" customHeight="1">
      <c r="A759" s="305"/>
      <c r="B759" s="305"/>
      <c r="C759" s="305"/>
      <c r="D759" s="305"/>
      <c r="E759" s="305"/>
      <c r="F759" s="305"/>
      <c r="G759" s="305"/>
      <c r="H759" s="305"/>
      <c r="I759" s="305"/>
      <c r="J759" s="305"/>
      <c r="K759" s="305"/>
      <c r="L759" s="305"/>
      <c r="M759" s="305"/>
      <c r="N759" s="305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</row>
    <row r="760" spans="1:24" ht="15.75" customHeight="1">
      <c r="A760" s="305"/>
      <c r="B760" s="305"/>
      <c r="C760" s="305"/>
      <c r="D760" s="305"/>
      <c r="E760" s="305"/>
      <c r="F760" s="305"/>
      <c r="G760" s="305"/>
      <c r="H760" s="305"/>
      <c r="I760" s="305"/>
      <c r="J760" s="305"/>
      <c r="K760" s="305"/>
      <c r="L760" s="305"/>
      <c r="M760" s="305"/>
      <c r="N760" s="305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</row>
    <row r="761" spans="1:24" ht="15.75" customHeight="1">
      <c r="A761" s="305"/>
      <c r="B761" s="305"/>
      <c r="C761" s="305"/>
      <c r="D761" s="305"/>
      <c r="E761" s="305"/>
      <c r="F761" s="305"/>
      <c r="G761" s="305"/>
      <c r="H761" s="305"/>
      <c r="I761" s="305"/>
      <c r="J761" s="305"/>
      <c r="K761" s="305"/>
      <c r="L761" s="305"/>
      <c r="M761" s="305"/>
      <c r="N761" s="305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</row>
    <row r="762" spans="1:24" ht="15.75" customHeight="1">
      <c r="A762" s="305"/>
      <c r="B762" s="305"/>
      <c r="C762" s="305"/>
      <c r="D762" s="305"/>
      <c r="E762" s="305"/>
      <c r="F762" s="305"/>
      <c r="G762" s="305"/>
      <c r="H762" s="305"/>
      <c r="I762" s="305"/>
      <c r="J762" s="305"/>
      <c r="K762" s="305"/>
      <c r="L762" s="305"/>
      <c r="M762" s="305"/>
      <c r="N762" s="305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</row>
    <row r="763" spans="1:24" ht="15.75" customHeight="1">
      <c r="A763" s="305"/>
      <c r="B763" s="305"/>
      <c r="C763" s="305"/>
      <c r="D763" s="305"/>
      <c r="E763" s="305"/>
      <c r="F763" s="305"/>
      <c r="G763" s="305"/>
      <c r="H763" s="305"/>
      <c r="I763" s="305"/>
      <c r="J763" s="305"/>
      <c r="K763" s="305"/>
      <c r="L763" s="305"/>
      <c r="M763" s="305"/>
      <c r="N763" s="305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</row>
    <row r="764" spans="1:24" ht="15.75" customHeight="1">
      <c r="A764" s="305"/>
      <c r="B764" s="305"/>
      <c r="C764" s="305"/>
      <c r="D764" s="305"/>
      <c r="E764" s="305"/>
      <c r="F764" s="305"/>
      <c r="G764" s="305"/>
      <c r="H764" s="305"/>
      <c r="I764" s="305"/>
      <c r="J764" s="305"/>
      <c r="K764" s="305"/>
      <c r="L764" s="305"/>
      <c r="M764" s="305"/>
      <c r="N764" s="305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</row>
    <row r="765" spans="1:24" ht="15.75" customHeight="1">
      <c r="A765" s="305"/>
      <c r="B765" s="305"/>
      <c r="C765" s="305"/>
      <c r="D765" s="305"/>
      <c r="E765" s="305"/>
      <c r="F765" s="305"/>
      <c r="G765" s="305"/>
      <c r="H765" s="305"/>
      <c r="I765" s="305"/>
      <c r="J765" s="305"/>
      <c r="K765" s="305"/>
      <c r="L765" s="305"/>
      <c r="M765" s="305"/>
      <c r="N765" s="305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</row>
    <row r="766" spans="1:24" ht="15.75" customHeight="1">
      <c r="A766" s="305"/>
      <c r="B766" s="305"/>
      <c r="C766" s="305"/>
      <c r="D766" s="305"/>
      <c r="E766" s="305"/>
      <c r="F766" s="305"/>
      <c r="G766" s="305"/>
      <c r="H766" s="305"/>
      <c r="I766" s="305"/>
      <c r="J766" s="305"/>
      <c r="K766" s="305"/>
      <c r="L766" s="305"/>
      <c r="M766" s="305"/>
      <c r="N766" s="305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</row>
    <row r="767" spans="1:24" ht="15.75" customHeight="1">
      <c r="A767" s="305"/>
      <c r="B767" s="305"/>
      <c r="C767" s="305"/>
      <c r="D767" s="305"/>
      <c r="E767" s="305"/>
      <c r="F767" s="305"/>
      <c r="G767" s="305"/>
      <c r="H767" s="305"/>
      <c r="I767" s="305"/>
      <c r="J767" s="305"/>
      <c r="K767" s="305"/>
      <c r="L767" s="305"/>
      <c r="M767" s="305"/>
      <c r="N767" s="305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</row>
    <row r="768" spans="1:24" ht="15.75" customHeight="1">
      <c r="A768" s="305"/>
      <c r="B768" s="305"/>
      <c r="C768" s="305"/>
      <c r="D768" s="305"/>
      <c r="E768" s="305"/>
      <c r="F768" s="305"/>
      <c r="G768" s="305"/>
      <c r="H768" s="305"/>
      <c r="I768" s="305"/>
      <c r="J768" s="305"/>
      <c r="K768" s="305"/>
      <c r="L768" s="305"/>
      <c r="M768" s="305"/>
      <c r="N768" s="305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</row>
    <row r="769" spans="1:24" ht="15.75" customHeight="1">
      <c r="A769" s="305"/>
      <c r="B769" s="305"/>
      <c r="C769" s="305"/>
      <c r="D769" s="305"/>
      <c r="E769" s="305"/>
      <c r="F769" s="305"/>
      <c r="G769" s="305"/>
      <c r="H769" s="305"/>
      <c r="I769" s="305"/>
      <c r="J769" s="305"/>
      <c r="K769" s="305"/>
      <c r="L769" s="305"/>
      <c r="M769" s="305"/>
      <c r="N769" s="305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</row>
    <row r="770" spans="1:24" ht="15.75" customHeight="1">
      <c r="A770" s="305"/>
      <c r="B770" s="305"/>
      <c r="C770" s="305"/>
      <c r="D770" s="305"/>
      <c r="E770" s="305"/>
      <c r="F770" s="305"/>
      <c r="G770" s="305"/>
      <c r="H770" s="305"/>
      <c r="I770" s="305"/>
      <c r="J770" s="305"/>
      <c r="K770" s="305"/>
      <c r="L770" s="305"/>
      <c r="M770" s="305"/>
      <c r="N770" s="305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</row>
    <row r="771" spans="1:24" ht="15.75" customHeight="1">
      <c r="A771" s="305"/>
      <c r="B771" s="305"/>
      <c r="C771" s="305"/>
      <c r="D771" s="305"/>
      <c r="E771" s="305"/>
      <c r="F771" s="305"/>
      <c r="G771" s="305"/>
      <c r="H771" s="305"/>
      <c r="I771" s="305"/>
      <c r="J771" s="305"/>
      <c r="K771" s="305"/>
      <c r="L771" s="305"/>
      <c r="M771" s="305"/>
      <c r="N771" s="305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</row>
    <row r="772" spans="1:24" ht="15.75" customHeight="1">
      <c r="A772" s="305"/>
      <c r="B772" s="305"/>
      <c r="C772" s="305"/>
      <c r="D772" s="305"/>
      <c r="E772" s="305"/>
      <c r="F772" s="305"/>
      <c r="G772" s="305"/>
      <c r="H772" s="305"/>
      <c r="I772" s="305"/>
      <c r="J772" s="305"/>
      <c r="K772" s="305"/>
      <c r="L772" s="305"/>
      <c r="M772" s="305"/>
      <c r="N772" s="305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</row>
    <row r="773" spans="1:24" ht="15.75" customHeight="1">
      <c r="A773" s="305"/>
      <c r="B773" s="305"/>
      <c r="C773" s="305"/>
      <c r="D773" s="305"/>
      <c r="E773" s="305"/>
      <c r="F773" s="305"/>
      <c r="G773" s="305"/>
      <c r="H773" s="305"/>
      <c r="I773" s="305"/>
      <c r="J773" s="305"/>
      <c r="K773" s="305"/>
      <c r="L773" s="305"/>
      <c r="M773" s="305"/>
      <c r="N773" s="305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</row>
    <row r="774" spans="1:24" ht="15.75" customHeight="1">
      <c r="A774" s="305"/>
      <c r="B774" s="305"/>
      <c r="C774" s="305"/>
      <c r="D774" s="305"/>
      <c r="E774" s="305"/>
      <c r="F774" s="305"/>
      <c r="G774" s="305"/>
      <c r="H774" s="305"/>
      <c r="I774" s="305"/>
      <c r="J774" s="305"/>
      <c r="K774" s="305"/>
      <c r="L774" s="305"/>
      <c r="M774" s="305"/>
      <c r="N774" s="305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</row>
    <row r="775" spans="1:24" ht="15.75" customHeight="1">
      <c r="A775" s="305"/>
      <c r="B775" s="305"/>
      <c r="C775" s="305"/>
      <c r="D775" s="305"/>
      <c r="E775" s="305"/>
      <c r="F775" s="305"/>
      <c r="G775" s="305"/>
      <c r="H775" s="305"/>
      <c r="I775" s="305"/>
      <c r="J775" s="305"/>
      <c r="K775" s="305"/>
      <c r="L775" s="305"/>
      <c r="M775" s="305"/>
      <c r="N775" s="305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</row>
    <row r="776" spans="1:24" ht="15.75" customHeight="1">
      <c r="A776" s="305"/>
      <c r="B776" s="305"/>
      <c r="C776" s="305"/>
      <c r="D776" s="305"/>
      <c r="E776" s="305"/>
      <c r="F776" s="305"/>
      <c r="G776" s="305"/>
      <c r="H776" s="305"/>
      <c r="I776" s="305"/>
      <c r="J776" s="305"/>
      <c r="K776" s="305"/>
      <c r="L776" s="305"/>
      <c r="M776" s="305"/>
      <c r="N776" s="305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</row>
    <row r="777" spans="1:24" ht="15.75" customHeight="1">
      <c r="A777" s="305"/>
      <c r="B777" s="305"/>
      <c r="C777" s="305"/>
      <c r="D777" s="305"/>
      <c r="E777" s="305"/>
      <c r="F777" s="305"/>
      <c r="G777" s="305"/>
      <c r="H777" s="305"/>
      <c r="I777" s="305"/>
      <c r="J777" s="305"/>
      <c r="K777" s="305"/>
      <c r="L777" s="305"/>
      <c r="M777" s="305"/>
      <c r="N777" s="305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</row>
    <row r="778" spans="1:24" ht="15.75" customHeight="1">
      <c r="A778" s="305"/>
      <c r="B778" s="305"/>
      <c r="C778" s="305"/>
      <c r="D778" s="305"/>
      <c r="E778" s="305"/>
      <c r="F778" s="305"/>
      <c r="G778" s="305"/>
      <c r="H778" s="305"/>
      <c r="I778" s="305"/>
      <c r="J778" s="305"/>
      <c r="K778" s="305"/>
      <c r="L778" s="305"/>
      <c r="M778" s="305"/>
      <c r="N778" s="305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</row>
    <row r="779" spans="1:24" ht="15.75" customHeight="1">
      <c r="A779" s="305"/>
      <c r="B779" s="305"/>
      <c r="C779" s="305"/>
      <c r="D779" s="305"/>
      <c r="E779" s="305"/>
      <c r="F779" s="305"/>
      <c r="G779" s="305"/>
      <c r="H779" s="305"/>
      <c r="I779" s="305"/>
      <c r="J779" s="305"/>
      <c r="K779" s="305"/>
      <c r="L779" s="305"/>
      <c r="M779" s="305"/>
      <c r="N779" s="305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</row>
    <row r="780" spans="1:24" ht="15.75" customHeight="1">
      <c r="A780" s="305"/>
      <c r="B780" s="305"/>
      <c r="C780" s="305"/>
      <c r="D780" s="305"/>
      <c r="E780" s="305"/>
      <c r="F780" s="305"/>
      <c r="G780" s="305"/>
      <c r="H780" s="305"/>
      <c r="I780" s="305"/>
      <c r="J780" s="305"/>
      <c r="K780" s="305"/>
      <c r="L780" s="305"/>
      <c r="M780" s="305"/>
      <c r="N780" s="305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</row>
    <row r="781" spans="1:24" ht="15.75" customHeight="1">
      <c r="A781" s="305"/>
      <c r="B781" s="305"/>
      <c r="C781" s="305"/>
      <c r="D781" s="305"/>
      <c r="E781" s="305"/>
      <c r="F781" s="305"/>
      <c r="G781" s="305"/>
      <c r="H781" s="305"/>
      <c r="I781" s="305"/>
      <c r="J781" s="305"/>
      <c r="K781" s="305"/>
      <c r="L781" s="305"/>
      <c r="M781" s="305"/>
      <c r="N781" s="305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</row>
    <row r="782" spans="1:24" ht="15.75" customHeight="1">
      <c r="A782" s="305"/>
      <c r="B782" s="305"/>
      <c r="C782" s="305"/>
      <c r="D782" s="305"/>
      <c r="E782" s="305"/>
      <c r="F782" s="305"/>
      <c r="G782" s="305"/>
      <c r="H782" s="305"/>
      <c r="I782" s="305"/>
      <c r="J782" s="305"/>
      <c r="K782" s="305"/>
      <c r="L782" s="305"/>
      <c r="M782" s="305"/>
      <c r="N782" s="305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</row>
    <row r="783" spans="1:24" ht="15.75" customHeight="1">
      <c r="A783" s="305"/>
      <c r="B783" s="305"/>
      <c r="C783" s="305"/>
      <c r="D783" s="305"/>
      <c r="E783" s="305"/>
      <c r="F783" s="305"/>
      <c r="G783" s="305"/>
      <c r="H783" s="305"/>
      <c r="I783" s="305"/>
      <c r="J783" s="305"/>
      <c r="K783" s="305"/>
      <c r="L783" s="305"/>
      <c r="M783" s="305"/>
      <c r="N783" s="305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</row>
    <row r="784" spans="1:24" ht="15.75" customHeight="1">
      <c r="A784" s="305"/>
      <c r="B784" s="305"/>
      <c r="C784" s="305"/>
      <c r="D784" s="305"/>
      <c r="E784" s="305"/>
      <c r="F784" s="305"/>
      <c r="G784" s="305"/>
      <c r="H784" s="305"/>
      <c r="I784" s="305"/>
      <c r="J784" s="305"/>
      <c r="K784" s="305"/>
      <c r="L784" s="305"/>
      <c r="M784" s="305"/>
      <c r="N784" s="305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</row>
    <row r="785" spans="1:24" ht="15.75" customHeight="1">
      <c r="A785" s="305"/>
      <c r="B785" s="305"/>
      <c r="C785" s="305"/>
      <c r="D785" s="305"/>
      <c r="E785" s="305"/>
      <c r="F785" s="305"/>
      <c r="G785" s="305"/>
      <c r="H785" s="305"/>
      <c r="I785" s="305"/>
      <c r="J785" s="305"/>
      <c r="K785" s="305"/>
      <c r="L785" s="305"/>
      <c r="M785" s="305"/>
      <c r="N785" s="305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</row>
    <row r="786" spans="1:24" ht="15.75" customHeight="1">
      <c r="A786" s="305"/>
      <c r="B786" s="305"/>
      <c r="C786" s="305"/>
      <c r="D786" s="305"/>
      <c r="E786" s="305"/>
      <c r="F786" s="305"/>
      <c r="G786" s="305"/>
      <c r="H786" s="305"/>
      <c r="I786" s="305"/>
      <c r="J786" s="305"/>
      <c r="K786" s="305"/>
      <c r="L786" s="305"/>
      <c r="M786" s="305"/>
      <c r="N786" s="305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</row>
    <row r="787" spans="1:24" ht="15.75" customHeight="1">
      <c r="A787" s="305"/>
      <c r="B787" s="305"/>
      <c r="C787" s="305"/>
      <c r="D787" s="305"/>
      <c r="E787" s="305"/>
      <c r="F787" s="305"/>
      <c r="G787" s="305"/>
      <c r="H787" s="305"/>
      <c r="I787" s="305"/>
      <c r="J787" s="305"/>
      <c r="K787" s="305"/>
      <c r="L787" s="305"/>
      <c r="M787" s="305"/>
      <c r="N787" s="305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</row>
    <row r="788" spans="1:24" ht="15.75" customHeight="1">
      <c r="A788" s="305"/>
      <c r="B788" s="305"/>
      <c r="C788" s="305"/>
      <c r="D788" s="305"/>
      <c r="E788" s="305"/>
      <c r="F788" s="305"/>
      <c r="G788" s="305"/>
      <c r="H788" s="305"/>
      <c r="I788" s="305"/>
      <c r="J788" s="305"/>
      <c r="K788" s="305"/>
      <c r="L788" s="305"/>
      <c r="M788" s="305"/>
      <c r="N788" s="305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</row>
    <row r="789" spans="1:24" ht="15.75" customHeight="1">
      <c r="A789" s="305"/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</row>
    <row r="790" spans="1:24" ht="15.75" customHeight="1">
      <c r="A790" s="305"/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</row>
    <row r="791" spans="1:24" ht="15.75" customHeight="1">
      <c r="A791" s="305"/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</row>
    <row r="792" spans="1:24" ht="15.75" customHeight="1">
      <c r="A792" s="305"/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</row>
    <row r="793" spans="1:24" ht="15.75" customHeight="1">
      <c r="A793" s="305"/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</row>
    <row r="794" spans="1:24" ht="15.75" customHeight="1">
      <c r="A794" s="305"/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</row>
    <row r="795" spans="1:24" ht="15.75" customHeight="1">
      <c r="A795" s="305"/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</row>
    <row r="796" spans="1:24" ht="15.75" customHeight="1">
      <c r="A796" s="305"/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</row>
    <row r="797" spans="1:24" ht="15.75" customHeight="1">
      <c r="A797" s="305"/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</row>
    <row r="798" spans="1:24" ht="15.75" customHeight="1">
      <c r="A798" s="305"/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</row>
    <row r="799" spans="1:24" ht="15.75" customHeight="1">
      <c r="A799" s="305"/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</row>
    <row r="800" spans="1:24" ht="15.75" customHeight="1">
      <c r="A800" s="305"/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</row>
    <row r="801" spans="1:24" ht="15.75" customHeight="1">
      <c r="A801" s="305"/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</row>
    <row r="802" spans="1:24" ht="15.75" customHeight="1">
      <c r="A802" s="305"/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</row>
    <row r="803" spans="1:24" ht="15.75" customHeight="1">
      <c r="A803" s="305"/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</row>
    <row r="804" spans="1:24" ht="15.75" customHeight="1">
      <c r="A804" s="305"/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</row>
    <row r="805" spans="1:24" ht="15.75" customHeight="1">
      <c r="A805" s="305"/>
      <c r="B805" s="305"/>
      <c r="C805" s="305"/>
      <c r="D805" s="305"/>
      <c r="E805" s="305"/>
      <c r="F805" s="305"/>
      <c r="G805" s="305"/>
      <c r="H805" s="305"/>
      <c r="I805" s="305"/>
      <c r="J805" s="305"/>
      <c r="K805" s="305"/>
      <c r="L805" s="305"/>
      <c r="M805" s="305"/>
      <c r="N805" s="305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</row>
    <row r="806" spans="1:24" ht="15.75" customHeight="1">
      <c r="A806" s="305"/>
      <c r="B806" s="305"/>
      <c r="C806" s="305"/>
      <c r="D806" s="305"/>
      <c r="E806" s="305"/>
      <c r="F806" s="305"/>
      <c r="G806" s="305"/>
      <c r="H806" s="305"/>
      <c r="I806" s="305"/>
      <c r="J806" s="305"/>
      <c r="K806" s="305"/>
      <c r="L806" s="305"/>
      <c r="M806" s="305"/>
      <c r="N806" s="305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</row>
    <row r="807" spans="1:24" ht="15.75" customHeight="1">
      <c r="A807" s="305"/>
      <c r="B807" s="305"/>
      <c r="C807" s="305"/>
      <c r="D807" s="305"/>
      <c r="E807" s="305"/>
      <c r="F807" s="305"/>
      <c r="G807" s="305"/>
      <c r="H807" s="305"/>
      <c r="I807" s="305"/>
      <c r="J807" s="305"/>
      <c r="K807" s="305"/>
      <c r="L807" s="305"/>
      <c r="M807" s="305"/>
      <c r="N807" s="305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</row>
    <row r="808" spans="1:24" ht="15.75" customHeight="1">
      <c r="A808" s="305"/>
      <c r="B808" s="305"/>
      <c r="C808" s="305"/>
      <c r="D808" s="305"/>
      <c r="E808" s="305"/>
      <c r="F808" s="305"/>
      <c r="G808" s="305"/>
      <c r="H808" s="305"/>
      <c r="I808" s="305"/>
      <c r="J808" s="305"/>
      <c r="K808" s="305"/>
      <c r="L808" s="305"/>
      <c r="M808" s="305"/>
      <c r="N808" s="305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</row>
    <row r="809" spans="1:24" ht="15.75" customHeight="1">
      <c r="A809" s="305"/>
      <c r="B809" s="305"/>
      <c r="C809" s="305"/>
      <c r="D809" s="305"/>
      <c r="E809" s="305"/>
      <c r="F809" s="305"/>
      <c r="G809" s="305"/>
      <c r="H809" s="305"/>
      <c r="I809" s="305"/>
      <c r="J809" s="305"/>
      <c r="K809" s="305"/>
      <c r="L809" s="305"/>
      <c r="M809" s="305"/>
      <c r="N809" s="305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</row>
    <row r="810" spans="1:24" ht="15.75" customHeight="1">
      <c r="A810" s="305"/>
      <c r="B810" s="305"/>
      <c r="C810" s="305"/>
      <c r="D810" s="305"/>
      <c r="E810" s="305"/>
      <c r="F810" s="305"/>
      <c r="G810" s="305"/>
      <c r="H810" s="305"/>
      <c r="I810" s="305"/>
      <c r="J810" s="305"/>
      <c r="K810" s="305"/>
      <c r="L810" s="305"/>
      <c r="M810" s="305"/>
      <c r="N810" s="305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</row>
    <row r="811" spans="1:24" ht="15.75" customHeight="1">
      <c r="A811" s="305"/>
      <c r="B811" s="305"/>
      <c r="C811" s="305"/>
      <c r="D811" s="305"/>
      <c r="E811" s="305"/>
      <c r="F811" s="305"/>
      <c r="G811" s="305"/>
      <c r="H811" s="305"/>
      <c r="I811" s="305"/>
      <c r="J811" s="305"/>
      <c r="K811" s="305"/>
      <c r="L811" s="305"/>
      <c r="M811" s="305"/>
      <c r="N811" s="305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</row>
    <row r="812" spans="1:24" ht="15.75" customHeight="1">
      <c r="A812" s="305"/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</row>
    <row r="813" spans="1:24" ht="15.75" customHeight="1">
      <c r="A813" s="305"/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</row>
    <row r="814" spans="1:24" ht="15.75" customHeight="1">
      <c r="A814" s="305"/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</row>
    <row r="815" spans="1:24" ht="15.75" customHeight="1">
      <c r="A815" s="305"/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</row>
    <row r="816" spans="1:24" ht="15.75" customHeight="1">
      <c r="A816" s="305"/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</row>
    <row r="817" spans="1:24" ht="15.75" customHeight="1">
      <c r="A817" s="305"/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</row>
    <row r="818" spans="1:24" ht="15.75" customHeight="1">
      <c r="A818" s="305"/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</row>
    <row r="819" spans="1:24" ht="15.75" customHeight="1">
      <c r="A819" s="305"/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</row>
    <row r="820" spans="1:24" ht="15.75" customHeight="1">
      <c r="A820" s="305"/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</row>
    <row r="821" spans="1:24" ht="15.75" customHeight="1">
      <c r="A821" s="305"/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</row>
    <row r="822" spans="1:24" ht="15.75" customHeight="1">
      <c r="A822" s="305"/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</row>
    <row r="823" spans="1:24" ht="15.75" customHeight="1">
      <c r="A823" s="305"/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</row>
    <row r="824" spans="1:24" ht="15.75" customHeight="1">
      <c r="A824" s="305"/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</row>
    <row r="825" spans="1:24" ht="15.75" customHeight="1">
      <c r="A825" s="305"/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</row>
    <row r="826" spans="1:24" ht="15.75" customHeight="1">
      <c r="A826" s="305"/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</row>
    <row r="827" spans="1:24" ht="15.75" customHeight="1">
      <c r="A827" s="305"/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</row>
    <row r="828" spans="1:24" ht="15.75" customHeight="1">
      <c r="A828" s="305"/>
      <c r="B828" s="305"/>
      <c r="C828" s="305"/>
      <c r="D828" s="305"/>
      <c r="E828" s="305"/>
      <c r="F828" s="305"/>
      <c r="G828" s="305"/>
      <c r="H828" s="305"/>
      <c r="I828" s="305"/>
      <c r="J828" s="305"/>
      <c r="K828" s="305"/>
      <c r="L828" s="305"/>
      <c r="M828" s="305"/>
      <c r="N828" s="305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</row>
    <row r="829" spans="1:24" ht="15.75" customHeight="1">
      <c r="A829" s="305"/>
      <c r="B829" s="305"/>
      <c r="C829" s="305"/>
      <c r="D829" s="305"/>
      <c r="E829" s="305"/>
      <c r="F829" s="305"/>
      <c r="G829" s="305"/>
      <c r="H829" s="305"/>
      <c r="I829" s="305"/>
      <c r="J829" s="305"/>
      <c r="K829" s="305"/>
      <c r="L829" s="305"/>
      <c r="M829" s="305"/>
      <c r="N829" s="305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</row>
    <row r="830" spans="1:24" ht="15.75" customHeight="1">
      <c r="A830" s="305"/>
      <c r="B830" s="305"/>
      <c r="C830" s="305"/>
      <c r="D830" s="305"/>
      <c r="E830" s="305"/>
      <c r="F830" s="305"/>
      <c r="G830" s="305"/>
      <c r="H830" s="305"/>
      <c r="I830" s="305"/>
      <c r="J830" s="305"/>
      <c r="K830" s="305"/>
      <c r="L830" s="305"/>
      <c r="M830" s="305"/>
      <c r="N830" s="305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</row>
    <row r="831" spans="1:24" ht="15.75" customHeight="1">
      <c r="A831" s="305"/>
      <c r="B831" s="305"/>
      <c r="C831" s="305"/>
      <c r="D831" s="305"/>
      <c r="E831" s="305"/>
      <c r="F831" s="305"/>
      <c r="G831" s="305"/>
      <c r="H831" s="305"/>
      <c r="I831" s="305"/>
      <c r="J831" s="305"/>
      <c r="K831" s="305"/>
      <c r="L831" s="305"/>
      <c r="M831" s="305"/>
      <c r="N831" s="305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</row>
    <row r="832" spans="1:24" ht="15.75" customHeight="1">
      <c r="A832" s="305"/>
      <c r="B832" s="305"/>
      <c r="C832" s="305"/>
      <c r="D832" s="305"/>
      <c r="E832" s="305"/>
      <c r="F832" s="305"/>
      <c r="G832" s="305"/>
      <c r="H832" s="305"/>
      <c r="I832" s="305"/>
      <c r="J832" s="305"/>
      <c r="K832" s="305"/>
      <c r="L832" s="305"/>
      <c r="M832" s="305"/>
      <c r="N832" s="305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</row>
    <row r="833" spans="1:24" ht="15.75" customHeight="1">
      <c r="A833" s="305"/>
      <c r="B833" s="305"/>
      <c r="C833" s="305"/>
      <c r="D833" s="305"/>
      <c r="E833" s="305"/>
      <c r="F833" s="305"/>
      <c r="G833" s="305"/>
      <c r="H833" s="305"/>
      <c r="I833" s="305"/>
      <c r="J833" s="305"/>
      <c r="K833" s="305"/>
      <c r="L833" s="305"/>
      <c r="M833" s="305"/>
      <c r="N833" s="305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</row>
    <row r="834" spans="1:24" ht="15.75" customHeight="1">
      <c r="A834" s="305"/>
      <c r="B834" s="305"/>
      <c r="C834" s="305"/>
      <c r="D834" s="305"/>
      <c r="E834" s="305"/>
      <c r="F834" s="305"/>
      <c r="G834" s="305"/>
      <c r="H834" s="305"/>
      <c r="I834" s="305"/>
      <c r="J834" s="305"/>
      <c r="K834" s="305"/>
      <c r="L834" s="305"/>
      <c r="M834" s="305"/>
      <c r="N834" s="305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</row>
    <row r="835" spans="1:24" ht="15.75" customHeight="1">
      <c r="A835" s="305"/>
      <c r="B835" s="305"/>
      <c r="C835" s="305"/>
      <c r="D835" s="305"/>
      <c r="E835" s="305"/>
      <c r="F835" s="305"/>
      <c r="G835" s="305"/>
      <c r="H835" s="305"/>
      <c r="I835" s="305"/>
      <c r="J835" s="305"/>
      <c r="K835" s="305"/>
      <c r="L835" s="305"/>
      <c r="M835" s="305"/>
      <c r="N835" s="305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</row>
    <row r="836" spans="1:24" ht="15.75" customHeight="1">
      <c r="A836" s="305"/>
      <c r="B836" s="305"/>
      <c r="C836" s="305"/>
      <c r="D836" s="305"/>
      <c r="E836" s="305"/>
      <c r="F836" s="305"/>
      <c r="G836" s="305"/>
      <c r="H836" s="305"/>
      <c r="I836" s="305"/>
      <c r="J836" s="305"/>
      <c r="K836" s="305"/>
      <c r="L836" s="305"/>
      <c r="M836" s="305"/>
      <c r="N836" s="305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</row>
    <row r="837" spans="1:24" ht="15.75" customHeight="1">
      <c r="A837" s="305"/>
      <c r="B837" s="305"/>
      <c r="C837" s="305"/>
      <c r="D837" s="305"/>
      <c r="E837" s="305"/>
      <c r="F837" s="305"/>
      <c r="G837" s="305"/>
      <c r="H837" s="305"/>
      <c r="I837" s="305"/>
      <c r="J837" s="305"/>
      <c r="K837" s="305"/>
      <c r="L837" s="305"/>
      <c r="M837" s="305"/>
      <c r="N837" s="305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</row>
    <row r="838" spans="1:24" ht="15.75" customHeight="1">
      <c r="A838" s="305"/>
      <c r="B838" s="305"/>
      <c r="C838" s="305"/>
      <c r="D838" s="305"/>
      <c r="E838" s="305"/>
      <c r="F838" s="305"/>
      <c r="G838" s="305"/>
      <c r="H838" s="305"/>
      <c r="I838" s="305"/>
      <c r="J838" s="305"/>
      <c r="K838" s="305"/>
      <c r="L838" s="305"/>
      <c r="M838" s="305"/>
      <c r="N838" s="305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</row>
    <row r="839" spans="1:24" ht="15.75" customHeight="1">
      <c r="A839" s="305"/>
      <c r="B839" s="305"/>
      <c r="C839" s="305"/>
      <c r="D839" s="305"/>
      <c r="E839" s="305"/>
      <c r="F839" s="305"/>
      <c r="G839" s="305"/>
      <c r="H839" s="305"/>
      <c r="I839" s="305"/>
      <c r="J839" s="305"/>
      <c r="K839" s="305"/>
      <c r="L839" s="305"/>
      <c r="M839" s="305"/>
      <c r="N839" s="305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</row>
    <row r="840" spans="1:24" ht="15.75" customHeight="1">
      <c r="A840" s="305"/>
      <c r="B840" s="305"/>
      <c r="C840" s="305"/>
      <c r="D840" s="305"/>
      <c r="E840" s="305"/>
      <c r="F840" s="305"/>
      <c r="G840" s="305"/>
      <c r="H840" s="305"/>
      <c r="I840" s="305"/>
      <c r="J840" s="305"/>
      <c r="K840" s="305"/>
      <c r="L840" s="305"/>
      <c r="M840" s="305"/>
      <c r="N840" s="305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</row>
    <row r="841" spans="1:24" ht="15.75" customHeight="1">
      <c r="A841" s="305"/>
      <c r="B841" s="305"/>
      <c r="C841" s="305"/>
      <c r="D841" s="305"/>
      <c r="E841" s="305"/>
      <c r="F841" s="305"/>
      <c r="G841" s="305"/>
      <c r="H841" s="305"/>
      <c r="I841" s="305"/>
      <c r="J841" s="305"/>
      <c r="K841" s="305"/>
      <c r="L841" s="305"/>
      <c r="M841" s="305"/>
      <c r="N841" s="305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</row>
    <row r="842" spans="1:24" ht="15.75" customHeight="1">
      <c r="A842" s="305"/>
      <c r="B842" s="305"/>
      <c r="C842" s="305"/>
      <c r="D842" s="305"/>
      <c r="E842" s="305"/>
      <c r="F842" s="305"/>
      <c r="G842" s="305"/>
      <c r="H842" s="305"/>
      <c r="I842" s="305"/>
      <c r="J842" s="305"/>
      <c r="K842" s="305"/>
      <c r="L842" s="305"/>
      <c r="M842" s="305"/>
      <c r="N842" s="305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</row>
    <row r="843" spans="1:24" ht="15.75" customHeight="1">
      <c r="A843" s="305"/>
      <c r="B843" s="305"/>
      <c r="C843" s="305"/>
      <c r="D843" s="305"/>
      <c r="E843" s="305"/>
      <c r="F843" s="305"/>
      <c r="G843" s="305"/>
      <c r="H843" s="305"/>
      <c r="I843" s="305"/>
      <c r="J843" s="305"/>
      <c r="K843" s="305"/>
      <c r="L843" s="305"/>
      <c r="M843" s="305"/>
      <c r="N843" s="305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</row>
    <row r="844" spans="1:24" ht="15.75" customHeight="1">
      <c r="A844" s="305"/>
      <c r="B844" s="305"/>
      <c r="C844" s="305"/>
      <c r="D844" s="305"/>
      <c r="E844" s="305"/>
      <c r="F844" s="305"/>
      <c r="G844" s="305"/>
      <c r="H844" s="305"/>
      <c r="I844" s="305"/>
      <c r="J844" s="305"/>
      <c r="K844" s="305"/>
      <c r="L844" s="305"/>
      <c r="M844" s="305"/>
      <c r="N844" s="305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</row>
    <row r="845" spans="1:24" ht="15.75" customHeight="1">
      <c r="A845" s="305"/>
      <c r="B845" s="305"/>
      <c r="C845" s="305"/>
      <c r="D845" s="305"/>
      <c r="E845" s="305"/>
      <c r="F845" s="305"/>
      <c r="G845" s="305"/>
      <c r="H845" s="305"/>
      <c r="I845" s="305"/>
      <c r="J845" s="305"/>
      <c r="K845" s="305"/>
      <c r="L845" s="305"/>
      <c r="M845" s="305"/>
      <c r="N845" s="305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</row>
    <row r="846" spans="1:24" ht="15.75" customHeight="1">
      <c r="A846" s="305"/>
      <c r="B846" s="305"/>
      <c r="C846" s="305"/>
      <c r="D846" s="305"/>
      <c r="E846" s="305"/>
      <c r="F846" s="305"/>
      <c r="G846" s="305"/>
      <c r="H846" s="305"/>
      <c r="I846" s="305"/>
      <c r="J846" s="305"/>
      <c r="K846" s="305"/>
      <c r="L846" s="305"/>
      <c r="M846" s="305"/>
      <c r="N846" s="305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</row>
    <row r="847" spans="1:24" ht="15.75" customHeight="1">
      <c r="A847" s="305"/>
      <c r="B847" s="305"/>
      <c r="C847" s="305"/>
      <c r="D847" s="305"/>
      <c r="E847" s="305"/>
      <c r="F847" s="305"/>
      <c r="G847" s="305"/>
      <c r="H847" s="305"/>
      <c r="I847" s="305"/>
      <c r="J847" s="305"/>
      <c r="K847" s="305"/>
      <c r="L847" s="305"/>
      <c r="M847" s="305"/>
      <c r="N847" s="305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</row>
    <row r="848" spans="1:24" ht="15.75" customHeight="1">
      <c r="A848" s="305"/>
      <c r="B848" s="305"/>
      <c r="C848" s="305"/>
      <c r="D848" s="305"/>
      <c r="E848" s="305"/>
      <c r="F848" s="305"/>
      <c r="G848" s="305"/>
      <c r="H848" s="305"/>
      <c r="I848" s="305"/>
      <c r="J848" s="305"/>
      <c r="K848" s="305"/>
      <c r="L848" s="305"/>
      <c r="M848" s="305"/>
      <c r="N848" s="305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</row>
    <row r="849" spans="1:24" ht="15.75" customHeight="1">
      <c r="A849" s="305"/>
      <c r="B849" s="305"/>
      <c r="C849" s="305"/>
      <c r="D849" s="305"/>
      <c r="E849" s="305"/>
      <c r="F849" s="305"/>
      <c r="G849" s="305"/>
      <c r="H849" s="305"/>
      <c r="I849" s="305"/>
      <c r="J849" s="305"/>
      <c r="K849" s="305"/>
      <c r="L849" s="305"/>
      <c r="M849" s="305"/>
      <c r="N849" s="305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</row>
    <row r="850" spans="1:24" ht="15.75" customHeight="1">
      <c r="A850" s="305"/>
      <c r="B850" s="305"/>
      <c r="C850" s="305"/>
      <c r="D850" s="305"/>
      <c r="E850" s="305"/>
      <c r="F850" s="305"/>
      <c r="G850" s="305"/>
      <c r="H850" s="305"/>
      <c r="I850" s="305"/>
      <c r="J850" s="305"/>
      <c r="K850" s="305"/>
      <c r="L850" s="305"/>
      <c r="M850" s="305"/>
      <c r="N850" s="305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</row>
    <row r="851" spans="1:24" ht="15.75" customHeight="1">
      <c r="A851" s="305"/>
      <c r="B851" s="305"/>
      <c r="C851" s="305"/>
      <c r="D851" s="305"/>
      <c r="E851" s="305"/>
      <c r="F851" s="305"/>
      <c r="G851" s="305"/>
      <c r="H851" s="305"/>
      <c r="I851" s="305"/>
      <c r="J851" s="305"/>
      <c r="K851" s="305"/>
      <c r="L851" s="305"/>
      <c r="M851" s="305"/>
      <c r="N851" s="305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</row>
    <row r="852" spans="1:24" ht="15.75" customHeight="1">
      <c r="A852" s="305"/>
      <c r="B852" s="305"/>
      <c r="C852" s="305"/>
      <c r="D852" s="305"/>
      <c r="E852" s="305"/>
      <c r="F852" s="305"/>
      <c r="G852" s="305"/>
      <c r="H852" s="305"/>
      <c r="I852" s="305"/>
      <c r="J852" s="305"/>
      <c r="K852" s="305"/>
      <c r="L852" s="305"/>
      <c r="M852" s="305"/>
      <c r="N852" s="305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</row>
    <row r="853" spans="1:24" ht="15.75" customHeight="1">
      <c r="A853" s="305"/>
      <c r="B853" s="305"/>
      <c r="C853" s="305"/>
      <c r="D853" s="305"/>
      <c r="E853" s="305"/>
      <c r="F853" s="305"/>
      <c r="G853" s="305"/>
      <c r="H853" s="305"/>
      <c r="I853" s="305"/>
      <c r="J853" s="305"/>
      <c r="K853" s="305"/>
      <c r="L853" s="305"/>
      <c r="M853" s="305"/>
      <c r="N853" s="305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</row>
    <row r="854" spans="1:24" ht="15.75" customHeight="1">
      <c r="A854" s="305"/>
      <c r="B854" s="305"/>
      <c r="C854" s="305"/>
      <c r="D854" s="305"/>
      <c r="E854" s="305"/>
      <c r="F854" s="305"/>
      <c r="G854" s="305"/>
      <c r="H854" s="305"/>
      <c r="I854" s="305"/>
      <c r="J854" s="305"/>
      <c r="K854" s="305"/>
      <c r="L854" s="305"/>
      <c r="M854" s="305"/>
      <c r="N854" s="305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</row>
    <row r="855" spans="1:24" ht="15.75" customHeight="1">
      <c r="A855" s="305"/>
      <c r="B855" s="305"/>
      <c r="C855" s="305"/>
      <c r="D855" s="305"/>
      <c r="E855" s="305"/>
      <c r="F855" s="305"/>
      <c r="G855" s="305"/>
      <c r="H855" s="305"/>
      <c r="I855" s="305"/>
      <c r="J855" s="305"/>
      <c r="K855" s="305"/>
      <c r="L855" s="305"/>
      <c r="M855" s="305"/>
      <c r="N855" s="305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</row>
    <row r="856" spans="1:24" ht="15.75" customHeight="1">
      <c r="A856" s="305"/>
      <c r="B856" s="305"/>
      <c r="C856" s="305"/>
      <c r="D856" s="305"/>
      <c r="E856" s="305"/>
      <c r="F856" s="305"/>
      <c r="G856" s="305"/>
      <c r="H856" s="305"/>
      <c r="I856" s="305"/>
      <c r="J856" s="305"/>
      <c r="K856" s="305"/>
      <c r="L856" s="305"/>
      <c r="M856" s="305"/>
      <c r="N856" s="305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</row>
    <row r="857" spans="1:24" ht="15.75" customHeight="1">
      <c r="A857" s="305"/>
      <c r="B857" s="305"/>
      <c r="C857" s="305"/>
      <c r="D857" s="305"/>
      <c r="E857" s="305"/>
      <c r="F857" s="305"/>
      <c r="G857" s="305"/>
      <c r="H857" s="305"/>
      <c r="I857" s="305"/>
      <c r="J857" s="305"/>
      <c r="K857" s="305"/>
      <c r="L857" s="305"/>
      <c r="M857" s="305"/>
      <c r="N857" s="305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</row>
    <row r="858" spans="1:24" ht="15.75" customHeight="1">
      <c r="A858" s="305"/>
      <c r="B858" s="305"/>
      <c r="C858" s="305"/>
      <c r="D858" s="305"/>
      <c r="E858" s="305"/>
      <c r="F858" s="305"/>
      <c r="G858" s="305"/>
      <c r="H858" s="305"/>
      <c r="I858" s="305"/>
      <c r="J858" s="305"/>
      <c r="K858" s="305"/>
      <c r="L858" s="305"/>
      <c r="M858" s="305"/>
      <c r="N858" s="305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</row>
    <row r="859" spans="1:24" ht="15.75" customHeight="1">
      <c r="A859" s="305"/>
      <c r="B859" s="305"/>
      <c r="C859" s="305"/>
      <c r="D859" s="305"/>
      <c r="E859" s="305"/>
      <c r="F859" s="305"/>
      <c r="G859" s="305"/>
      <c r="H859" s="305"/>
      <c r="I859" s="305"/>
      <c r="J859" s="305"/>
      <c r="K859" s="305"/>
      <c r="L859" s="305"/>
      <c r="M859" s="305"/>
      <c r="N859" s="305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</row>
    <row r="860" spans="1:24" ht="15.75" customHeight="1">
      <c r="A860" s="305"/>
      <c r="B860" s="305"/>
      <c r="C860" s="305"/>
      <c r="D860" s="305"/>
      <c r="E860" s="305"/>
      <c r="F860" s="305"/>
      <c r="G860" s="305"/>
      <c r="H860" s="305"/>
      <c r="I860" s="305"/>
      <c r="J860" s="305"/>
      <c r="K860" s="305"/>
      <c r="L860" s="305"/>
      <c r="M860" s="305"/>
      <c r="N860" s="305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</row>
    <row r="861" spans="1:24" ht="15.75" customHeight="1">
      <c r="A861" s="305"/>
      <c r="B861" s="305"/>
      <c r="C861" s="305"/>
      <c r="D861" s="305"/>
      <c r="E861" s="305"/>
      <c r="F861" s="305"/>
      <c r="G861" s="305"/>
      <c r="H861" s="305"/>
      <c r="I861" s="305"/>
      <c r="J861" s="305"/>
      <c r="K861" s="305"/>
      <c r="L861" s="305"/>
      <c r="M861" s="305"/>
      <c r="N861" s="305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</row>
    <row r="862" spans="1:24" ht="15.75" customHeight="1">
      <c r="A862" s="305"/>
      <c r="B862" s="305"/>
      <c r="C862" s="305"/>
      <c r="D862" s="305"/>
      <c r="E862" s="305"/>
      <c r="F862" s="305"/>
      <c r="G862" s="305"/>
      <c r="H862" s="305"/>
      <c r="I862" s="305"/>
      <c r="J862" s="305"/>
      <c r="K862" s="305"/>
      <c r="L862" s="305"/>
      <c r="M862" s="305"/>
      <c r="N862" s="305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</row>
    <row r="863" spans="1:24" ht="15.75" customHeight="1">
      <c r="A863" s="305"/>
      <c r="B863" s="305"/>
      <c r="C863" s="305"/>
      <c r="D863" s="305"/>
      <c r="E863" s="305"/>
      <c r="F863" s="305"/>
      <c r="G863" s="305"/>
      <c r="H863" s="305"/>
      <c r="I863" s="305"/>
      <c r="J863" s="305"/>
      <c r="K863" s="305"/>
      <c r="L863" s="305"/>
      <c r="M863" s="305"/>
      <c r="N863" s="305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</row>
    <row r="864" spans="1:24" ht="15.75" customHeight="1">
      <c r="A864" s="305"/>
      <c r="B864" s="305"/>
      <c r="C864" s="305"/>
      <c r="D864" s="305"/>
      <c r="E864" s="305"/>
      <c r="F864" s="305"/>
      <c r="G864" s="305"/>
      <c r="H864" s="305"/>
      <c r="I864" s="305"/>
      <c r="J864" s="305"/>
      <c r="K864" s="305"/>
      <c r="L864" s="305"/>
      <c r="M864" s="305"/>
      <c r="N864" s="305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</row>
    <row r="865" spans="1:24" ht="15.75" customHeight="1">
      <c r="A865" s="305"/>
      <c r="B865" s="305"/>
      <c r="C865" s="305"/>
      <c r="D865" s="305"/>
      <c r="E865" s="305"/>
      <c r="F865" s="305"/>
      <c r="G865" s="305"/>
      <c r="H865" s="305"/>
      <c r="I865" s="305"/>
      <c r="J865" s="305"/>
      <c r="K865" s="305"/>
      <c r="L865" s="305"/>
      <c r="M865" s="305"/>
      <c r="N865" s="305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</row>
    <row r="866" spans="1:24" ht="15.75" customHeight="1">
      <c r="A866" s="305"/>
      <c r="B866" s="305"/>
      <c r="C866" s="305"/>
      <c r="D866" s="305"/>
      <c r="E866" s="305"/>
      <c r="F866" s="305"/>
      <c r="G866" s="305"/>
      <c r="H866" s="305"/>
      <c r="I866" s="305"/>
      <c r="J866" s="305"/>
      <c r="K866" s="305"/>
      <c r="L866" s="305"/>
      <c r="M866" s="305"/>
      <c r="N866" s="305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</row>
    <row r="867" spans="1:24" ht="15.75" customHeight="1">
      <c r="A867" s="305"/>
      <c r="B867" s="305"/>
      <c r="C867" s="305"/>
      <c r="D867" s="305"/>
      <c r="E867" s="305"/>
      <c r="F867" s="305"/>
      <c r="G867" s="305"/>
      <c r="H867" s="305"/>
      <c r="I867" s="305"/>
      <c r="J867" s="305"/>
      <c r="K867" s="305"/>
      <c r="L867" s="305"/>
      <c r="M867" s="305"/>
      <c r="N867" s="305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</row>
    <row r="868" spans="1:24" ht="15.75" customHeight="1">
      <c r="A868" s="305"/>
      <c r="B868" s="305"/>
      <c r="C868" s="305"/>
      <c r="D868" s="305"/>
      <c r="E868" s="305"/>
      <c r="F868" s="305"/>
      <c r="G868" s="305"/>
      <c r="H868" s="305"/>
      <c r="I868" s="305"/>
      <c r="J868" s="305"/>
      <c r="K868" s="305"/>
      <c r="L868" s="305"/>
      <c r="M868" s="305"/>
      <c r="N868" s="305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</row>
    <row r="869" spans="1:24" ht="15.75" customHeight="1">
      <c r="A869" s="305"/>
      <c r="B869" s="305"/>
      <c r="C869" s="305"/>
      <c r="D869" s="305"/>
      <c r="E869" s="305"/>
      <c r="F869" s="305"/>
      <c r="G869" s="305"/>
      <c r="H869" s="305"/>
      <c r="I869" s="305"/>
      <c r="J869" s="305"/>
      <c r="K869" s="305"/>
      <c r="L869" s="305"/>
      <c r="M869" s="305"/>
      <c r="N869" s="305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</row>
    <row r="870" spans="1:24" ht="15.75" customHeight="1">
      <c r="A870" s="305"/>
      <c r="B870" s="305"/>
      <c r="C870" s="305"/>
      <c r="D870" s="305"/>
      <c r="E870" s="305"/>
      <c r="F870" s="305"/>
      <c r="G870" s="305"/>
      <c r="H870" s="305"/>
      <c r="I870" s="305"/>
      <c r="J870" s="305"/>
      <c r="K870" s="305"/>
      <c r="L870" s="305"/>
      <c r="M870" s="305"/>
      <c r="N870" s="305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</row>
    <row r="871" spans="1:24" ht="15.75" customHeight="1">
      <c r="A871" s="305"/>
      <c r="B871" s="305"/>
      <c r="C871" s="305"/>
      <c r="D871" s="305"/>
      <c r="E871" s="305"/>
      <c r="F871" s="305"/>
      <c r="G871" s="305"/>
      <c r="H871" s="305"/>
      <c r="I871" s="305"/>
      <c r="J871" s="305"/>
      <c r="K871" s="305"/>
      <c r="L871" s="305"/>
      <c r="M871" s="305"/>
      <c r="N871" s="305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</row>
    <row r="872" spans="1:24" ht="15.75" customHeight="1">
      <c r="A872" s="305"/>
      <c r="B872" s="305"/>
      <c r="C872" s="305"/>
      <c r="D872" s="305"/>
      <c r="E872" s="305"/>
      <c r="F872" s="305"/>
      <c r="G872" s="305"/>
      <c r="H872" s="305"/>
      <c r="I872" s="305"/>
      <c r="J872" s="305"/>
      <c r="K872" s="305"/>
      <c r="L872" s="305"/>
      <c r="M872" s="305"/>
      <c r="N872" s="305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</row>
    <row r="873" spans="1:24" ht="15.75" customHeight="1">
      <c r="A873" s="305"/>
      <c r="B873" s="305"/>
      <c r="C873" s="305"/>
      <c r="D873" s="305"/>
      <c r="E873" s="305"/>
      <c r="F873" s="305"/>
      <c r="G873" s="305"/>
      <c r="H873" s="305"/>
      <c r="I873" s="305"/>
      <c r="J873" s="305"/>
      <c r="K873" s="305"/>
      <c r="L873" s="305"/>
      <c r="M873" s="305"/>
      <c r="N873" s="305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</row>
    <row r="874" spans="1:24" ht="15.75" customHeight="1">
      <c r="A874" s="305"/>
      <c r="B874" s="305"/>
      <c r="C874" s="305"/>
      <c r="D874" s="305"/>
      <c r="E874" s="305"/>
      <c r="F874" s="305"/>
      <c r="G874" s="305"/>
      <c r="H874" s="305"/>
      <c r="I874" s="305"/>
      <c r="J874" s="305"/>
      <c r="K874" s="305"/>
      <c r="L874" s="305"/>
      <c r="M874" s="305"/>
      <c r="N874" s="305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</row>
    <row r="875" spans="1:24" ht="15.75" customHeight="1">
      <c r="A875" s="305"/>
      <c r="B875" s="305"/>
      <c r="C875" s="305"/>
      <c r="D875" s="305"/>
      <c r="E875" s="305"/>
      <c r="F875" s="305"/>
      <c r="G875" s="305"/>
      <c r="H875" s="305"/>
      <c r="I875" s="305"/>
      <c r="J875" s="305"/>
      <c r="K875" s="305"/>
      <c r="L875" s="305"/>
      <c r="M875" s="305"/>
      <c r="N875" s="305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</row>
    <row r="876" spans="1:24" ht="15.75" customHeight="1">
      <c r="A876" s="305"/>
      <c r="B876" s="305"/>
      <c r="C876" s="305"/>
      <c r="D876" s="305"/>
      <c r="E876" s="305"/>
      <c r="F876" s="305"/>
      <c r="G876" s="305"/>
      <c r="H876" s="305"/>
      <c r="I876" s="305"/>
      <c r="J876" s="305"/>
      <c r="K876" s="305"/>
      <c r="L876" s="305"/>
      <c r="M876" s="305"/>
      <c r="N876" s="305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</row>
    <row r="877" spans="1:24" ht="15.75" customHeight="1">
      <c r="A877" s="305"/>
      <c r="B877" s="305"/>
      <c r="C877" s="305"/>
      <c r="D877" s="305"/>
      <c r="E877" s="305"/>
      <c r="F877" s="305"/>
      <c r="G877" s="305"/>
      <c r="H877" s="305"/>
      <c r="I877" s="305"/>
      <c r="J877" s="305"/>
      <c r="K877" s="305"/>
      <c r="L877" s="305"/>
      <c r="M877" s="305"/>
      <c r="N877" s="305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</row>
    <row r="878" spans="1:24" ht="15.75" customHeight="1">
      <c r="A878" s="305"/>
      <c r="B878" s="305"/>
      <c r="C878" s="305"/>
      <c r="D878" s="305"/>
      <c r="E878" s="305"/>
      <c r="F878" s="305"/>
      <c r="G878" s="305"/>
      <c r="H878" s="305"/>
      <c r="I878" s="305"/>
      <c r="J878" s="305"/>
      <c r="K878" s="305"/>
      <c r="L878" s="305"/>
      <c r="M878" s="305"/>
      <c r="N878" s="305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</row>
    <row r="879" spans="1:24" ht="15.75" customHeight="1">
      <c r="A879" s="305"/>
      <c r="B879" s="305"/>
      <c r="C879" s="305"/>
      <c r="D879" s="305"/>
      <c r="E879" s="305"/>
      <c r="F879" s="305"/>
      <c r="G879" s="305"/>
      <c r="H879" s="305"/>
      <c r="I879" s="305"/>
      <c r="J879" s="305"/>
      <c r="K879" s="305"/>
      <c r="L879" s="305"/>
      <c r="M879" s="305"/>
      <c r="N879" s="305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</row>
    <row r="880" spans="1:24" ht="15.75" customHeight="1">
      <c r="A880" s="305"/>
      <c r="B880" s="305"/>
      <c r="C880" s="305"/>
      <c r="D880" s="305"/>
      <c r="E880" s="305"/>
      <c r="F880" s="305"/>
      <c r="G880" s="305"/>
      <c r="H880" s="305"/>
      <c r="I880" s="305"/>
      <c r="J880" s="305"/>
      <c r="K880" s="305"/>
      <c r="L880" s="305"/>
      <c r="M880" s="305"/>
      <c r="N880" s="305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</row>
    <row r="881" spans="1:24" ht="15.75" customHeight="1">
      <c r="A881" s="305"/>
      <c r="B881" s="305"/>
      <c r="C881" s="305"/>
      <c r="D881" s="305"/>
      <c r="E881" s="305"/>
      <c r="F881" s="305"/>
      <c r="G881" s="305"/>
      <c r="H881" s="305"/>
      <c r="I881" s="305"/>
      <c r="J881" s="305"/>
      <c r="K881" s="305"/>
      <c r="L881" s="305"/>
      <c r="M881" s="305"/>
      <c r="N881" s="305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</row>
    <row r="882" spans="1:24" ht="15.75" customHeight="1">
      <c r="A882" s="305"/>
      <c r="B882" s="305"/>
      <c r="C882" s="305"/>
      <c r="D882" s="305"/>
      <c r="E882" s="305"/>
      <c r="F882" s="305"/>
      <c r="G882" s="305"/>
      <c r="H882" s="305"/>
      <c r="I882" s="305"/>
      <c r="J882" s="305"/>
      <c r="K882" s="305"/>
      <c r="L882" s="305"/>
      <c r="M882" s="305"/>
      <c r="N882" s="305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</row>
    <row r="883" spans="1:24" ht="15.75" customHeight="1">
      <c r="A883" s="305"/>
      <c r="B883" s="305"/>
      <c r="C883" s="305"/>
      <c r="D883" s="305"/>
      <c r="E883" s="305"/>
      <c r="F883" s="305"/>
      <c r="G883" s="305"/>
      <c r="H883" s="305"/>
      <c r="I883" s="305"/>
      <c r="J883" s="305"/>
      <c r="K883" s="305"/>
      <c r="L883" s="305"/>
      <c r="M883" s="305"/>
      <c r="N883" s="305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</row>
    <row r="884" spans="1:24" ht="15.75" customHeight="1">
      <c r="A884" s="305"/>
      <c r="B884" s="305"/>
      <c r="C884" s="305"/>
      <c r="D884" s="305"/>
      <c r="E884" s="305"/>
      <c r="F884" s="305"/>
      <c r="G884" s="305"/>
      <c r="H884" s="305"/>
      <c r="I884" s="305"/>
      <c r="J884" s="305"/>
      <c r="K884" s="305"/>
      <c r="L884" s="305"/>
      <c r="M884" s="305"/>
      <c r="N884" s="305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</row>
    <row r="885" spans="1:24" ht="15.75" customHeight="1">
      <c r="A885" s="305"/>
      <c r="B885" s="305"/>
      <c r="C885" s="305"/>
      <c r="D885" s="305"/>
      <c r="E885" s="305"/>
      <c r="F885" s="305"/>
      <c r="G885" s="305"/>
      <c r="H885" s="305"/>
      <c r="I885" s="305"/>
      <c r="J885" s="305"/>
      <c r="K885" s="305"/>
      <c r="L885" s="305"/>
      <c r="M885" s="305"/>
      <c r="N885" s="305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</row>
    <row r="886" spans="1:24" ht="15.75" customHeight="1">
      <c r="A886" s="305"/>
      <c r="B886" s="305"/>
      <c r="C886" s="305"/>
      <c r="D886" s="305"/>
      <c r="E886" s="305"/>
      <c r="F886" s="305"/>
      <c r="G886" s="305"/>
      <c r="H886" s="305"/>
      <c r="I886" s="305"/>
      <c r="J886" s="305"/>
      <c r="K886" s="305"/>
      <c r="L886" s="305"/>
      <c r="M886" s="305"/>
      <c r="N886" s="305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</row>
    <row r="887" spans="1:24" ht="15.75" customHeight="1">
      <c r="A887" s="305"/>
      <c r="B887" s="305"/>
      <c r="C887" s="305"/>
      <c r="D887" s="305"/>
      <c r="E887" s="305"/>
      <c r="F887" s="305"/>
      <c r="G887" s="305"/>
      <c r="H887" s="305"/>
      <c r="I887" s="305"/>
      <c r="J887" s="305"/>
      <c r="K887" s="305"/>
      <c r="L887" s="305"/>
      <c r="M887" s="305"/>
      <c r="N887" s="305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</row>
    <row r="888" spans="1:24" ht="15.75" customHeight="1">
      <c r="A888" s="305"/>
      <c r="B888" s="305"/>
      <c r="C888" s="305"/>
      <c r="D888" s="305"/>
      <c r="E888" s="305"/>
      <c r="F888" s="305"/>
      <c r="G888" s="305"/>
      <c r="H888" s="305"/>
      <c r="I888" s="305"/>
      <c r="J888" s="305"/>
      <c r="K888" s="305"/>
      <c r="L888" s="305"/>
      <c r="M888" s="305"/>
      <c r="N888" s="305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</row>
    <row r="889" spans="1:24" ht="15.75" customHeight="1">
      <c r="A889" s="305"/>
      <c r="B889" s="305"/>
      <c r="C889" s="305"/>
      <c r="D889" s="305"/>
      <c r="E889" s="305"/>
      <c r="F889" s="305"/>
      <c r="G889" s="305"/>
      <c r="H889" s="305"/>
      <c r="I889" s="305"/>
      <c r="J889" s="305"/>
      <c r="K889" s="305"/>
      <c r="L889" s="305"/>
      <c r="M889" s="305"/>
      <c r="N889" s="305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</row>
    <row r="890" spans="1:24" ht="15.75" customHeight="1">
      <c r="A890" s="305"/>
      <c r="B890" s="305"/>
      <c r="C890" s="305"/>
      <c r="D890" s="305"/>
      <c r="E890" s="305"/>
      <c r="F890" s="305"/>
      <c r="G890" s="305"/>
      <c r="H890" s="305"/>
      <c r="I890" s="305"/>
      <c r="J890" s="305"/>
      <c r="K890" s="305"/>
      <c r="L890" s="305"/>
      <c r="M890" s="305"/>
      <c r="N890" s="305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</row>
    <row r="891" spans="1:24" ht="15.75" customHeight="1">
      <c r="A891" s="305"/>
      <c r="B891" s="305"/>
      <c r="C891" s="305"/>
      <c r="D891" s="305"/>
      <c r="E891" s="305"/>
      <c r="F891" s="305"/>
      <c r="G891" s="305"/>
      <c r="H891" s="305"/>
      <c r="I891" s="305"/>
      <c r="J891" s="305"/>
      <c r="K891" s="305"/>
      <c r="L891" s="305"/>
      <c r="M891" s="305"/>
      <c r="N891" s="305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</row>
    <row r="892" spans="1:24" ht="15.75" customHeight="1">
      <c r="A892" s="305"/>
      <c r="B892" s="305"/>
      <c r="C892" s="305"/>
      <c r="D892" s="305"/>
      <c r="E892" s="305"/>
      <c r="F892" s="305"/>
      <c r="G892" s="305"/>
      <c r="H892" s="305"/>
      <c r="I892" s="305"/>
      <c r="J892" s="305"/>
      <c r="K892" s="305"/>
      <c r="L892" s="305"/>
      <c r="M892" s="305"/>
      <c r="N892" s="305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</row>
    <row r="893" spans="1:24" ht="15.75" customHeight="1">
      <c r="A893" s="305"/>
      <c r="B893" s="305"/>
      <c r="C893" s="305"/>
      <c r="D893" s="305"/>
      <c r="E893" s="305"/>
      <c r="F893" s="305"/>
      <c r="G893" s="305"/>
      <c r="H893" s="305"/>
      <c r="I893" s="305"/>
      <c r="J893" s="305"/>
      <c r="K893" s="305"/>
      <c r="L893" s="305"/>
      <c r="M893" s="305"/>
      <c r="N893" s="305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</row>
    <row r="894" spans="1:24" ht="15.75" customHeight="1">
      <c r="A894" s="305"/>
      <c r="B894" s="305"/>
      <c r="C894" s="305"/>
      <c r="D894" s="305"/>
      <c r="E894" s="305"/>
      <c r="F894" s="305"/>
      <c r="G894" s="305"/>
      <c r="H894" s="305"/>
      <c r="I894" s="305"/>
      <c r="J894" s="305"/>
      <c r="K894" s="305"/>
      <c r="L894" s="305"/>
      <c r="M894" s="305"/>
      <c r="N894" s="305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</row>
    <row r="895" spans="1:24" ht="15.75" customHeight="1">
      <c r="A895" s="305"/>
      <c r="B895" s="305"/>
      <c r="C895" s="305"/>
      <c r="D895" s="305"/>
      <c r="E895" s="305"/>
      <c r="F895" s="305"/>
      <c r="G895" s="305"/>
      <c r="H895" s="305"/>
      <c r="I895" s="305"/>
      <c r="J895" s="305"/>
      <c r="K895" s="305"/>
      <c r="L895" s="305"/>
      <c r="M895" s="305"/>
      <c r="N895" s="305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</row>
    <row r="896" spans="1:24" ht="15.75" customHeight="1">
      <c r="A896" s="305"/>
      <c r="B896" s="305"/>
      <c r="C896" s="305"/>
      <c r="D896" s="305"/>
      <c r="E896" s="305"/>
      <c r="F896" s="305"/>
      <c r="G896" s="305"/>
      <c r="H896" s="305"/>
      <c r="I896" s="305"/>
      <c r="J896" s="305"/>
      <c r="K896" s="305"/>
      <c r="L896" s="305"/>
      <c r="M896" s="305"/>
      <c r="N896" s="305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</row>
    <row r="897" spans="1:24" ht="15.75" customHeight="1">
      <c r="A897" s="305"/>
      <c r="B897" s="305"/>
      <c r="C897" s="305"/>
      <c r="D897" s="305"/>
      <c r="E897" s="305"/>
      <c r="F897" s="305"/>
      <c r="G897" s="305"/>
      <c r="H897" s="305"/>
      <c r="I897" s="305"/>
      <c r="J897" s="305"/>
      <c r="K897" s="305"/>
      <c r="L897" s="305"/>
      <c r="M897" s="305"/>
      <c r="N897" s="305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</row>
    <row r="898" spans="1:24" ht="15.75" customHeight="1">
      <c r="A898" s="305"/>
      <c r="B898" s="305"/>
      <c r="C898" s="305"/>
      <c r="D898" s="305"/>
      <c r="E898" s="305"/>
      <c r="F898" s="305"/>
      <c r="G898" s="305"/>
      <c r="H898" s="305"/>
      <c r="I898" s="305"/>
      <c r="J898" s="305"/>
      <c r="K898" s="305"/>
      <c r="L898" s="305"/>
      <c r="M898" s="305"/>
      <c r="N898" s="305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</row>
    <row r="899" spans="1:24" ht="15.75" customHeight="1">
      <c r="A899" s="305"/>
      <c r="B899" s="305"/>
      <c r="C899" s="305"/>
      <c r="D899" s="305"/>
      <c r="E899" s="305"/>
      <c r="F899" s="305"/>
      <c r="G899" s="305"/>
      <c r="H899" s="305"/>
      <c r="I899" s="305"/>
      <c r="J899" s="305"/>
      <c r="K899" s="305"/>
      <c r="L899" s="305"/>
      <c r="M899" s="305"/>
      <c r="N899" s="305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</row>
    <row r="900" spans="1:24" ht="15.75" customHeight="1">
      <c r="A900" s="305"/>
      <c r="B900" s="305"/>
      <c r="C900" s="305"/>
      <c r="D900" s="305"/>
      <c r="E900" s="305"/>
      <c r="F900" s="305"/>
      <c r="G900" s="305"/>
      <c r="H900" s="305"/>
      <c r="I900" s="305"/>
      <c r="J900" s="305"/>
      <c r="K900" s="305"/>
      <c r="L900" s="305"/>
      <c r="M900" s="305"/>
      <c r="N900" s="305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</row>
    <row r="901" spans="1:24" ht="15.75" customHeight="1">
      <c r="A901" s="305"/>
      <c r="B901" s="305"/>
      <c r="C901" s="305"/>
      <c r="D901" s="305"/>
      <c r="E901" s="305"/>
      <c r="F901" s="305"/>
      <c r="G901" s="305"/>
      <c r="H901" s="305"/>
      <c r="I901" s="305"/>
      <c r="J901" s="305"/>
      <c r="K901" s="305"/>
      <c r="L901" s="305"/>
      <c r="M901" s="305"/>
      <c r="N901" s="305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</row>
    <row r="902" spans="1:24" ht="15.75" customHeight="1">
      <c r="A902" s="305"/>
      <c r="B902" s="305"/>
      <c r="C902" s="305"/>
      <c r="D902" s="305"/>
      <c r="E902" s="305"/>
      <c r="F902" s="305"/>
      <c r="G902" s="305"/>
      <c r="H902" s="305"/>
      <c r="I902" s="305"/>
      <c r="J902" s="305"/>
      <c r="K902" s="305"/>
      <c r="L902" s="305"/>
      <c r="M902" s="305"/>
      <c r="N902" s="305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</row>
    <row r="903" spans="1:24" ht="15.75" customHeight="1">
      <c r="A903" s="305"/>
      <c r="B903" s="305"/>
      <c r="C903" s="305"/>
      <c r="D903" s="305"/>
      <c r="E903" s="305"/>
      <c r="F903" s="305"/>
      <c r="G903" s="305"/>
      <c r="H903" s="305"/>
      <c r="I903" s="305"/>
      <c r="J903" s="305"/>
      <c r="K903" s="305"/>
      <c r="L903" s="305"/>
      <c r="M903" s="305"/>
      <c r="N903" s="305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</row>
    <row r="904" spans="1:24" ht="15.75" customHeight="1">
      <c r="A904" s="305"/>
      <c r="B904" s="305"/>
      <c r="C904" s="305"/>
      <c r="D904" s="305"/>
      <c r="E904" s="305"/>
      <c r="F904" s="305"/>
      <c r="G904" s="305"/>
      <c r="H904" s="305"/>
      <c r="I904" s="305"/>
      <c r="J904" s="305"/>
      <c r="K904" s="305"/>
      <c r="L904" s="305"/>
      <c r="M904" s="305"/>
      <c r="N904" s="305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</row>
    <row r="905" spans="1:24" ht="15.75" customHeight="1">
      <c r="A905" s="305"/>
      <c r="B905" s="305"/>
      <c r="C905" s="305"/>
      <c r="D905" s="305"/>
      <c r="E905" s="305"/>
      <c r="F905" s="305"/>
      <c r="G905" s="305"/>
      <c r="H905" s="305"/>
      <c r="I905" s="305"/>
      <c r="J905" s="305"/>
      <c r="K905" s="305"/>
      <c r="L905" s="305"/>
      <c r="M905" s="305"/>
      <c r="N905" s="305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</row>
    <row r="906" spans="1:24" ht="15.75" customHeight="1">
      <c r="A906" s="305"/>
      <c r="B906" s="305"/>
      <c r="C906" s="305"/>
      <c r="D906" s="305"/>
      <c r="E906" s="305"/>
      <c r="F906" s="305"/>
      <c r="G906" s="305"/>
      <c r="H906" s="305"/>
      <c r="I906" s="305"/>
      <c r="J906" s="305"/>
      <c r="K906" s="305"/>
      <c r="L906" s="305"/>
      <c r="M906" s="305"/>
      <c r="N906" s="305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</row>
    <row r="907" spans="1:24" ht="15.75" customHeight="1">
      <c r="A907" s="305"/>
      <c r="B907" s="305"/>
      <c r="C907" s="305"/>
      <c r="D907" s="305"/>
      <c r="E907" s="305"/>
      <c r="F907" s="305"/>
      <c r="G907" s="305"/>
      <c r="H907" s="305"/>
      <c r="I907" s="305"/>
      <c r="J907" s="305"/>
      <c r="K907" s="305"/>
      <c r="L907" s="305"/>
      <c r="M907" s="305"/>
      <c r="N907" s="305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</row>
    <row r="908" spans="1:24" ht="15.75" customHeight="1">
      <c r="A908" s="305"/>
      <c r="B908" s="305"/>
      <c r="C908" s="305"/>
      <c r="D908" s="305"/>
      <c r="E908" s="305"/>
      <c r="F908" s="305"/>
      <c r="G908" s="305"/>
      <c r="H908" s="305"/>
      <c r="I908" s="305"/>
      <c r="J908" s="305"/>
      <c r="K908" s="305"/>
      <c r="L908" s="305"/>
      <c r="M908" s="305"/>
      <c r="N908" s="305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</row>
    <row r="909" spans="1:24" ht="15.75" customHeight="1">
      <c r="A909" s="305"/>
      <c r="B909" s="305"/>
      <c r="C909" s="305"/>
      <c r="D909" s="305"/>
      <c r="E909" s="305"/>
      <c r="F909" s="305"/>
      <c r="G909" s="305"/>
      <c r="H909" s="305"/>
      <c r="I909" s="305"/>
      <c r="J909" s="305"/>
      <c r="K909" s="305"/>
      <c r="L909" s="305"/>
      <c r="M909" s="305"/>
      <c r="N909" s="305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</row>
    <row r="910" spans="1:24" ht="15.75" customHeight="1">
      <c r="A910" s="305"/>
      <c r="B910" s="305"/>
      <c r="C910" s="305"/>
      <c r="D910" s="305"/>
      <c r="E910" s="305"/>
      <c r="F910" s="305"/>
      <c r="G910" s="305"/>
      <c r="H910" s="305"/>
      <c r="I910" s="305"/>
      <c r="J910" s="305"/>
      <c r="K910" s="305"/>
      <c r="L910" s="305"/>
      <c r="M910" s="305"/>
      <c r="N910" s="305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</row>
    <row r="911" spans="1:24" ht="15.75" customHeight="1">
      <c r="A911" s="305"/>
      <c r="B911" s="305"/>
      <c r="C911" s="305"/>
      <c r="D911" s="305"/>
      <c r="E911" s="305"/>
      <c r="F911" s="305"/>
      <c r="G911" s="305"/>
      <c r="H911" s="305"/>
      <c r="I911" s="305"/>
      <c r="J911" s="305"/>
      <c r="K911" s="305"/>
      <c r="L911" s="305"/>
      <c r="M911" s="305"/>
      <c r="N911" s="305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</row>
    <row r="912" spans="1:24" ht="15.75" customHeight="1">
      <c r="A912" s="305"/>
      <c r="B912" s="305"/>
      <c r="C912" s="305"/>
      <c r="D912" s="305"/>
      <c r="E912" s="305"/>
      <c r="F912" s="305"/>
      <c r="G912" s="305"/>
      <c r="H912" s="305"/>
      <c r="I912" s="305"/>
      <c r="J912" s="305"/>
      <c r="K912" s="305"/>
      <c r="L912" s="305"/>
      <c r="M912" s="305"/>
      <c r="N912" s="305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</row>
    <row r="913" spans="1:24" ht="15.75" customHeight="1">
      <c r="A913" s="305"/>
      <c r="B913" s="305"/>
      <c r="C913" s="305"/>
      <c r="D913" s="305"/>
      <c r="E913" s="305"/>
      <c r="F913" s="305"/>
      <c r="G913" s="305"/>
      <c r="H913" s="305"/>
      <c r="I913" s="305"/>
      <c r="J913" s="305"/>
      <c r="K913" s="305"/>
      <c r="L913" s="305"/>
      <c r="M913" s="305"/>
      <c r="N913" s="305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</row>
    <row r="914" spans="1:24" ht="15.75" customHeight="1">
      <c r="A914" s="305"/>
      <c r="B914" s="305"/>
      <c r="C914" s="305"/>
      <c r="D914" s="305"/>
      <c r="E914" s="305"/>
      <c r="F914" s="305"/>
      <c r="G914" s="305"/>
      <c r="H914" s="305"/>
      <c r="I914" s="305"/>
      <c r="J914" s="305"/>
      <c r="K914" s="305"/>
      <c r="L914" s="305"/>
      <c r="M914" s="305"/>
      <c r="N914" s="305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</row>
    <row r="915" spans="1:24" ht="15.75" customHeight="1">
      <c r="A915" s="305"/>
      <c r="B915" s="305"/>
      <c r="C915" s="305"/>
      <c r="D915" s="305"/>
      <c r="E915" s="305"/>
      <c r="F915" s="305"/>
      <c r="G915" s="305"/>
      <c r="H915" s="305"/>
      <c r="I915" s="305"/>
      <c r="J915" s="305"/>
      <c r="K915" s="305"/>
      <c r="L915" s="305"/>
      <c r="M915" s="305"/>
      <c r="N915" s="305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</row>
    <row r="916" spans="1:24" ht="15.75" customHeight="1">
      <c r="A916" s="305"/>
      <c r="B916" s="305"/>
      <c r="C916" s="305"/>
      <c r="D916" s="305"/>
      <c r="E916" s="305"/>
      <c r="F916" s="305"/>
      <c r="G916" s="305"/>
      <c r="H916" s="305"/>
      <c r="I916" s="305"/>
      <c r="J916" s="305"/>
      <c r="K916" s="305"/>
      <c r="L916" s="305"/>
      <c r="M916" s="305"/>
      <c r="N916" s="305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</row>
    <row r="917" spans="1:24" ht="15.75" customHeight="1">
      <c r="A917" s="305"/>
      <c r="B917" s="305"/>
      <c r="C917" s="305"/>
      <c r="D917" s="305"/>
      <c r="E917" s="305"/>
      <c r="F917" s="305"/>
      <c r="G917" s="305"/>
      <c r="H917" s="305"/>
      <c r="I917" s="305"/>
      <c r="J917" s="305"/>
      <c r="K917" s="305"/>
      <c r="L917" s="305"/>
      <c r="M917" s="305"/>
      <c r="N917" s="305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</row>
    <row r="918" spans="1:24" ht="15.75" customHeight="1">
      <c r="A918" s="305"/>
      <c r="B918" s="305"/>
      <c r="C918" s="305"/>
      <c r="D918" s="305"/>
      <c r="E918" s="305"/>
      <c r="F918" s="305"/>
      <c r="G918" s="305"/>
      <c r="H918" s="305"/>
      <c r="I918" s="305"/>
      <c r="J918" s="305"/>
      <c r="K918" s="305"/>
      <c r="L918" s="305"/>
      <c r="M918" s="305"/>
      <c r="N918" s="305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</row>
    <row r="919" spans="1:24" ht="15.75" customHeight="1">
      <c r="A919" s="305"/>
      <c r="B919" s="305"/>
      <c r="C919" s="305"/>
      <c r="D919" s="305"/>
      <c r="E919" s="305"/>
      <c r="F919" s="305"/>
      <c r="G919" s="305"/>
      <c r="H919" s="305"/>
      <c r="I919" s="305"/>
      <c r="J919" s="305"/>
      <c r="K919" s="305"/>
      <c r="L919" s="305"/>
      <c r="M919" s="305"/>
      <c r="N919" s="305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</row>
    <row r="920" spans="1:24" ht="15.75" customHeight="1">
      <c r="A920" s="305"/>
      <c r="B920" s="305"/>
      <c r="C920" s="305"/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</row>
    <row r="921" spans="1:24" ht="15.75" customHeight="1">
      <c r="A921" s="305"/>
      <c r="B921" s="305"/>
      <c r="C921" s="305"/>
      <c r="D921" s="305"/>
      <c r="E921" s="305"/>
      <c r="F921" s="305"/>
      <c r="G921" s="305"/>
      <c r="H921" s="305"/>
      <c r="I921" s="305"/>
      <c r="J921" s="305"/>
      <c r="K921" s="305"/>
      <c r="L921" s="305"/>
      <c r="M921" s="305"/>
      <c r="N921" s="305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</row>
    <row r="922" spans="1:24" ht="15.75" customHeight="1">
      <c r="A922" s="305"/>
      <c r="B922" s="305"/>
      <c r="C922" s="305"/>
      <c r="D922" s="305"/>
      <c r="E922" s="305"/>
      <c r="F922" s="305"/>
      <c r="G922" s="305"/>
      <c r="H922" s="305"/>
      <c r="I922" s="305"/>
      <c r="J922" s="305"/>
      <c r="K922" s="305"/>
      <c r="L922" s="305"/>
      <c r="M922" s="305"/>
      <c r="N922" s="305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</row>
    <row r="923" spans="1:24" ht="15.75" customHeight="1">
      <c r="A923" s="305"/>
      <c r="B923" s="305"/>
      <c r="C923" s="305"/>
      <c r="D923" s="305"/>
      <c r="E923" s="305"/>
      <c r="F923" s="305"/>
      <c r="G923" s="305"/>
      <c r="H923" s="305"/>
      <c r="I923" s="305"/>
      <c r="J923" s="305"/>
      <c r="K923" s="305"/>
      <c r="L923" s="305"/>
      <c r="M923" s="305"/>
      <c r="N923" s="305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</row>
    <row r="924" spans="1:24" ht="15.75" customHeight="1">
      <c r="A924" s="305"/>
      <c r="B924" s="305"/>
      <c r="C924" s="305"/>
      <c r="D924" s="305"/>
      <c r="E924" s="305"/>
      <c r="F924" s="305"/>
      <c r="G924" s="305"/>
      <c r="H924" s="305"/>
      <c r="I924" s="305"/>
      <c r="J924" s="305"/>
      <c r="K924" s="305"/>
      <c r="L924" s="305"/>
      <c r="M924" s="305"/>
      <c r="N924" s="305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</row>
    <row r="925" spans="1:24" ht="15.75" customHeight="1">
      <c r="A925" s="305"/>
      <c r="B925" s="305"/>
      <c r="C925" s="305"/>
      <c r="D925" s="305"/>
      <c r="E925" s="305"/>
      <c r="F925" s="305"/>
      <c r="G925" s="305"/>
      <c r="H925" s="305"/>
      <c r="I925" s="305"/>
      <c r="J925" s="305"/>
      <c r="K925" s="305"/>
      <c r="L925" s="305"/>
      <c r="M925" s="305"/>
      <c r="N925" s="305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</row>
    <row r="926" spans="1:24" ht="15.75" customHeight="1">
      <c r="A926" s="305"/>
      <c r="B926" s="305"/>
      <c r="C926" s="305"/>
      <c r="D926" s="305"/>
      <c r="E926" s="305"/>
      <c r="F926" s="305"/>
      <c r="G926" s="305"/>
      <c r="H926" s="305"/>
      <c r="I926" s="305"/>
      <c r="J926" s="305"/>
      <c r="K926" s="305"/>
      <c r="L926" s="305"/>
      <c r="M926" s="305"/>
      <c r="N926" s="305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</row>
    <row r="927" spans="1:24" ht="15.75" customHeight="1">
      <c r="A927" s="305"/>
      <c r="B927" s="305"/>
      <c r="C927" s="305"/>
      <c r="D927" s="305"/>
      <c r="E927" s="305"/>
      <c r="F927" s="305"/>
      <c r="G927" s="305"/>
      <c r="H927" s="305"/>
      <c r="I927" s="305"/>
      <c r="J927" s="305"/>
      <c r="K927" s="305"/>
      <c r="L927" s="305"/>
      <c r="M927" s="305"/>
      <c r="N927" s="305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</row>
    <row r="928" spans="1:24" ht="15.75" customHeight="1">
      <c r="A928" s="305"/>
      <c r="B928" s="305"/>
      <c r="C928" s="305"/>
      <c r="D928" s="305"/>
      <c r="E928" s="305"/>
      <c r="F928" s="305"/>
      <c r="G928" s="305"/>
      <c r="H928" s="305"/>
      <c r="I928" s="305"/>
      <c r="J928" s="305"/>
      <c r="K928" s="305"/>
      <c r="L928" s="305"/>
      <c r="M928" s="305"/>
      <c r="N928" s="305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</row>
    <row r="929" spans="1:24" ht="15.75" customHeight="1">
      <c r="A929" s="305"/>
      <c r="B929" s="305"/>
      <c r="C929" s="305"/>
      <c r="D929" s="305"/>
      <c r="E929" s="305"/>
      <c r="F929" s="305"/>
      <c r="G929" s="305"/>
      <c r="H929" s="305"/>
      <c r="I929" s="305"/>
      <c r="J929" s="305"/>
      <c r="K929" s="305"/>
      <c r="L929" s="305"/>
      <c r="M929" s="305"/>
      <c r="N929" s="305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</row>
    <row r="930" spans="1:24" ht="15.75" customHeight="1">
      <c r="A930" s="305"/>
      <c r="B930" s="305"/>
      <c r="C930" s="305"/>
      <c r="D930" s="305"/>
      <c r="E930" s="305"/>
      <c r="F930" s="305"/>
      <c r="G930" s="305"/>
      <c r="H930" s="305"/>
      <c r="I930" s="305"/>
      <c r="J930" s="305"/>
      <c r="K930" s="305"/>
      <c r="L930" s="305"/>
      <c r="M930" s="305"/>
      <c r="N930" s="305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</row>
    <row r="931" spans="1:24" ht="15.75" customHeight="1">
      <c r="A931" s="305"/>
      <c r="B931" s="305"/>
      <c r="C931" s="305"/>
      <c r="D931" s="305"/>
      <c r="E931" s="305"/>
      <c r="F931" s="305"/>
      <c r="G931" s="305"/>
      <c r="H931" s="305"/>
      <c r="I931" s="305"/>
      <c r="J931" s="305"/>
      <c r="K931" s="305"/>
      <c r="L931" s="305"/>
      <c r="M931" s="305"/>
      <c r="N931" s="305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</row>
    <row r="932" spans="1:24" ht="15.75" customHeight="1">
      <c r="A932" s="305"/>
      <c r="B932" s="305"/>
      <c r="C932" s="305"/>
      <c r="D932" s="305"/>
      <c r="E932" s="305"/>
      <c r="F932" s="305"/>
      <c r="G932" s="305"/>
      <c r="H932" s="305"/>
      <c r="I932" s="305"/>
      <c r="J932" s="305"/>
      <c r="K932" s="305"/>
      <c r="L932" s="305"/>
      <c r="M932" s="305"/>
      <c r="N932" s="305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</row>
    <row r="933" spans="1:24" ht="15.75" customHeight="1">
      <c r="A933" s="305"/>
      <c r="B933" s="305"/>
      <c r="C933" s="305"/>
      <c r="D933" s="305"/>
      <c r="E933" s="305"/>
      <c r="F933" s="305"/>
      <c r="G933" s="305"/>
      <c r="H933" s="305"/>
      <c r="I933" s="305"/>
      <c r="J933" s="305"/>
      <c r="K933" s="305"/>
      <c r="L933" s="305"/>
      <c r="M933" s="305"/>
      <c r="N933" s="305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</row>
    <row r="934" spans="1:24" ht="15.75" customHeight="1">
      <c r="A934" s="305"/>
      <c r="B934" s="305"/>
      <c r="C934" s="305"/>
      <c r="D934" s="305"/>
      <c r="E934" s="305"/>
      <c r="F934" s="305"/>
      <c r="G934" s="305"/>
      <c r="H934" s="305"/>
      <c r="I934" s="305"/>
      <c r="J934" s="305"/>
      <c r="K934" s="305"/>
      <c r="L934" s="305"/>
      <c r="M934" s="305"/>
      <c r="N934" s="305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</row>
    <row r="935" spans="1:24" ht="15.75" customHeight="1">
      <c r="A935" s="305"/>
      <c r="B935" s="305"/>
      <c r="C935" s="305"/>
      <c r="D935" s="305"/>
      <c r="E935" s="305"/>
      <c r="F935" s="305"/>
      <c r="G935" s="305"/>
      <c r="H935" s="305"/>
      <c r="I935" s="305"/>
      <c r="J935" s="305"/>
      <c r="K935" s="305"/>
      <c r="L935" s="305"/>
      <c r="M935" s="305"/>
      <c r="N935" s="305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</row>
    <row r="936" spans="1:24" ht="15.75" customHeight="1">
      <c r="A936" s="305"/>
      <c r="B936" s="305"/>
      <c r="C936" s="305"/>
      <c r="D936" s="305"/>
      <c r="E936" s="305"/>
      <c r="F936" s="305"/>
      <c r="G936" s="305"/>
      <c r="H936" s="305"/>
      <c r="I936" s="305"/>
      <c r="J936" s="305"/>
      <c r="K936" s="305"/>
      <c r="L936" s="305"/>
      <c r="M936" s="305"/>
      <c r="N936" s="305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</row>
    <row r="937" spans="1:24" ht="15.75" customHeight="1">
      <c r="A937" s="305"/>
      <c r="B937" s="305"/>
      <c r="C937" s="305"/>
      <c r="D937" s="305"/>
      <c r="E937" s="305"/>
      <c r="F937" s="305"/>
      <c r="G937" s="305"/>
      <c r="H937" s="305"/>
      <c r="I937" s="305"/>
      <c r="J937" s="305"/>
      <c r="K937" s="305"/>
      <c r="L937" s="305"/>
      <c r="M937" s="305"/>
      <c r="N937" s="305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</row>
    <row r="938" spans="1:24" ht="15.75" customHeight="1">
      <c r="A938" s="305"/>
      <c r="B938" s="305"/>
      <c r="C938" s="305"/>
      <c r="D938" s="305"/>
      <c r="E938" s="305"/>
      <c r="F938" s="305"/>
      <c r="G938" s="305"/>
      <c r="H938" s="305"/>
      <c r="I938" s="305"/>
      <c r="J938" s="305"/>
      <c r="K938" s="305"/>
      <c r="L938" s="305"/>
      <c r="M938" s="305"/>
      <c r="N938" s="305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</row>
    <row r="939" spans="1:24" ht="15.75" customHeight="1">
      <c r="A939" s="305"/>
      <c r="B939" s="305"/>
      <c r="C939" s="305"/>
      <c r="D939" s="305"/>
      <c r="E939" s="305"/>
      <c r="F939" s="305"/>
      <c r="G939" s="305"/>
      <c r="H939" s="305"/>
      <c r="I939" s="305"/>
      <c r="J939" s="305"/>
      <c r="K939" s="305"/>
      <c r="L939" s="305"/>
      <c r="M939" s="305"/>
      <c r="N939" s="305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</row>
    <row r="940" spans="1:24" ht="15.75" customHeight="1">
      <c r="A940" s="305"/>
      <c r="B940" s="305"/>
      <c r="C940" s="305"/>
      <c r="D940" s="305"/>
      <c r="E940" s="305"/>
      <c r="F940" s="305"/>
      <c r="G940" s="305"/>
      <c r="H940" s="305"/>
      <c r="I940" s="305"/>
      <c r="J940" s="305"/>
      <c r="K940" s="305"/>
      <c r="L940" s="305"/>
      <c r="M940" s="305"/>
      <c r="N940" s="305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</row>
    <row r="941" spans="1:24" ht="15.75" customHeight="1">
      <c r="A941" s="305"/>
      <c r="B941" s="305"/>
      <c r="C941" s="305"/>
      <c r="D941" s="305"/>
      <c r="E941" s="305"/>
      <c r="F941" s="305"/>
      <c r="G941" s="305"/>
      <c r="H941" s="305"/>
      <c r="I941" s="305"/>
      <c r="J941" s="305"/>
      <c r="K941" s="305"/>
      <c r="L941" s="305"/>
      <c r="M941" s="305"/>
      <c r="N941" s="305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</row>
    <row r="942" spans="1:24" ht="15.75" customHeight="1">
      <c r="A942" s="305"/>
      <c r="B942" s="305"/>
      <c r="C942" s="305"/>
      <c r="D942" s="305"/>
      <c r="E942" s="305"/>
      <c r="F942" s="305"/>
      <c r="G942" s="305"/>
      <c r="H942" s="305"/>
      <c r="I942" s="305"/>
      <c r="J942" s="305"/>
      <c r="K942" s="305"/>
      <c r="L942" s="305"/>
      <c r="M942" s="305"/>
      <c r="N942" s="305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</row>
    <row r="943" spans="1:24" ht="15.75" customHeight="1">
      <c r="A943" s="305"/>
      <c r="B943" s="305"/>
      <c r="C943" s="305"/>
      <c r="D943" s="305"/>
      <c r="E943" s="305"/>
      <c r="F943" s="305"/>
      <c r="G943" s="305"/>
      <c r="H943" s="305"/>
      <c r="I943" s="305"/>
      <c r="J943" s="305"/>
      <c r="K943" s="305"/>
      <c r="L943" s="305"/>
      <c r="M943" s="305"/>
      <c r="N943" s="305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</row>
    <row r="944" spans="1:24" ht="15.75" customHeight="1">
      <c r="A944" s="305"/>
      <c r="B944" s="305"/>
      <c r="C944" s="305"/>
      <c r="D944" s="305"/>
      <c r="E944" s="305"/>
      <c r="F944" s="305"/>
      <c r="G944" s="305"/>
      <c r="H944" s="305"/>
      <c r="I944" s="305"/>
      <c r="J944" s="305"/>
      <c r="K944" s="305"/>
      <c r="L944" s="305"/>
      <c r="M944" s="305"/>
      <c r="N944" s="305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</row>
    <row r="945" spans="1:24" ht="15.75" customHeight="1">
      <c r="A945" s="305"/>
      <c r="B945" s="305"/>
      <c r="C945" s="305"/>
      <c r="D945" s="305"/>
      <c r="E945" s="305"/>
      <c r="F945" s="305"/>
      <c r="G945" s="305"/>
      <c r="H945" s="305"/>
      <c r="I945" s="305"/>
      <c r="J945" s="305"/>
      <c r="K945" s="305"/>
      <c r="L945" s="305"/>
      <c r="M945" s="305"/>
      <c r="N945" s="305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</row>
    <row r="946" spans="1:24" ht="15.75" customHeight="1">
      <c r="A946" s="305"/>
      <c r="B946" s="305"/>
      <c r="C946" s="305"/>
      <c r="D946" s="305"/>
      <c r="E946" s="305"/>
      <c r="F946" s="305"/>
      <c r="G946" s="305"/>
      <c r="H946" s="305"/>
      <c r="I946" s="305"/>
      <c r="J946" s="305"/>
      <c r="K946" s="305"/>
      <c r="L946" s="305"/>
      <c r="M946" s="305"/>
      <c r="N946" s="305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</row>
    <row r="947" spans="1:24" ht="15.75" customHeight="1">
      <c r="A947" s="305"/>
      <c r="B947" s="305"/>
      <c r="C947" s="305"/>
      <c r="D947" s="305"/>
      <c r="E947" s="305"/>
      <c r="F947" s="305"/>
      <c r="G947" s="305"/>
      <c r="H947" s="305"/>
      <c r="I947" s="305"/>
      <c r="J947" s="305"/>
      <c r="K947" s="305"/>
      <c r="L947" s="305"/>
      <c r="M947" s="305"/>
      <c r="N947" s="305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</row>
    <row r="948" spans="1:24" ht="15.75" customHeight="1">
      <c r="A948" s="305"/>
      <c r="B948" s="305"/>
      <c r="C948" s="305"/>
      <c r="D948" s="305"/>
      <c r="E948" s="305"/>
      <c r="F948" s="305"/>
      <c r="G948" s="305"/>
      <c r="H948" s="305"/>
      <c r="I948" s="305"/>
      <c r="J948" s="305"/>
      <c r="K948" s="305"/>
      <c r="L948" s="305"/>
      <c r="M948" s="305"/>
      <c r="N948" s="305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</row>
    <row r="949" spans="1:24" ht="15.75" customHeight="1">
      <c r="A949" s="305"/>
      <c r="B949" s="305"/>
      <c r="C949" s="305"/>
      <c r="D949" s="305"/>
      <c r="E949" s="305"/>
      <c r="F949" s="305"/>
      <c r="G949" s="305"/>
      <c r="H949" s="305"/>
      <c r="I949" s="305"/>
      <c r="J949" s="305"/>
      <c r="K949" s="305"/>
      <c r="L949" s="305"/>
      <c r="M949" s="305"/>
      <c r="N949" s="305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</row>
    <row r="950" spans="1:24" ht="15.75" customHeight="1">
      <c r="A950" s="305"/>
      <c r="B950" s="305"/>
      <c r="C950" s="305"/>
      <c r="D950" s="305"/>
      <c r="E950" s="305"/>
      <c r="F950" s="305"/>
      <c r="G950" s="305"/>
      <c r="H950" s="305"/>
      <c r="I950" s="305"/>
      <c r="J950" s="305"/>
      <c r="K950" s="305"/>
      <c r="L950" s="305"/>
      <c r="M950" s="305"/>
      <c r="N950" s="305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</row>
    <row r="951" spans="1:24" ht="15.75" customHeight="1">
      <c r="A951" s="305"/>
      <c r="B951" s="305"/>
      <c r="C951" s="305"/>
      <c r="D951" s="305"/>
      <c r="E951" s="305"/>
      <c r="F951" s="305"/>
      <c r="G951" s="305"/>
      <c r="H951" s="305"/>
      <c r="I951" s="305"/>
      <c r="J951" s="305"/>
      <c r="K951" s="305"/>
      <c r="L951" s="305"/>
      <c r="M951" s="305"/>
      <c r="N951" s="305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</row>
    <row r="952" spans="1:24" ht="15.75" customHeight="1">
      <c r="A952" s="305"/>
      <c r="B952" s="305"/>
      <c r="C952" s="305"/>
      <c r="D952" s="305"/>
      <c r="E952" s="305"/>
      <c r="F952" s="305"/>
      <c r="G952" s="305"/>
      <c r="H952" s="305"/>
      <c r="I952" s="305"/>
      <c r="J952" s="305"/>
      <c r="K952" s="305"/>
      <c r="L952" s="305"/>
      <c r="M952" s="305"/>
      <c r="N952" s="305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</row>
    <row r="953" spans="1:24" ht="15.75" customHeight="1">
      <c r="A953" s="305"/>
      <c r="B953" s="305"/>
      <c r="C953" s="305"/>
      <c r="D953" s="305"/>
      <c r="E953" s="305"/>
      <c r="F953" s="305"/>
      <c r="G953" s="305"/>
      <c r="H953" s="305"/>
      <c r="I953" s="305"/>
      <c r="J953" s="305"/>
      <c r="K953" s="305"/>
      <c r="L953" s="305"/>
      <c r="M953" s="305"/>
      <c r="N953" s="305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</row>
    <row r="954" spans="1:24" ht="15.75" customHeight="1">
      <c r="A954" s="305"/>
      <c r="B954" s="305"/>
      <c r="C954" s="305"/>
      <c r="D954" s="305"/>
      <c r="E954" s="305"/>
      <c r="F954" s="305"/>
      <c r="G954" s="305"/>
      <c r="H954" s="305"/>
      <c r="I954" s="305"/>
      <c r="J954" s="305"/>
      <c r="K954" s="305"/>
      <c r="L954" s="305"/>
      <c r="M954" s="305"/>
      <c r="N954" s="305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</row>
    <row r="955" spans="1:24" ht="15.75" customHeight="1">
      <c r="A955" s="305"/>
      <c r="B955" s="305"/>
      <c r="C955" s="305"/>
      <c r="D955" s="305"/>
      <c r="E955" s="305"/>
      <c r="F955" s="305"/>
      <c r="G955" s="305"/>
      <c r="H955" s="305"/>
      <c r="I955" s="305"/>
      <c r="J955" s="305"/>
      <c r="K955" s="305"/>
      <c r="L955" s="305"/>
      <c r="M955" s="305"/>
      <c r="N955" s="305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</row>
    <row r="956" spans="1:24" ht="15.75" customHeight="1">
      <c r="A956" s="305"/>
      <c r="B956" s="305"/>
      <c r="C956" s="305"/>
      <c r="D956" s="305"/>
      <c r="E956" s="305"/>
      <c r="F956" s="305"/>
      <c r="G956" s="305"/>
      <c r="H956" s="305"/>
      <c r="I956" s="305"/>
      <c r="J956" s="305"/>
      <c r="K956" s="305"/>
      <c r="L956" s="305"/>
      <c r="M956" s="305"/>
      <c r="N956" s="305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</row>
    <row r="957" spans="1:24" ht="15.75" customHeight="1">
      <c r="A957" s="305"/>
      <c r="B957" s="305"/>
      <c r="C957" s="305"/>
      <c r="D957" s="305"/>
      <c r="E957" s="305"/>
      <c r="F957" s="305"/>
      <c r="G957" s="305"/>
      <c r="H957" s="305"/>
      <c r="I957" s="305"/>
      <c r="J957" s="305"/>
      <c r="K957" s="305"/>
      <c r="L957" s="305"/>
      <c r="M957" s="305"/>
      <c r="N957" s="305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</row>
    <row r="958" spans="1:24" ht="15.75" customHeight="1">
      <c r="A958" s="305"/>
      <c r="B958" s="305"/>
      <c r="C958" s="305"/>
      <c r="D958" s="305"/>
      <c r="E958" s="305"/>
      <c r="F958" s="305"/>
      <c r="G958" s="305"/>
      <c r="H958" s="305"/>
      <c r="I958" s="305"/>
      <c r="J958" s="305"/>
      <c r="K958" s="305"/>
      <c r="L958" s="305"/>
      <c r="M958" s="305"/>
      <c r="N958" s="305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</row>
    <row r="959" spans="1:24" ht="15.75" customHeight="1">
      <c r="A959" s="305"/>
      <c r="B959" s="305"/>
      <c r="C959" s="305"/>
      <c r="D959" s="305"/>
      <c r="E959" s="305"/>
      <c r="F959" s="305"/>
      <c r="G959" s="305"/>
      <c r="H959" s="305"/>
      <c r="I959" s="305"/>
      <c r="J959" s="305"/>
      <c r="K959" s="305"/>
      <c r="L959" s="305"/>
      <c r="M959" s="305"/>
      <c r="N959" s="305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</row>
    <row r="960" spans="1:24" ht="15.75" customHeight="1">
      <c r="A960" s="305"/>
      <c r="B960" s="305"/>
      <c r="C960" s="305"/>
      <c r="D960" s="305"/>
      <c r="E960" s="305"/>
      <c r="F960" s="305"/>
      <c r="G960" s="305"/>
      <c r="H960" s="305"/>
      <c r="I960" s="305"/>
      <c r="J960" s="305"/>
      <c r="K960" s="305"/>
      <c r="L960" s="305"/>
      <c r="M960" s="305"/>
      <c r="N960" s="305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</row>
    <row r="961" spans="1:24" ht="15.75" customHeight="1">
      <c r="A961" s="305"/>
      <c r="B961" s="305"/>
      <c r="C961" s="305"/>
      <c r="D961" s="305"/>
      <c r="E961" s="305"/>
      <c r="F961" s="305"/>
      <c r="G961" s="305"/>
      <c r="H961" s="305"/>
      <c r="I961" s="305"/>
      <c r="J961" s="305"/>
      <c r="K961" s="305"/>
      <c r="L961" s="305"/>
      <c r="M961" s="305"/>
      <c r="N961" s="305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</row>
    <row r="962" spans="1:24" ht="15.75" customHeight="1">
      <c r="A962" s="305"/>
      <c r="B962" s="305"/>
      <c r="C962" s="305"/>
      <c r="D962" s="305"/>
      <c r="E962" s="305"/>
      <c r="F962" s="305"/>
      <c r="G962" s="305"/>
      <c r="H962" s="305"/>
      <c r="I962" s="305"/>
      <c r="J962" s="305"/>
      <c r="K962" s="305"/>
      <c r="L962" s="305"/>
      <c r="M962" s="305"/>
      <c r="N962" s="305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</row>
    <row r="963" spans="1:24" ht="15.75" customHeight="1">
      <c r="A963" s="305"/>
      <c r="B963" s="305"/>
      <c r="C963" s="305"/>
      <c r="D963" s="305"/>
      <c r="E963" s="305"/>
      <c r="F963" s="305"/>
      <c r="G963" s="305"/>
      <c r="H963" s="305"/>
      <c r="I963" s="305"/>
      <c r="J963" s="305"/>
      <c r="K963" s="305"/>
      <c r="L963" s="305"/>
      <c r="M963" s="305"/>
      <c r="N963" s="305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</row>
    <row r="964" spans="1:24" ht="15.75" customHeight="1">
      <c r="A964" s="305"/>
      <c r="B964" s="305"/>
      <c r="C964" s="305"/>
      <c r="D964" s="305"/>
      <c r="E964" s="305"/>
      <c r="F964" s="305"/>
      <c r="G964" s="305"/>
      <c r="H964" s="305"/>
      <c r="I964" s="305"/>
      <c r="J964" s="305"/>
      <c r="K964" s="305"/>
      <c r="L964" s="305"/>
      <c r="M964" s="305"/>
      <c r="N964" s="305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</row>
    <row r="965" spans="1:24" ht="15.75" customHeight="1">
      <c r="A965" s="305"/>
      <c r="B965" s="305"/>
      <c r="C965" s="305"/>
      <c r="D965" s="305"/>
      <c r="E965" s="305"/>
      <c r="F965" s="305"/>
      <c r="G965" s="305"/>
      <c r="H965" s="305"/>
      <c r="I965" s="305"/>
      <c r="J965" s="305"/>
      <c r="K965" s="305"/>
      <c r="L965" s="305"/>
      <c r="M965" s="305"/>
      <c r="N965" s="305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</row>
    <row r="966" spans="1:24" ht="15.75" customHeight="1">
      <c r="A966" s="305"/>
      <c r="B966" s="305"/>
      <c r="C966" s="305"/>
      <c r="D966" s="305"/>
      <c r="E966" s="305"/>
      <c r="F966" s="305"/>
      <c r="G966" s="305"/>
      <c r="H966" s="305"/>
      <c r="I966" s="305"/>
      <c r="J966" s="305"/>
      <c r="K966" s="305"/>
      <c r="L966" s="305"/>
      <c r="M966" s="305"/>
      <c r="N966" s="305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</row>
    <row r="967" spans="1:24" ht="15.75" customHeight="1">
      <c r="A967" s="305"/>
      <c r="B967" s="305"/>
      <c r="C967" s="305"/>
      <c r="D967" s="305"/>
      <c r="E967" s="305"/>
      <c r="F967" s="305"/>
      <c r="G967" s="305"/>
      <c r="H967" s="305"/>
      <c r="I967" s="305"/>
      <c r="J967" s="305"/>
      <c r="K967" s="305"/>
      <c r="L967" s="305"/>
      <c r="M967" s="305"/>
      <c r="N967" s="305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</row>
    <row r="968" spans="1:24" ht="15.75" customHeight="1">
      <c r="A968" s="305"/>
      <c r="B968" s="305"/>
      <c r="C968" s="305"/>
      <c r="D968" s="305"/>
      <c r="E968" s="305"/>
      <c r="F968" s="305"/>
      <c r="G968" s="305"/>
      <c r="H968" s="305"/>
      <c r="I968" s="305"/>
      <c r="J968" s="305"/>
      <c r="K968" s="305"/>
      <c r="L968" s="305"/>
      <c r="M968" s="305"/>
      <c r="N968" s="305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</row>
    <row r="969" spans="1:24" ht="15.75" customHeight="1">
      <c r="A969" s="305"/>
      <c r="B969" s="305"/>
      <c r="C969" s="305"/>
      <c r="D969" s="305"/>
      <c r="E969" s="305"/>
      <c r="F969" s="305"/>
      <c r="G969" s="305"/>
      <c r="H969" s="305"/>
      <c r="I969" s="305"/>
      <c r="J969" s="305"/>
      <c r="K969" s="305"/>
      <c r="L969" s="305"/>
      <c r="M969" s="305"/>
      <c r="N969" s="305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</row>
    <row r="970" spans="1:24" ht="15.75" customHeight="1">
      <c r="A970" s="305"/>
      <c r="B970" s="305"/>
      <c r="C970" s="305"/>
      <c r="D970" s="305"/>
      <c r="E970" s="305"/>
      <c r="F970" s="305"/>
      <c r="G970" s="305"/>
      <c r="H970" s="305"/>
      <c r="I970" s="305"/>
      <c r="J970" s="305"/>
      <c r="K970" s="305"/>
      <c r="L970" s="305"/>
      <c r="M970" s="305"/>
      <c r="N970" s="305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</row>
    <row r="971" spans="1:24" ht="15.75" customHeight="1">
      <c r="A971" s="305"/>
      <c r="B971" s="305"/>
      <c r="C971" s="305"/>
      <c r="D971" s="305"/>
      <c r="E971" s="305"/>
      <c r="F971" s="305"/>
      <c r="G971" s="305"/>
      <c r="H971" s="305"/>
      <c r="I971" s="305"/>
      <c r="J971" s="305"/>
      <c r="K971" s="305"/>
      <c r="L971" s="305"/>
      <c r="M971" s="305"/>
      <c r="N971" s="305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</row>
    <row r="972" spans="1:24" ht="15.75" customHeight="1">
      <c r="A972" s="305"/>
      <c r="B972" s="305"/>
      <c r="C972" s="305"/>
      <c r="D972" s="305"/>
      <c r="E972" s="305"/>
      <c r="F972" s="305"/>
      <c r="G972" s="305"/>
      <c r="H972" s="305"/>
      <c r="I972" s="305"/>
      <c r="J972" s="305"/>
      <c r="K972" s="305"/>
      <c r="L972" s="305"/>
      <c r="M972" s="305"/>
      <c r="N972" s="305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</row>
    <row r="973" spans="1:24" ht="15.75" customHeight="1">
      <c r="A973" s="305"/>
      <c r="B973" s="305"/>
      <c r="C973" s="305"/>
      <c r="D973" s="305"/>
      <c r="E973" s="305"/>
      <c r="F973" s="305"/>
      <c r="G973" s="305"/>
      <c r="H973" s="305"/>
      <c r="I973" s="305"/>
      <c r="J973" s="305"/>
      <c r="K973" s="305"/>
      <c r="L973" s="305"/>
      <c r="M973" s="305"/>
      <c r="N973" s="305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</row>
    <row r="974" spans="1:24" ht="15.75" customHeight="1">
      <c r="A974" s="305"/>
      <c r="B974" s="305"/>
      <c r="C974" s="305"/>
      <c r="D974" s="305"/>
      <c r="E974" s="305"/>
      <c r="F974" s="305"/>
      <c r="G974" s="305"/>
      <c r="H974" s="305"/>
      <c r="I974" s="305"/>
      <c r="J974" s="305"/>
      <c r="K974" s="305"/>
      <c r="L974" s="305"/>
      <c r="M974" s="305"/>
      <c r="N974" s="305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</row>
    <row r="975" spans="1:24" ht="15.75" customHeight="1">
      <c r="A975" s="305"/>
      <c r="B975" s="305"/>
      <c r="C975" s="305"/>
      <c r="D975" s="305"/>
      <c r="E975" s="305"/>
      <c r="F975" s="305"/>
      <c r="G975" s="305"/>
      <c r="H975" s="305"/>
      <c r="I975" s="305"/>
      <c r="J975" s="305"/>
      <c r="K975" s="305"/>
      <c r="L975" s="305"/>
      <c r="M975" s="305"/>
      <c r="N975" s="305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</row>
    <row r="976" spans="1:24" ht="15.75" customHeight="1">
      <c r="A976" s="305"/>
      <c r="B976" s="305"/>
      <c r="C976" s="305"/>
      <c r="D976" s="305"/>
      <c r="E976" s="305"/>
      <c r="F976" s="305"/>
      <c r="G976" s="305"/>
      <c r="H976" s="305"/>
      <c r="I976" s="305"/>
      <c r="J976" s="305"/>
      <c r="K976" s="305"/>
      <c r="L976" s="305"/>
      <c r="M976" s="305"/>
      <c r="N976" s="305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</row>
    <row r="977" spans="1:24" ht="15.75" customHeight="1">
      <c r="A977" s="305"/>
      <c r="B977" s="305"/>
      <c r="C977" s="305"/>
      <c r="D977" s="305"/>
      <c r="E977" s="305"/>
      <c r="F977" s="305"/>
      <c r="G977" s="305"/>
      <c r="H977" s="305"/>
      <c r="I977" s="305"/>
      <c r="J977" s="305"/>
      <c r="K977" s="305"/>
      <c r="L977" s="305"/>
      <c r="M977" s="305"/>
      <c r="N977" s="305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</row>
    <row r="978" spans="1:24" ht="15.75" customHeight="1">
      <c r="A978" s="305"/>
      <c r="B978" s="305"/>
      <c r="C978" s="305"/>
      <c r="D978" s="305"/>
      <c r="E978" s="305"/>
      <c r="F978" s="305"/>
      <c r="G978" s="305"/>
      <c r="H978" s="305"/>
      <c r="I978" s="305"/>
      <c r="J978" s="305"/>
      <c r="K978" s="305"/>
      <c r="L978" s="305"/>
      <c r="M978" s="305"/>
      <c r="N978" s="305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</row>
    <row r="979" spans="1:24" ht="15.75" customHeight="1">
      <c r="A979" s="305"/>
      <c r="B979" s="305"/>
      <c r="C979" s="305"/>
      <c r="D979" s="305"/>
      <c r="E979" s="305"/>
      <c r="F979" s="305"/>
      <c r="G979" s="305"/>
      <c r="H979" s="305"/>
      <c r="I979" s="305"/>
      <c r="J979" s="305"/>
      <c r="K979" s="305"/>
      <c r="L979" s="305"/>
      <c r="M979" s="305"/>
      <c r="N979" s="305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</row>
    <row r="980" spans="1:24" ht="15.75" customHeight="1">
      <c r="A980" s="305"/>
      <c r="B980" s="305"/>
      <c r="C980" s="305"/>
      <c r="D980" s="305"/>
      <c r="E980" s="305"/>
      <c r="F980" s="305"/>
      <c r="G980" s="305"/>
      <c r="H980" s="305"/>
      <c r="I980" s="305"/>
      <c r="J980" s="305"/>
      <c r="K980" s="305"/>
      <c r="L980" s="305"/>
      <c r="M980" s="305"/>
      <c r="N980" s="305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</row>
    <row r="981" spans="1:24" ht="15.75" customHeight="1">
      <c r="A981" s="305"/>
      <c r="B981" s="305"/>
      <c r="C981" s="305"/>
      <c r="D981" s="305"/>
      <c r="E981" s="305"/>
      <c r="F981" s="305"/>
      <c r="G981" s="305"/>
      <c r="H981" s="305"/>
      <c r="I981" s="305"/>
      <c r="J981" s="305"/>
      <c r="K981" s="305"/>
      <c r="L981" s="305"/>
      <c r="M981" s="305"/>
      <c r="N981" s="305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</row>
    <row r="982" spans="1:24" ht="15.75" customHeight="1">
      <c r="A982" s="305"/>
      <c r="B982" s="305"/>
      <c r="C982" s="305"/>
      <c r="D982" s="305"/>
      <c r="E982" s="305"/>
      <c r="F982" s="305"/>
      <c r="G982" s="305"/>
      <c r="H982" s="305"/>
      <c r="I982" s="305"/>
      <c r="J982" s="305"/>
      <c r="K982" s="305"/>
      <c r="L982" s="305"/>
      <c r="M982" s="305"/>
      <c r="N982" s="305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</row>
    <row r="983" spans="1:24" ht="15.75" customHeight="1">
      <c r="A983" s="305"/>
      <c r="B983" s="305"/>
      <c r="C983" s="305"/>
      <c r="D983" s="305"/>
      <c r="E983" s="305"/>
      <c r="F983" s="305"/>
      <c r="G983" s="305"/>
      <c r="H983" s="305"/>
      <c r="I983" s="305"/>
      <c r="J983" s="305"/>
      <c r="K983" s="305"/>
      <c r="L983" s="305"/>
      <c r="M983" s="305"/>
      <c r="N983" s="305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</row>
    <row r="984" spans="1:24" ht="15.75" customHeight="1">
      <c r="A984" s="305"/>
      <c r="B984" s="305"/>
      <c r="C984" s="305"/>
      <c r="D984" s="305"/>
      <c r="E984" s="305"/>
      <c r="F984" s="305"/>
      <c r="G984" s="305"/>
      <c r="H984" s="305"/>
      <c r="I984" s="305"/>
      <c r="J984" s="305"/>
      <c r="K984" s="305"/>
      <c r="L984" s="305"/>
      <c r="M984" s="305"/>
      <c r="N984" s="305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</row>
    <row r="985" spans="1:24" ht="15.75" customHeight="1">
      <c r="A985" s="305"/>
      <c r="B985" s="305"/>
      <c r="C985" s="305"/>
      <c r="D985" s="305"/>
      <c r="E985" s="305"/>
      <c r="F985" s="305"/>
      <c r="G985" s="305"/>
      <c r="H985" s="305"/>
      <c r="I985" s="305"/>
      <c r="J985" s="305"/>
      <c r="K985" s="305"/>
      <c r="L985" s="305"/>
      <c r="M985" s="305"/>
      <c r="N985" s="305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</row>
    <row r="986" spans="1:24" ht="15.75" customHeight="1">
      <c r="A986" s="305"/>
      <c r="B986" s="305"/>
      <c r="C986" s="305"/>
      <c r="D986" s="305"/>
      <c r="E986" s="305"/>
      <c r="F986" s="305"/>
      <c r="G986" s="305"/>
      <c r="H986" s="305"/>
      <c r="I986" s="305"/>
      <c r="J986" s="305"/>
      <c r="K986" s="305"/>
      <c r="L986" s="305"/>
      <c r="M986" s="305"/>
      <c r="N986" s="305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</row>
    <row r="987" spans="1:24" ht="15.75" customHeight="1">
      <c r="A987" s="305"/>
      <c r="B987" s="305"/>
      <c r="C987" s="305"/>
      <c r="D987" s="305"/>
      <c r="E987" s="305"/>
      <c r="F987" s="305"/>
      <c r="G987" s="305"/>
      <c r="H987" s="305"/>
      <c r="I987" s="305"/>
      <c r="J987" s="305"/>
      <c r="K987" s="305"/>
      <c r="L987" s="305"/>
      <c r="M987" s="305"/>
      <c r="N987" s="305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</row>
    <row r="988" spans="1:24" ht="15.75" customHeight="1">
      <c r="A988" s="305"/>
      <c r="B988" s="305"/>
      <c r="C988" s="305"/>
      <c r="D988" s="305"/>
      <c r="E988" s="305"/>
      <c r="F988" s="305"/>
      <c r="G988" s="305"/>
      <c r="H988" s="305"/>
      <c r="I988" s="305"/>
      <c r="J988" s="305"/>
      <c r="K988" s="305"/>
      <c r="L988" s="305"/>
      <c r="M988" s="305"/>
      <c r="N988" s="305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</row>
    <row r="989" spans="1:24" ht="15.75" customHeight="1">
      <c r="A989" s="305"/>
      <c r="B989" s="305"/>
      <c r="C989" s="305"/>
      <c r="D989" s="305"/>
      <c r="E989" s="305"/>
      <c r="F989" s="305"/>
      <c r="G989" s="305"/>
      <c r="H989" s="305"/>
      <c r="I989" s="305"/>
      <c r="J989" s="305"/>
      <c r="K989" s="305"/>
      <c r="L989" s="305"/>
      <c r="M989" s="305"/>
      <c r="N989" s="305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</row>
    <row r="990" spans="1:24" ht="15.75" customHeight="1">
      <c r="A990" s="305"/>
      <c r="B990" s="305"/>
      <c r="C990" s="305"/>
      <c r="D990" s="305"/>
      <c r="E990" s="305"/>
      <c r="F990" s="305"/>
      <c r="G990" s="305"/>
      <c r="H990" s="305"/>
      <c r="I990" s="305"/>
      <c r="J990" s="305"/>
      <c r="K990" s="305"/>
      <c r="L990" s="305"/>
      <c r="M990" s="305"/>
      <c r="N990" s="305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</row>
    <row r="991" spans="1:24" ht="15.75" customHeight="1">
      <c r="A991" s="305"/>
      <c r="B991" s="305"/>
      <c r="C991" s="305"/>
      <c r="D991" s="305"/>
      <c r="E991" s="305"/>
      <c r="F991" s="305"/>
      <c r="G991" s="305"/>
      <c r="H991" s="305"/>
      <c r="I991" s="305"/>
      <c r="J991" s="305"/>
      <c r="K991" s="305"/>
      <c r="L991" s="305"/>
      <c r="M991" s="305"/>
      <c r="N991" s="305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</row>
    <row r="992" spans="1:24" ht="15.75" customHeight="1">
      <c r="A992" s="305"/>
      <c r="B992" s="305"/>
      <c r="C992" s="305"/>
      <c r="D992" s="305"/>
      <c r="E992" s="305"/>
      <c r="F992" s="305"/>
      <c r="G992" s="305"/>
      <c r="H992" s="305"/>
      <c r="I992" s="305"/>
      <c r="J992" s="305"/>
      <c r="K992" s="305"/>
      <c r="L992" s="305"/>
      <c r="M992" s="305"/>
      <c r="N992" s="305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</row>
    <row r="993" spans="1:24" ht="15.75" customHeight="1">
      <c r="A993" s="305"/>
      <c r="B993" s="305"/>
      <c r="C993" s="305"/>
      <c r="D993" s="305"/>
      <c r="E993" s="305"/>
      <c r="F993" s="305"/>
      <c r="G993" s="305"/>
      <c r="H993" s="305"/>
      <c r="I993" s="305"/>
      <c r="J993" s="305"/>
      <c r="K993" s="305"/>
      <c r="L993" s="305"/>
      <c r="M993" s="305"/>
      <c r="N993" s="305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</row>
    <row r="994" spans="1:24" ht="15.75" customHeight="1">
      <c r="A994" s="305"/>
      <c r="B994" s="305"/>
      <c r="C994" s="305"/>
      <c r="D994" s="305"/>
      <c r="E994" s="305"/>
      <c r="F994" s="305"/>
      <c r="G994" s="305"/>
      <c r="H994" s="305"/>
      <c r="I994" s="305"/>
      <c r="J994" s="305"/>
      <c r="K994" s="305"/>
      <c r="L994" s="305"/>
      <c r="M994" s="305"/>
      <c r="N994" s="305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</row>
    <row r="995" spans="1:24" ht="15.75" customHeight="1">
      <c r="A995" s="305"/>
      <c r="B995" s="305"/>
      <c r="C995" s="305"/>
      <c r="D995" s="305"/>
      <c r="E995" s="305"/>
      <c r="F995" s="305"/>
      <c r="G995" s="305"/>
      <c r="H995" s="305"/>
      <c r="I995" s="305"/>
      <c r="J995" s="305"/>
      <c r="K995" s="305"/>
      <c r="L995" s="305"/>
      <c r="M995" s="305"/>
      <c r="N995" s="305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</row>
    <row r="996" spans="1:24" ht="15.75" customHeight="1">
      <c r="A996" s="305"/>
      <c r="B996" s="305"/>
      <c r="C996" s="305"/>
      <c r="D996" s="305"/>
      <c r="E996" s="305"/>
      <c r="F996" s="305"/>
      <c r="G996" s="305"/>
      <c r="H996" s="305"/>
      <c r="I996" s="305"/>
      <c r="J996" s="305"/>
      <c r="K996" s="305"/>
      <c r="L996" s="305"/>
      <c r="M996" s="305"/>
      <c r="N996" s="305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</row>
    <row r="997" spans="1:24" ht="15.75" customHeight="1">
      <c r="A997" s="305"/>
      <c r="B997" s="305"/>
      <c r="C997" s="305"/>
      <c r="D997" s="305"/>
      <c r="E997" s="305"/>
      <c r="F997" s="305"/>
      <c r="G997" s="305"/>
      <c r="H997" s="305"/>
      <c r="I997" s="305"/>
      <c r="J997" s="305"/>
      <c r="K997" s="305"/>
      <c r="L997" s="305"/>
      <c r="M997" s="305"/>
      <c r="N997" s="305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</row>
    <row r="998" spans="1:24" ht="15.75" customHeight="1">
      <c r="A998" s="305"/>
      <c r="B998" s="305"/>
      <c r="C998" s="305"/>
      <c r="D998" s="305"/>
      <c r="E998" s="305"/>
      <c r="F998" s="305"/>
      <c r="G998" s="305"/>
      <c r="H998" s="305"/>
      <c r="I998" s="305"/>
      <c r="J998" s="305"/>
      <c r="K998" s="305"/>
      <c r="L998" s="305"/>
      <c r="M998" s="305"/>
      <c r="N998" s="305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</row>
    <row r="999" spans="1:24" ht="15.75" customHeight="1">
      <c r="A999" s="305"/>
      <c r="B999" s="305"/>
      <c r="C999" s="305"/>
      <c r="D999" s="305"/>
      <c r="E999" s="305"/>
      <c r="F999" s="305"/>
      <c r="G999" s="305"/>
      <c r="H999" s="305"/>
      <c r="I999" s="305"/>
      <c r="J999" s="305"/>
      <c r="K999" s="305"/>
      <c r="L999" s="305"/>
      <c r="M999" s="305"/>
      <c r="N999" s="305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</row>
    <row r="1000" spans="1:24" ht="15.75" customHeight="1">
      <c r="A1000" s="305"/>
      <c r="B1000" s="305"/>
      <c r="C1000" s="305"/>
      <c r="D1000" s="305"/>
      <c r="E1000" s="305"/>
      <c r="F1000" s="305"/>
      <c r="G1000" s="305"/>
      <c r="H1000" s="305"/>
      <c r="I1000" s="305"/>
      <c r="J1000" s="305"/>
      <c r="K1000" s="305"/>
      <c r="L1000" s="305"/>
      <c r="M1000" s="305"/>
      <c r="N1000" s="305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</row>
  </sheetData>
  <mergeCells count="76">
    <mergeCell ref="A117:A118"/>
    <mergeCell ref="A119:A120"/>
    <mergeCell ref="A97:A104"/>
    <mergeCell ref="A105:E105"/>
    <mergeCell ref="G105:I105"/>
    <mergeCell ref="A106:A107"/>
    <mergeCell ref="A108:A109"/>
    <mergeCell ref="A110:A111"/>
    <mergeCell ref="A112:A113"/>
    <mergeCell ref="A41:A43"/>
    <mergeCell ref="A44:E44"/>
    <mergeCell ref="G44:I44"/>
    <mergeCell ref="A45:A46"/>
    <mergeCell ref="A115:E115"/>
    <mergeCell ref="G115:I115"/>
    <mergeCell ref="A86:A90"/>
    <mergeCell ref="A91:E91"/>
    <mergeCell ref="G91:I91"/>
    <mergeCell ref="A92:A95"/>
    <mergeCell ref="A96:B96"/>
    <mergeCell ref="A75:A78"/>
    <mergeCell ref="A79:E79"/>
    <mergeCell ref="G79:I79"/>
    <mergeCell ref="A80:A84"/>
    <mergeCell ref="A85:E85"/>
    <mergeCell ref="A34:A35"/>
    <mergeCell ref="A36:E36"/>
    <mergeCell ref="G36:I36"/>
    <mergeCell ref="A37:A39"/>
    <mergeCell ref="A40:E40"/>
    <mergeCell ref="G40:I40"/>
    <mergeCell ref="A27:E27"/>
    <mergeCell ref="G27:I27"/>
    <mergeCell ref="A23:A26"/>
    <mergeCell ref="A28:A32"/>
    <mergeCell ref="A33:E33"/>
    <mergeCell ref="G33:I33"/>
    <mergeCell ref="A13:A15"/>
    <mergeCell ref="A16:E16"/>
    <mergeCell ref="G16:I16"/>
    <mergeCell ref="A17:A21"/>
    <mergeCell ref="A22:E22"/>
    <mergeCell ref="G22:I22"/>
    <mergeCell ref="A5:A8"/>
    <mergeCell ref="A9:E9"/>
    <mergeCell ref="G9:I9"/>
    <mergeCell ref="A10:A11"/>
    <mergeCell ref="A12:E12"/>
    <mergeCell ref="G12:I12"/>
    <mergeCell ref="K2:M2"/>
    <mergeCell ref="M3:M4"/>
    <mergeCell ref="A1:M1"/>
    <mergeCell ref="B2:E2"/>
    <mergeCell ref="G2:I2"/>
    <mergeCell ref="A3:A4"/>
    <mergeCell ref="B3:B4"/>
    <mergeCell ref="E3:E4"/>
    <mergeCell ref="I3:I4"/>
    <mergeCell ref="G85:I85"/>
    <mergeCell ref="A63:A67"/>
    <mergeCell ref="A68:E68"/>
    <mergeCell ref="G68:I68"/>
    <mergeCell ref="A69:A73"/>
    <mergeCell ref="A74:E74"/>
    <mergeCell ref="G74:I74"/>
    <mergeCell ref="A56:E56"/>
    <mergeCell ref="G56:I56"/>
    <mergeCell ref="A53:A55"/>
    <mergeCell ref="A57:A61"/>
    <mergeCell ref="A62:E62"/>
    <mergeCell ref="G62:I62"/>
    <mergeCell ref="A47:E47"/>
    <mergeCell ref="G47:I47"/>
    <mergeCell ref="A48:A51"/>
    <mergeCell ref="A52:E52"/>
    <mergeCell ref="G52:I52"/>
  </mergeCells>
  <printOptions horizontalCentered="1"/>
  <pageMargins left="0.7" right="0.7" top="0.75" bottom="0.75" header="0" footer="0"/>
  <pageSetup pageOrder="overThenDown" orientation="landscape"/>
  <rowBreaks count="4" manualBreakCount="4">
    <brk man="1"/>
    <brk id="85" man="1"/>
    <brk id="121" man="1"/>
    <brk id="44" man="1"/>
  </rowBreaks>
  <colBreaks count="2" manualBreakCount="2">
    <brk man="1"/>
    <brk id="1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3"/>
  <sheetViews>
    <sheetView workbookViewId="0">
      <pane ySplit="2" topLeftCell="A3" activePane="bottomLeft" state="frozen"/>
      <selection pane="bottomLeft" activeCell="B3" sqref="B3:B4"/>
    </sheetView>
  </sheetViews>
  <sheetFormatPr defaultColWidth="12.625" defaultRowHeight="15" customHeight="1"/>
  <cols>
    <col min="1" max="1" width="21.25" customWidth="1"/>
    <col min="2" max="2" width="13.25" customWidth="1"/>
    <col min="3" max="3" width="13.5" customWidth="1"/>
    <col min="4" max="4" width="14.75" customWidth="1"/>
    <col min="5" max="5" width="13.75" customWidth="1"/>
    <col min="6" max="6" width="1.5" customWidth="1"/>
    <col min="7" max="7" width="14.75" customWidth="1"/>
    <col min="8" max="8" width="14.5" customWidth="1"/>
    <col min="9" max="9" width="12" customWidth="1"/>
    <col min="10" max="10" width="1.625" customWidth="1"/>
    <col min="11" max="11" width="14.5" customWidth="1"/>
    <col min="12" max="12" width="14.875" customWidth="1"/>
    <col min="13" max="13" width="13.5" customWidth="1"/>
    <col min="14" max="14" width="9.875" customWidth="1"/>
    <col min="15" max="15" width="7.875" customWidth="1"/>
    <col min="16" max="16" width="0.375" customWidth="1"/>
    <col min="17" max="24" width="7.875" customWidth="1"/>
  </cols>
  <sheetData>
    <row r="1" spans="1:24" ht="15.75" customHeight="1">
      <c r="A1" s="1008" t="s">
        <v>187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55"/>
      <c r="N1" s="610"/>
      <c r="O1" s="305"/>
      <c r="P1" s="305"/>
      <c r="Q1" s="305"/>
      <c r="R1" s="305"/>
      <c r="S1" s="305"/>
      <c r="T1" s="305"/>
      <c r="U1" s="305"/>
      <c r="V1" s="305"/>
      <c r="W1" s="305"/>
      <c r="X1" s="305"/>
    </row>
    <row r="2" spans="1:24" ht="16.5" customHeight="1">
      <c r="A2" s="306"/>
      <c r="B2" s="992" t="s">
        <v>156</v>
      </c>
      <c r="C2" s="928"/>
      <c r="D2" s="928"/>
      <c r="E2" s="955"/>
      <c r="F2" s="307"/>
      <c r="G2" s="993" t="s">
        <v>4</v>
      </c>
      <c r="H2" s="928"/>
      <c r="I2" s="928"/>
      <c r="J2" s="308"/>
      <c r="K2" s="1004" t="s">
        <v>1</v>
      </c>
      <c r="L2" s="928"/>
      <c r="M2" s="95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</row>
    <row r="3" spans="1:24" ht="48" customHeight="1">
      <c r="A3" s="994" t="s">
        <v>129</v>
      </c>
      <c r="B3" s="994" t="s">
        <v>7</v>
      </c>
      <c r="C3" s="311" t="str">
        <f>K3</f>
        <v xml:space="preserve">OBG 2021-22 </v>
      </c>
      <c r="D3" s="312" t="str">
        <f>H3</f>
        <v>Actual Exp. up to Nov -2021</v>
      </c>
      <c r="E3" s="995" t="s">
        <v>128</v>
      </c>
      <c r="F3" s="314"/>
      <c r="G3" s="313" t="str">
        <f>K3</f>
        <v xml:space="preserve">OBG 2021-22 </v>
      </c>
      <c r="H3" s="567" t="s">
        <v>188</v>
      </c>
      <c r="I3" s="995" t="s">
        <v>128</v>
      </c>
      <c r="J3" s="316"/>
      <c r="K3" s="487" t="s">
        <v>92</v>
      </c>
      <c r="L3" s="315" t="str">
        <f>H3</f>
        <v>Actual Exp. up to Nov -2021</v>
      </c>
      <c r="M3" s="989" t="s">
        <v>128</v>
      </c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</row>
    <row r="4" spans="1:24" ht="17.25" customHeight="1">
      <c r="A4" s="949"/>
      <c r="B4" s="949"/>
      <c r="C4" s="318" t="s">
        <v>19</v>
      </c>
      <c r="D4" s="319" t="s">
        <v>19</v>
      </c>
      <c r="E4" s="957"/>
      <c r="F4" s="316"/>
      <c r="G4" s="320" t="s">
        <v>19</v>
      </c>
      <c r="H4" s="319"/>
      <c r="I4" s="957"/>
      <c r="J4" s="316"/>
      <c r="K4" s="488" t="s">
        <v>19</v>
      </c>
      <c r="L4" s="322" t="s">
        <v>19</v>
      </c>
      <c r="M4" s="990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</row>
    <row r="5" spans="1:24" ht="15.75" customHeight="1">
      <c r="A5" s="996" t="s">
        <v>97</v>
      </c>
      <c r="B5" s="323" t="s">
        <v>21</v>
      </c>
      <c r="C5" s="331">
        <v>1</v>
      </c>
      <c r="D5" s="568">
        <v>1088</v>
      </c>
      <c r="E5" s="326">
        <f>D5/C5</f>
        <v>1088</v>
      </c>
      <c r="F5" s="327"/>
      <c r="G5" s="569"/>
      <c r="H5" s="569"/>
      <c r="I5" s="570"/>
      <c r="J5" s="330"/>
      <c r="K5" s="331">
        <v>1</v>
      </c>
      <c r="L5" s="571">
        <v>1088</v>
      </c>
      <c r="M5" s="381">
        <f>L5/K5</f>
        <v>1088</v>
      </c>
      <c r="N5" s="305"/>
      <c r="O5" s="305"/>
      <c r="P5" s="305"/>
      <c r="Q5" s="305"/>
      <c r="R5" s="305"/>
      <c r="S5" s="305"/>
      <c r="T5" s="305"/>
      <c r="U5" s="305"/>
      <c r="V5" s="305"/>
      <c r="W5" s="305"/>
      <c r="X5" s="305"/>
    </row>
    <row r="6" spans="1:24" ht="15.75" customHeight="1">
      <c r="A6" s="952"/>
      <c r="B6" s="334" t="s">
        <v>22</v>
      </c>
      <c r="C6" s="339">
        <v>10000</v>
      </c>
      <c r="D6" s="339">
        <v>0</v>
      </c>
      <c r="E6" s="337">
        <v>0</v>
      </c>
      <c r="F6" s="327"/>
      <c r="G6" s="572"/>
      <c r="H6" s="572"/>
      <c r="I6" s="570"/>
      <c r="J6" s="330"/>
      <c r="K6" s="339">
        <v>10000</v>
      </c>
      <c r="L6" s="490">
        <v>0</v>
      </c>
      <c r="M6" s="383">
        <v>0</v>
      </c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</row>
    <row r="7" spans="1:24" ht="15.75" customHeight="1">
      <c r="A7" s="952"/>
      <c r="B7" s="334" t="s">
        <v>40</v>
      </c>
      <c r="C7" s="339">
        <v>2</v>
      </c>
      <c r="D7" s="339">
        <v>469</v>
      </c>
      <c r="E7" s="337">
        <f t="shared" ref="E7:E8" si="0">D7/C7</f>
        <v>234.5</v>
      </c>
      <c r="F7" s="327"/>
      <c r="G7" s="572"/>
      <c r="H7" s="572"/>
      <c r="I7" s="570"/>
      <c r="J7" s="330"/>
      <c r="K7" s="339">
        <v>2</v>
      </c>
      <c r="L7" s="490">
        <v>469</v>
      </c>
      <c r="M7" s="383">
        <f t="shared" ref="M7:M8" si="1">L7/K7</f>
        <v>234.5</v>
      </c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</row>
    <row r="8" spans="1:24" ht="15.75" customHeight="1">
      <c r="A8" s="997"/>
      <c r="B8" s="201" t="s">
        <v>25</v>
      </c>
      <c r="C8" s="357">
        <f t="shared" ref="C8:D8" si="2">SUM(C5:C7)</f>
        <v>10003</v>
      </c>
      <c r="D8" s="357">
        <f t="shared" si="2"/>
        <v>1557</v>
      </c>
      <c r="E8" s="342">
        <f t="shared" si="0"/>
        <v>0.15565330400879737</v>
      </c>
      <c r="F8" s="343"/>
      <c r="G8" s="573"/>
      <c r="H8" s="574"/>
      <c r="I8" s="575"/>
      <c r="J8" s="330"/>
      <c r="K8" s="357">
        <f t="shared" ref="K8:L8" si="3">SUM(K5:K7)</f>
        <v>10003</v>
      </c>
      <c r="L8" s="184">
        <f t="shared" si="3"/>
        <v>1557</v>
      </c>
      <c r="M8" s="384">
        <f t="shared" si="1"/>
        <v>0.15565330400879737</v>
      </c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</row>
    <row r="9" spans="1:24" ht="6.75" customHeight="1">
      <c r="A9" s="985"/>
      <c r="B9" s="928"/>
      <c r="C9" s="928"/>
      <c r="D9" s="928"/>
      <c r="E9" s="928"/>
      <c r="F9" s="312"/>
      <c r="G9" s="986"/>
      <c r="H9" s="928"/>
      <c r="I9" s="928"/>
      <c r="J9" s="312"/>
      <c r="K9" s="491"/>
      <c r="L9" s="348"/>
      <c r="M9" s="349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</row>
    <row r="10" spans="1:24" ht="15.75" customHeight="1">
      <c r="A10" s="998" t="s">
        <v>26</v>
      </c>
      <c r="B10" s="350" t="s">
        <v>21</v>
      </c>
      <c r="C10" s="350">
        <v>1810001</v>
      </c>
      <c r="D10" s="576">
        <v>1760502</v>
      </c>
      <c r="E10" s="352">
        <f t="shared" ref="E10:E11" si="4">D10/C10</f>
        <v>0.97265250129696057</v>
      </c>
      <c r="F10" s="327"/>
      <c r="G10" s="577"/>
      <c r="H10" s="577"/>
      <c r="I10" s="578"/>
      <c r="J10" s="327"/>
      <c r="K10" s="492">
        <f>260001+1550000</f>
        <v>1810001</v>
      </c>
      <c r="L10" s="616">
        <v>1760502</v>
      </c>
      <c r="M10" s="356">
        <f t="shared" ref="M10:M11" si="5">L10/K10</f>
        <v>0.97265250129696057</v>
      </c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</row>
    <row r="11" spans="1:24" ht="15.75" customHeight="1">
      <c r="A11" s="953"/>
      <c r="B11" s="357" t="s">
        <v>25</v>
      </c>
      <c r="C11" s="357">
        <f t="shared" ref="C11:D11" si="6">SUM(C10)</f>
        <v>1810001</v>
      </c>
      <c r="D11" s="358">
        <f t="shared" si="6"/>
        <v>1760502</v>
      </c>
      <c r="E11" s="359">
        <f t="shared" si="4"/>
        <v>0.97265250129696057</v>
      </c>
      <c r="F11" s="343"/>
      <c r="G11" s="580"/>
      <c r="H11" s="581"/>
      <c r="I11" s="582"/>
      <c r="J11" s="327"/>
      <c r="K11" s="617">
        <f>SUM(K10)</f>
        <v>1810001</v>
      </c>
      <c r="L11" s="618">
        <f>L10</f>
        <v>1760502</v>
      </c>
      <c r="M11" s="619">
        <f t="shared" si="5"/>
        <v>0.97265250129696057</v>
      </c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</row>
    <row r="12" spans="1:24" ht="6.75" customHeight="1">
      <c r="A12" s="985"/>
      <c r="B12" s="928"/>
      <c r="C12" s="928"/>
      <c r="D12" s="928"/>
      <c r="E12" s="928"/>
      <c r="F12" s="312"/>
      <c r="G12" s="986"/>
      <c r="H12" s="928"/>
      <c r="I12" s="928"/>
      <c r="J12" s="312"/>
      <c r="K12" s="491"/>
      <c r="L12" s="620"/>
      <c r="M12" s="349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</row>
    <row r="13" spans="1:24" ht="15.75" customHeight="1">
      <c r="A13" s="987" t="s">
        <v>27</v>
      </c>
      <c r="B13" s="386" t="s">
        <v>21</v>
      </c>
      <c r="C13" s="364">
        <f>5600400</f>
        <v>5600400</v>
      </c>
      <c r="D13" s="583">
        <v>131218</v>
      </c>
      <c r="E13" s="326">
        <f t="shared" ref="E13:E15" si="7">D13/C13</f>
        <v>2.3430112134847511E-2</v>
      </c>
      <c r="F13" s="327"/>
      <c r="G13" s="338">
        <f t="shared" ref="G13:H13" si="8">K13-C13</f>
        <v>80000</v>
      </c>
      <c r="H13" s="338">
        <f t="shared" si="8"/>
        <v>69834</v>
      </c>
      <c r="I13" s="337">
        <f>H13/G13</f>
        <v>0.87292499999999995</v>
      </c>
      <c r="J13" s="327"/>
      <c r="K13" s="364">
        <f>5600400+80000</f>
        <v>5680400</v>
      </c>
      <c r="L13" s="583">
        <v>201052</v>
      </c>
      <c r="M13" s="368">
        <f t="shared" ref="M13:M15" si="9">L13/K13</f>
        <v>3.5393986338990213E-2</v>
      </c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</row>
    <row r="14" spans="1:24" ht="15.75" customHeight="1">
      <c r="A14" s="949"/>
      <c r="B14" s="334" t="s">
        <v>158</v>
      </c>
      <c r="C14" s="494">
        <v>6479400</v>
      </c>
      <c r="D14" s="576">
        <v>6479400</v>
      </c>
      <c r="E14" s="326">
        <f t="shared" si="7"/>
        <v>1</v>
      </c>
      <c r="F14" s="327"/>
      <c r="G14" s="338">
        <f t="shared" ref="G14:H14" si="10">K14-C14</f>
        <v>0</v>
      </c>
      <c r="H14" s="338">
        <f t="shared" si="10"/>
        <v>0</v>
      </c>
      <c r="I14" s="337">
        <v>0</v>
      </c>
      <c r="J14" s="327"/>
      <c r="K14" s="494">
        <v>6479400</v>
      </c>
      <c r="L14" s="576">
        <v>6479400</v>
      </c>
      <c r="M14" s="368">
        <f t="shared" si="9"/>
        <v>1</v>
      </c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</row>
    <row r="15" spans="1:24" ht="15.75" customHeight="1">
      <c r="A15" s="950"/>
      <c r="B15" s="357" t="s">
        <v>25</v>
      </c>
      <c r="C15" s="369">
        <f t="shared" ref="C15:D15" si="11">SUM(C13:C14)</f>
        <v>12079800</v>
      </c>
      <c r="D15" s="369">
        <f t="shared" si="11"/>
        <v>6610618</v>
      </c>
      <c r="E15" s="359">
        <f t="shared" si="7"/>
        <v>0.5472456497624133</v>
      </c>
      <c r="F15" s="343"/>
      <c r="G15" s="370">
        <f t="shared" ref="G15:H15" si="12">SUM(G13)</f>
        <v>80000</v>
      </c>
      <c r="H15" s="369">
        <f t="shared" si="12"/>
        <v>69834</v>
      </c>
      <c r="I15" s="337">
        <f>H15/G15</f>
        <v>0.87292499999999995</v>
      </c>
      <c r="J15" s="327"/>
      <c r="K15" s="362">
        <f t="shared" ref="K15:L15" si="13">SUM(K13:K14)</f>
        <v>12159800</v>
      </c>
      <c r="L15" s="371">
        <f t="shared" si="13"/>
        <v>6680452</v>
      </c>
      <c r="M15" s="363">
        <f t="shared" si="9"/>
        <v>0.54938831230776819</v>
      </c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</row>
    <row r="16" spans="1:24" ht="6.75" customHeight="1">
      <c r="A16" s="985"/>
      <c r="B16" s="928"/>
      <c r="C16" s="928"/>
      <c r="D16" s="928"/>
      <c r="E16" s="928"/>
      <c r="F16" s="312"/>
      <c r="G16" s="986"/>
      <c r="H16" s="928"/>
      <c r="I16" s="928"/>
      <c r="J16" s="312"/>
      <c r="K16" s="491"/>
      <c r="L16" s="348"/>
      <c r="M16" s="349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</row>
    <row r="17" spans="1:24" ht="15.75" customHeight="1">
      <c r="A17" s="987" t="s">
        <v>30</v>
      </c>
      <c r="B17" s="323" t="s">
        <v>21</v>
      </c>
      <c r="C17" s="364">
        <v>383504</v>
      </c>
      <c r="D17" s="583">
        <v>196768</v>
      </c>
      <c r="E17" s="326">
        <f>D17/C17</f>
        <v>0.51307939421753102</v>
      </c>
      <c r="F17" s="327"/>
      <c r="G17" s="338">
        <f t="shared" ref="G17:H17" si="14">K17-C17</f>
        <v>280699</v>
      </c>
      <c r="H17" s="338">
        <f t="shared" si="14"/>
        <v>86353</v>
      </c>
      <c r="I17" s="337">
        <f>H17/G17</f>
        <v>0.30763558117414025</v>
      </c>
      <c r="J17" s="327"/>
      <c r="K17" s="367">
        <f>150003+514200</f>
        <v>664203</v>
      </c>
      <c r="L17" s="584">
        <v>283121</v>
      </c>
      <c r="M17" s="368">
        <f>L17/K17</f>
        <v>0.4262567317521902</v>
      </c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</row>
    <row r="18" spans="1:24" ht="15.75" customHeight="1">
      <c r="A18" s="949"/>
      <c r="B18" s="334" t="s">
        <v>28</v>
      </c>
      <c r="C18" s="372">
        <v>0</v>
      </c>
      <c r="D18" s="585">
        <v>0</v>
      </c>
      <c r="E18" s="337">
        <v>0</v>
      </c>
      <c r="F18" s="327"/>
      <c r="G18" s="338">
        <f t="shared" ref="G18:H18" si="15">K18-C18</f>
        <v>0</v>
      </c>
      <c r="H18" s="338">
        <f t="shared" si="15"/>
        <v>256</v>
      </c>
      <c r="I18" s="586">
        <v>0</v>
      </c>
      <c r="J18" s="327"/>
      <c r="K18" s="375">
        <v>0</v>
      </c>
      <c r="L18" s="375">
        <v>256</v>
      </c>
      <c r="M18" s="376">
        <v>0</v>
      </c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</row>
    <row r="19" spans="1:24" ht="15.75" customHeight="1">
      <c r="A19" s="949"/>
      <c r="B19" s="334" t="s">
        <v>31</v>
      </c>
      <c r="C19" s="372">
        <f>50026+50000</f>
        <v>100026</v>
      </c>
      <c r="D19" s="585">
        <f>44316+75110</f>
        <v>119426</v>
      </c>
      <c r="E19" s="337">
        <f t="shared" ref="E19:E21" si="16">D19/C19</f>
        <v>1.193949573110991</v>
      </c>
      <c r="F19" s="327"/>
      <c r="G19" s="338">
        <f t="shared" ref="G19:H19" si="17">K19-C19</f>
        <v>13</v>
      </c>
      <c r="H19" s="338">
        <f t="shared" si="17"/>
        <v>44395</v>
      </c>
      <c r="I19" s="337">
        <f t="shared" ref="I19:I21" si="18">H19/G19</f>
        <v>3415</v>
      </c>
      <c r="J19" s="327"/>
      <c r="K19" s="375">
        <v>100039</v>
      </c>
      <c r="L19" s="587">
        <v>163821</v>
      </c>
      <c r="M19" s="376">
        <f t="shared" ref="M19:M21" si="19">L19/K19</f>
        <v>1.6375713471746018</v>
      </c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</row>
    <row r="20" spans="1:24" ht="15.75" customHeight="1">
      <c r="A20" s="949"/>
      <c r="B20" s="377" t="s">
        <v>32</v>
      </c>
      <c r="C20" s="378">
        <v>1</v>
      </c>
      <c r="D20" s="585">
        <v>25</v>
      </c>
      <c r="E20" s="495">
        <f t="shared" si="16"/>
        <v>25</v>
      </c>
      <c r="F20" s="327"/>
      <c r="G20" s="338">
        <f t="shared" ref="G20:H20" si="20">K20-C20</f>
        <v>1</v>
      </c>
      <c r="H20" s="338">
        <f t="shared" si="20"/>
        <v>13600</v>
      </c>
      <c r="I20" s="495">
        <f t="shared" si="18"/>
        <v>13600</v>
      </c>
      <c r="J20" s="327"/>
      <c r="K20" s="496">
        <v>2</v>
      </c>
      <c r="L20" s="587">
        <v>13625</v>
      </c>
      <c r="M20" s="497">
        <f t="shared" si="19"/>
        <v>6812.5</v>
      </c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</row>
    <row r="21" spans="1:24" ht="15.75" customHeight="1">
      <c r="A21" s="950"/>
      <c r="B21" s="357" t="s">
        <v>25</v>
      </c>
      <c r="C21" s="369">
        <f t="shared" ref="C21:D21" si="21">SUM(C17:C20)</f>
        <v>483531</v>
      </c>
      <c r="D21" s="358">
        <f t="shared" si="21"/>
        <v>316219</v>
      </c>
      <c r="E21" s="359">
        <f t="shared" si="16"/>
        <v>0.65397875213791878</v>
      </c>
      <c r="F21" s="343"/>
      <c r="G21" s="370">
        <f t="shared" ref="G21:H21" si="22">SUM(G17:G20)</f>
        <v>280713</v>
      </c>
      <c r="H21" s="369">
        <f t="shared" si="22"/>
        <v>144604</v>
      </c>
      <c r="I21" s="380">
        <f t="shared" si="18"/>
        <v>0.51513111255980304</v>
      </c>
      <c r="J21" s="327"/>
      <c r="K21" s="362">
        <f t="shared" ref="K21:L21" si="23">SUM(K17:K20)</f>
        <v>764244</v>
      </c>
      <c r="L21" s="362">
        <f t="shared" si="23"/>
        <v>460823</v>
      </c>
      <c r="M21" s="363">
        <f t="shared" si="19"/>
        <v>0.60297889155819351</v>
      </c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</row>
    <row r="22" spans="1:24" ht="6.75" customHeight="1">
      <c r="A22" s="985"/>
      <c r="B22" s="928"/>
      <c r="C22" s="928"/>
      <c r="D22" s="928"/>
      <c r="E22" s="928"/>
      <c r="F22" s="312"/>
      <c r="G22" s="986"/>
      <c r="H22" s="928"/>
      <c r="I22" s="928"/>
      <c r="J22" s="312"/>
      <c r="K22" s="491"/>
      <c r="L22" s="348"/>
      <c r="M22" s="349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</row>
    <row r="23" spans="1:24" ht="15.75" customHeight="1">
      <c r="A23" s="987" t="s">
        <v>34</v>
      </c>
      <c r="B23" s="323" t="s">
        <v>21</v>
      </c>
      <c r="C23" s="364">
        <v>0</v>
      </c>
      <c r="D23" s="365">
        <v>0</v>
      </c>
      <c r="E23" s="326">
        <v>0</v>
      </c>
      <c r="F23" s="327"/>
      <c r="G23" s="338">
        <f t="shared" ref="G23:H23" si="24">K23-C23</f>
        <v>5000</v>
      </c>
      <c r="H23" s="338">
        <f t="shared" si="24"/>
        <v>0</v>
      </c>
      <c r="I23" s="337">
        <f t="shared" ref="I23:I26" si="25">H23/G23</f>
        <v>0</v>
      </c>
      <c r="J23" s="327"/>
      <c r="K23" s="367">
        <v>5000</v>
      </c>
      <c r="L23" s="367">
        <v>0</v>
      </c>
      <c r="M23" s="368">
        <f t="shared" ref="M23:M26" si="26">L23/K23</f>
        <v>0</v>
      </c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</row>
    <row r="24" spans="1:24" ht="15.75" customHeight="1">
      <c r="A24" s="949"/>
      <c r="B24" s="334" t="s">
        <v>28</v>
      </c>
      <c r="C24" s="372">
        <v>0</v>
      </c>
      <c r="D24" s="373">
        <v>0</v>
      </c>
      <c r="E24" s="337">
        <v>0</v>
      </c>
      <c r="F24" s="327"/>
      <c r="G24" s="338">
        <f t="shared" ref="G24:H24" si="27">K24-C24</f>
        <v>30000</v>
      </c>
      <c r="H24" s="338">
        <f t="shared" si="27"/>
        <v>871</v>
      </c>
      <c r="I24" s="337">
        <f t="shared" si="25"/>
        <v>2.9033333333333335E-2</v>
      </c>
      <c r="J24" s="327"/>
      <c r="K24" s="375">
        <v>30000</v>
      </c>
      <c r="L24" s="587">
        <v>871</v>
      </c>
      <c r="M24" s="376">
        <f t="shared" si="26"/>
        <v>2.9033333333333335E-2</v>
      </c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</row>
    <row r="25" spans="1:24" ht="15.75" customHeight="1">
      <c r="A25" s="949"/>
      <c r="B25" s="334" t="s">
        <v>31</v>
      </c>
      <c r="C25" s="372">
        <v>0</v>
      </c>
      <c r="D25" s="373">
        <v>0</v>
      </c>
      <c r="E25" s="337">
        <v>0</v>
      </c>
      <c r="F25" s="327"/>
      <c r="G25" s="338">
        <f t="shared" ref="G25:H25" si="28">K25-C25</f>
        <v>104</v>
      </c>
      <c r="H25" s="338">
        <f t="shared" si="28"/>
        <v>1805</v>
      </c>
      <c r="I25" s="337">
        <f t="shared" si="25"/>
        <v>17.35576923076923</v>
      </c>
      <c r="J25" s="327"/>
      <c r="K25" s="375">
        <v>104</v>
      </c>
      <c r="L25" s="587">
        <v>1805</v>
      </c>
      <c r="M25" s="376">
        <f t="shared" si="26"/>
        <v>17.35576923076923</v>
      </c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</row>
    <row r="26" spans="1:24" ht="15.75" customHeight="1">
      <c r="A26" s="950"/>
      <c r="B26" s="357" t="s">
        <v>25</v>
      </c>
      <c r="C26" s="369">
        <f t="shared" ref="C26:D26" si="29">SUM(C23:C25)</f>
        <v>0</v>
      </c>
      <c r="D26" s="358">
        <f t="shared" si="29"/>
        <v>0</v>
      </c>
      <c r="E26" s="359">
        <v>0</v>
      </c>
      <c r="F26" s="343"/>
      <c r="G26" s="370">
        <f t="shared" ref="G26:H26" si="30">SUM(G23:G25)</f>
        <v>35104</v>
      </c>
      <c r="H26" s="369">
        <f t="shared" si="30"/>
        <v>2676</v>
      </c>
      <c r="I26" s="380">
        <f t="shared" si="25"/>
        <v>7.6230628988149501E-2</v>
      </c>
      <c r="J26" s="327"/>
      <c r="K26" s="362">
        <f t="shared" ref="K26:L26" si="31">SUM(K23:K25)</f>
        <v>35104</v>
      </c>
      <c r="L26" s="362">
        <f t="shared" si="31"/>
        <v>2676</v>
      </c>
      <c r="M26" s="363">
        <f t="shared" si="26"/>
        <v>7.6230628988149501E-2</v>
      </c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</row>
    <row r="27" spans="1:24" ht="7.5" customHeight="1">
      <c r="A27" s="985"/>
      <c r="B27" s="928"/>
      <c r="C27" s="928"/>
      <c r="D27" s="928"/>
      <c r="E27" s="928"/>
      <c r="F27" s="312"/>
      <c r="G27" s="986"/>
      <c r="H27" s="928"/>
      <c r="I27" s="928"/>
      <c r="J27" s="312"/>
      <c r="K27" s="491"/>
      <c r="L27" s="348"/>
      <c r="M27" s="349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</row>
    <row r="28" spans="1:24" ht="15.75" customHeight="1">
      <c r="A28" s="987" t="s">
        <v>159</v>
      </c>
      <c r="B28" s="323" t="s">
        <v>21</v>
      </c>
      <c r="C28" s="364">
        <v>0</v>
      </c>
      <c r="D28" s="365">
        <v>0</v>
      </c>
      <c r="E28" s="381">
        <v>0</v>
      </c>
      <c r="F28" s="382"/>
      <c r="G28" s="338">
        <f t="shared" ref="G28:H28" si="32">K28-C28</f>
        <v>17001</v>
      </c>
      <c r="H28" s="338">
        <f t="shared" si="32"/>
        <v>42853</v>
      </c>
      <c r="I28" s="337">
        <f>H28/G28</f>
        <v>2.5206164343273927</v>
      </c>
      <c r="J28" s="327"/>
      <c r="K28" s="367">
        <v>17001</v>
      </c>
      <c r="L28" s="584">
        <v>42853</v>
      </c>
      <c r="M28" s="368">
        <f>L28/K28</f>
        <v>2.5206164343273927</v>
      </c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</row>
    <row r="29" spans="1:24" ht="15.75" customHeight="1">
      <c r="A29" s="949"/>
      <c r="B29" s="334" t="s">
        <v>28</v>
      </c>
      <c r="C29" s="372">
        <v>0</v>
      </c>
      <c r="D29" s="373">
        <v>0</v>
      </c>
      <c r="E29" s="383">
        <v>0</v>
      </c>
      <c r="F29" s="382"/>
      <c r="G29" s="338">
        <f t="shared" ref="G29:H29" si="33">K29-C29</f>
        <v>0</v>
      </c>
      <c r="H29" s="338">
        <f t="shared" si="33"/>
        <v>544</v>
      </c>
      <c r="I29" s="586">
        <v>0</v>
      </c>
      <c r="J29" s="327"/>
      <c r="K29" s="375">
        <v>0</v>
      </c>
      <c r="L29" s="587">
        <v>544</v>
      </c>
      <c r="M29" s="376">
        <v>0</v>
      </c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</row>
    <row r="30" spans="1:24" ht="15.75" customHeight="1">
      <c r="A30" s="949"/>
      <c r="B30" s="334" t="s">
        <v>31</v>
      </c>
      <c r="C30" s="372">
        <v>0</v>
      </c>
      <c r="D30" s="373">
        <v>0</v>
      </c>
      <c r="E30" s="383">
        <v>0</v>
      </c>
      <c r="F30" s="382"/>
      <c r="G30" s="338">
        <f t="shared" ref="G30:H30" si="34">K30-C30</f>
        <v>75646</v>
      </c>
      <c r="H30" s="338">
        <f t="shared" si="34"/>
        <v>158</v>
      </c>
      <c r="I30" s="337">
        <f t="shared" ref="I30:I32" si="35">H30/G30</f>
        <v>2.0886762023107634E-3</v>
      </c>
      <c r="J30" s="327"/>
      <c r="K30" s="375">
        <v>75646</v>
      </c>
      <c r="L30" s="587">
        <v>158</v>
      </c>
      <c r="M30" s="376">
        <f t="shared" ref="M30:M32" si="36">L30/K30</f>
        <v>2.0886762023107634E-3</v>
      </c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</row>
    <row r="31" spans="1:24" ht="15.75" customHeight="1">
      <c r="A31" s="949"/>
      <c r="B31" s="377" t="s">
        <v>32</v>
      </c>
      <c r="C31" s="378">
        <v>0</v>
      </c>
      <c r="D31" s="373">
        <v>0</v>
      </c>
      <c r="E31" s="383">
        <v>0</v>
      </c>
      <c r="F31" s="382"/>
      <c r="G31" s="338">
        <f t="shared" ref="G31:H31" si="37">K31-C31</f>
        <v>87373</v>
      </c>
      <c r="H31" s="338">
        <f t="shared" si="37"/>
        <v>50429</v>
      </c>
      <c r="I31" s="337">
        <f t="shared" si="35"/>
        <v>0.57716914836391109</v>
      </c>
      <c r="J31" s="327"/>
      <c r="K31" s="496">
        <v>87373</v>
      </c>
      <c r="L31" s="587">
        <v>50429</v>
      </c>
      <c r="M31" s="376">
        <f t="shared" si="36"/>
        <v>0.57716914836391109</v>
      </c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</row>
    <row r="32" spans="1:24" ht="15.75" customHeight="1">
      <c r="A32" s="950"/>
      <c r="B32" s="357" t="s">
        <v>25</v>
      </c>
      <c r="C32" s="369">
        <f t="shared" ref="C32:D32" si="38">SUM(C28:C31)</f>
        <v>0</v>
      </c>
      <c r="D32" s="358">
        <f t="shared" si="38"/>
        <v>0</v>
      </c>
      <c r="E32" s="384">
        <v>0</v>
      </c>
      <c r="F32" s="385"/>
      <c r="G32" s="370">
        <f t="shared" ref="G32:H32" si="39">SUM(G28:G31)</f>
        <v>180020</v>
      </c>
      <c r="H32" s="369">
        <f t="shared" si="39"/>
        <v>93984</v>
      </c>
      <c r="I32" s="380">
        <f t="shared" si="35"/>
        <v>0.52207532496389286</v>
      </c>
      <c r="J32" s="327"/>
      <c r="K32" s="362">
        <f t="shared" ref="K32:L32" si="40">SUM(K28:K31)</f>
        <v>180020</v>
      </c>
      <c r="L32" s="362">
        <f t="shared" si="40"/>
        <v>93984</v>
      </c>
      <c r="M32" s="363">
        <f t="shared" si="36"/>
        <v>0.52207532496389286</v>
      </c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</row>
    <row r="33" spans="1:24" ht="7.5" customHeight="1">
      <c r="A33" s="985"/>
      <c r="B33" s="928"/>
      <c r="C33" s="928"/>
      <c r="D33" s="928"/>
      <c r="E33" s="928"/>
      <c r="F33" s="312"/>
      <c r="G33" s="986"/>
      <c r="H33" s="928"/>
      <c r="I33" s="928"/>
      <c r="J33" s="312"/>
      <c r="K33" s="491"/>
      <c r="L33" s="348"/>
      <c r="M33" s="349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</row>
    <row r="34" spans="1:24" ht="18.75" customHeight="1">
      <c r="A34" s="987" t="s">
        <v>160</v>
      </c>
      <c r="B34" s="323" t="s">
        <v>21</v>
      </c>
      <c r="C34" s="364">
        <v>0</v>
      </c>
      <c r="D34" s="365">
        <v>0</v>
      </c>
      <c r="E34" s="326">
        <v>0</v>
      </c>
      <c r="F34" s="327"/>
      <c r="G34" s="338">
        <f t="shared" ref="G34:H34" si="41">K34-C34</f>
        <v>6167100</v>
      </c>
      <c r="H34" s="338">
        <f t="shared" si="41"/>
        <v>6053188</v>
      </c>
      <c r="I34" s="337">
        <f t="shared" ref="I34:I35" si="42">H34/G34</f>
        <v>0.98152908174020204</v>
      </c>
      <c r="J34" s="327"/>
      <c r="K34" s="367">
        <v>6167100</v>
      </c>
      <c r="L34" s="584">
        <v>6053188</v>
      </c>
      <c r="M34" s="368">
        <f t="shared" ref="M34:M35" si="43">L34/K34</f>
        <v>0.98152908174020204</v>
      </c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</row>
    <row r="35" spans="1:24" ht="22.5" customHeight="1">
      <c r="A35" s="950"/>
      <c r="B35" s="357" t="s">
        <v>25</v>
      </c>
      <c r="C35" s="369">
        <f t="shared" ref="C35:D35" si="44">SUM(C34)</f>
        <v>0</v>
      </c>
      <c r="D35" s="358">
        <f t="shared" si="44"/>
        <v>0</v>
      </c>
      <c r="E35" s="359">
        <v>0</v>
      </c>
      <c r="F35" s="343"/>
      <c r="G35" s="370">
        <f t="shared" ref="G35:H35" si="45">SUM(G34)</f>
        <v>6167100</v>
      </c>
      <c r="H35" s="369">
        <f t="shared" si="45"/>
        <v>6053188</v>
      </c>
      <c r="I35" s="380">
        <f t="shared" si="42"/>
        <v>0.98152908174020204</v>
      </c>
      <c r="J35" s="327"/>
      <c r="K35" s="362">
        <f t="shared" ref="K35:L35" si="46">SUM(K34)</f>
        <v>6167100</v>
      </c>
      <c r="L35" s="362">
        <f t="shared" si="46"/>
        <v>6053188</v>
      </c>
      <c r="M35" s="363">
        <f t="shared" si="43"/>
        <v>0.98152908174020204</v>
      </c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</row>
    <row r="36" spans="1:24" ht="6" customHeight="1">
      <c r="A36" s="985"/>
      <c r="B36" s="928"/>
      <c r="C36" s="928"/>
      <c r="D36" s="928"/>
      <c r="E36" s="928"/>
      <c r="F36" s="312"/>
      <c r="G36" s="986"/>
      <c r="H36" s="928"/>
      <c r="I36" s="928"/>
      <c r="J36" s="312"/>
      <c r="K36" s="491"/>
      <c r="L36" s="348"/>
      <c r="M36" s="349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</row>
    <row r="37" spans="1:24" ht="15.75" customHeight="1">
      <c r="A37" s="987" t="s">
        <v>161</v>
      </c>
      <c r="B37" s="386" t="s">
        <v>40</v>
      </c>
      <c r="C37" s="386">
        <v>10000</v>
      </c>
      <c r="D37" s="387">
        <v>0</v>
      </c>
      <c r="E37" s="326">
        <f>D37/C37</f>
        <v>0</v>
      </c>
      <c r="F37" s="327"/>
      <c r="G37" s="338">
        <f t="shared" ref="G37:H37" si="47">K37-C37</f>
        <v>234105</v>
      </c>
      <c r="H37" s="338">
        <f t="shared" si="47"/>
        <v>17495</v>
      </c>
      <c r="I37" s="337">
        <f>H37/G37</f>
        <v>7.4731423933704966E-2</v>
      </c>
      <c r="J37" s="327"/>
      <c r="K37" s="498">
        <v>244105</v>
      </c>
      <c r="L37" s="588">
        <v>17495</v>
      </c>
      <c r="M37" s="368">
        <f>L37/K37</f>
        <v>7.1669978083201899E-2</v>
      </c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</row>
    <row r="38" spans="1:24" ht="15.75" customHeight="1">
      <c r="A38" s="949"/>
      <c r="B38" s="377" t="s">
        <v>32</v>
      </c>
      <c r="C38" s="377">
        <v>0</v>
      </c>
      <c r="D38" s="373">
        <v>0</v>
      </c>
      <c r="E38" s="337">
        <v>0</v>
      </c>
      <c r="F38" s="327"/>
      <c r="G38" s="338">
        <f t="shared" ref="G38:H38" si="48">K38-C38</f>
        <v>0</v>
      </c>
      <c r="H38" s="338">
        <f t="shared" si="48"/>
        <v>1594</v>
      </c>
      <c r="I38" s="337">
        <v>0</v>
      </c>
      <c r="J38" s="327"/>
      <c r="K38" s="499">
        <v>0</v>
      </c>
      <c r="L38" s="587">
        <v>1594</v>
      </c>
      <c r="M38" s="376">
        <v>0</v>
      </c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</row>
    <row r="39" spans="1:24" ht="15.75" customHeight="1">
      <c r="A39" s="950"/>
      <c r="B39" s="357" t="s">
        <v>25</v>
      </c>
      <c r="C39" s="357">
        <f>SUM(C37:C38)</f>
        <v>10000</v>
      </c>
      <c r="D39" s="358">
        <f>SUM(D38)</f>
        <v>0</v>
      </c>
      <c r="E39" s="359">
        <v>0</v>
      </c>
      <c r="F39" s="343"/>
      <c r="G39" s="360">
        <f t="shared" ref="G39:H39" si="49">SUM(G37:G38)</f>
        <v>234105</v>
      </c>
      <c r="H39" s="357">
        <f t="shared" si="49"/>
        <v>19089</v>
      </c>
      <c r="I39" s="380">
        <f>H39/G39</f>
        <v>8.1540334465304024E-2</v>
      </c>
      <c r="J39" s="327"/>
      <c r="K39" s="346">
        <f t="shared" ref="K39:L39" si="50">SUM(K37:K38)</f>
        <v>244105</v>
      </c>
      <c r="L39" s="362">
        <f t="shared" si="50"/>
        <v>19089</v>
      </c>
      <c r="M39" s="363">
        <f>L39/K39</f>
        <v>7.8199954937424473E-2</v>
      </c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</row>
    <row r="40" spans="1:24" ht="6" customHeight="1">
      <c r="A40" s="985"/>
      <c r="B40" s="928"/>
      <c r="C40" s="928"/>
      <c r="D40" s="928"/>
      <c r="E40" s="928"/>
      <c r="F40" s="312"/>
      <c r="G40" s="986"/>
      <c r="H40" s="928"/>
      <c r="I40" s="928"/>
      <c r="J40" s="312"/>
      <c r="K40" s="491"/>
      <c r="L40" s="348"/>
      <c r="M40" s="349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</row>
    <row r="41" spans="1:24" ht="14.25" customHeight="1">
      <c r="A41" s="987" t="s">
        <v>162</v>
      </c>
      <c r="B41" s="323" t="s">
        <v>40</v>
      </c>
      <c r="C41" s="364">
        <v>1232779</v>
      </c>
      <c r="D41" s="583">
        <v>464035</v>
      </c>
      <c r="E41" s="326">
        <f t="shared" ref="E41:E43" si="51">D41/C41</f>
        <v>0.37641377732748532</v>
      </c>
      <c r="F41" s="327"/>
      <c r="G41" s="338">
        <f t="shared" ref="G41:H41" si="52">K41-C41</f>
        <v>3380525</v>
      </c>
      <c r="H41" s="338">
        <f t="shared" si="52"/>
        <v>194659</v>
      </c>
      <c r="I41" s="337">
        <f t="shared" ref="I41:I43" si="53">H41/G41</f>
        <v>5.7582476094689437E-2</v>
      </c>
      <c r="J41" s="327"/>
      <c r="K41" s="367">
        <v>4613304</v>
      </c>
      <c r="L41" s="584">
        <v>658694</v>
      </c>
      <c r="M41" s="368">
        <f t="shared" ref="M41:M43" si="54">L41/K41</f>
        <v>0.14278139918808733</v>
      </c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</row>
    <row r="42" spans="1:24" ht="15.75" customHeight="1">
      <c r="A42" s="949"/>
      <c r="B42" s="377" t="s">
        <v>32</v>
      </c>
      <c r="C42" s="378">
        <v>135532</v>
      </c>
      <c r="D42" s="585">
        <v>39498</v>
      </c>
      <c r="E42" s="337">
        <f t="shared" si="51"/>
        <v>0.29142933034264973</v>
      </c>
      <c r="F42" s="327"/>
      <c r="G42" s="338">
        <f t="shared" ref="G42:H42" si="55">K42-C42</f>
        <v>501203</v>
      </c>
      <c r="H42" s="338">
        <f t="shared" si="55"/>
        <v>559584</v>
      </c>
      <c r="I42" s="337">
        <f t="shared" si="53"/>
        <v>1.1164817449217184</v>
      </c>
      <c r="J42" s="327"/>
      <c r="K42" s="496">
        <v>636735</v>
      </c>
      <c r="L42" s="587">
        <v>599082</v>
      </c>
      <c r="M42" s="376">
        <f t="shared" si="54"/>
        <v>0.94086550919927447</v>
      </c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</row>
    <row r="43" spans="1:24" ht="15.75" customHeight="1">
      <c r="A43" s="950"/>
      <c r="B43" s="357" t="s">
        <v>25</v>
      </c>
      <c r="C43" s="369">
        <f t="shared" ref="C43:D43" si="56">SUM(C41:C42)</f>
        <v>1368311</v>
      </c>
      <c r="D43" s="369">
        <f t="shared" si="56"/>
        <v>503533</v>
      </c>
      <c r="E43" s="359">
        <f t="shared" si="51"/>
        <v>0.36799601844902219</v>
      </c>
      <c r="F43" s="343"/>
      <c r="G43" s="370">
        <f t="shared" ref="G43:H43" si="57">SUM(G41:G42)</f>
        <v>3881728</v>
      </c>
      <c r="H43" s="369">
        <f t="shared" si="57"/>
        <v>754243</v>
      </c>
      <c r="I43" s="380">
        <f t="shared" si="53"/>
        <v>0.19430598949746092</v>
      </c>
      <c r="J43" s="327"/>
      <c r="K43" s="362">
        <f t="shared" ref="K43:L43" si="58">SUM(K41:K42)</f>
        <v>5250039</v>
      </c>
      <c r="L43" s="362">
        <f t="shared" si="58"/>
        <v>1257776</v>
      </c>
      <c r="M43" s="363">
        <f t="shared" si="54"/>
        <v>0.23957460125534305</v>
      </c>
      <c r="N43" s="305"/>
      <c r="O43" s="305"/>
      <c r="P43" s="305"/>
      <c r="Q43" s="305"/>
      <c r="R43" s="305"/>
      <c r="S43" s="305"/>
      <c r="T43" s="305"/>
      <c r="U43" s="305"/>
      <c r="V43" s="305"/>
      <c r="W43" s="305"/>
      <c r="X43" s="305"/>
    </row>
    <row r="44" spans="1:24" ht="6.75" customHeight="1">
      <c r="A44" s="985"/>
      <c r="B44" s="928"/>
      <c r="C44" s="928"/>
      <c r="D44" s="928"/>
      <c r="E44" s="928"/>
      <c r="F44" s="312"/>
      <c r="G44" s="986"/>
      <c r="H44" s="928"/>
      <c r="I44" s="928"/>
      <c r="J44" s="312"/>
      <c r="K44" s="491"/>
      <c r="L44" s="348"/>
      <c r="M44" s="349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</row>
    <row r="45" spans="1:24" ht="15.75" customHeight="1">
      <c r="A45" s="987" t="s">
        <v>163</v>
      </c>
      <c r="B45" s="391" t="s">
        <v>32</v>
      </c>
      <c r="C45" s="392">
        <v>0</v>
      </c>
      <c r="D45" s="365">
        <v>0</v>
      </c>
      <c r="E45" s="326">
        <v>0</v>
      </c>
      <c r="F45" s="327"/>
      <c r="G45" s="338">
        <f t="shared" ref="G45:H45" si="59">K45-C45</f>
        <v>6000000</v>
      </c>
      <c r="H45" s="338">
        <f t="shared" si="59"/>
        <v>5401337</v>
      </c>
      <c r="I45" s="337">
        <f t="shared" ref="I45:I46" si="60">H45/G45</f>
        <v>0.90022283333333331</v>
      </c>
      <c r="J45" s="327"/>
      <c r="K45" s="500">
        <v>6000000</v>
      </c>
      <c r="L45" s="584">
        <v>5401337</v>
      </c>
      <c r="M45" s="368">
        <f t="shared" ref="M45:M46" si="61">L45/K45</f>
        <v>0.90022283333333331</v>
      </c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</row>
    <row r="46" spans="1:24" ht="15.75" customHeight="1">
      <c r="A46" s="950"/>
      <c r="B46" s="357" t="s">
        <v>25</v>
      </c>
      <c r="C46" s="369">
        <f t="shared" ref="C46:D46" si="62">SUM(C45)</f>
        <v>0</v>
      </c>
      <c r="D46" s="358">
        <f t="shared" si="62"/>
        <v>0</v>
      </c>
      <c r="E46" s="359">
        <v>0</v>
      </c>
      <c r="F46" s="343"/>
      <c r="G46" s="370">
        <f t="shared" ref="G46:H46" si="63">SUM(G45)</f>
        <v>6000000</v>
      </c>
      <c r="H46" s="369">
        <f t="shared" si="63"/>
        <v>5401337</v>
      </c>
      <c r="I46" s="380">
        <f t="shared" si="60"/>
        <v>0.90022283333333331</v>
      </c>
      <c r="J46" s="327"/>
      <c r="K46" s="362">
        <f t="shared" ref="K46:L46" si="64">SUM(K45)</f>
        <v>6000000</v>
      </c>
      <c r="L46" s="362">
        <f t="shared" si="64"/>
        <v>5401337</v>
      </c>
      <c r="M46" s="363">
        <f t="shared" si="61"/>
        <v>0.90022283333333331</v>
      </c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</row>
    <row r="47" spans="1:24" ht="6.75" customHeight="1">
      <c r="A47" s="985"/>
      <c r="B47" s="928"/>
      <c r="C47" s="928"/>
      <c r="D47" s="928"/>
      <c r="E47" s="928"/>
      <c r="F47" s="312"/>
      <c r="G47" s="986"/>
      <c r="H47" s="928"/>
      <c r="I47" s="928"/>
      <c r="J47" s="312"/>
      <c r="K47" s="491"/>
      <c r="L47" s="348"/>
      <c r="M47" s="349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</row>
    <row r="48" spans="1:24" ht="15.75" customHeight="1">
      <c r="A48" s="987" t="s">
        <v>164</v>
      </c>
      <c r="B48" s="323" t="s">
        <v>21</v>
      </c>
      <c r="C48" s="364">
        <v>0</v>
      </c>
      <c r="D48" s="365">
        <v>0</v>
      </c>
      <c r="E48" s="326">
        <v>0</v>
      </c>
      <c r="F48" s="327"/>
      <c r="G48" s="338">
        <f t="shared" ref="G48:H48" si="65">K48-C48</f>
        <v>4500</v>
      </c>
      <c r="H48" s="338">
        <f t="shared" si="65"/>
        <v>0</v>
      </c>
      <c r="I48" s="337">
        <f>H48/G48</f>
        <v>0</v>
      </c>
      <c r="J48" s="327"/>
      <c r="K48" s="367">
        <v>4500</v>
      </c>
      <c r="L48" s="367">
        <v>0</v>
      </c>
      <c r="M48" s="368">
        <f>L48/K48</f>
        <v>0</v>
      </c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</row>
    <row r="49" spans="1:24" ht="15.75" customHeight="1">
      <c r="A49" s="949"/>
      <c r="B49" s="334" t="s">
        <v>28</v>
      </c>
      <c r="C49" s="372">
        <v>0</v>
      </c>
      <c r="D49" s="373">
        <v>0</v>
      </c>
      <c r="E49" s="337">
        <v>0</v>
      </c>
      <c r="F49" s="327"/>
      <c r="G49" s="338">
        <f t="shared" ref="G49:H49" si="66">K49-C49</f>
        <v>0</v>
      </c>
      <c r="H49" s="338">
        <f t="shared" si="66"/>
        <v>4957</v>
      </c>
      <c r="I49" s="337">
        <v>0</v>
      </c>
      <c r="J49" s="327"/>
      <c r="K49" s="375">
        <v>0</v>
      </c>
      <c r="L49" s="587">
        <v>4957</v>
      </c>
      <c r="M49" s="376">
        <v>0</v>
      </c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</row>
    <row r="50" spans="1:24" ht="15.75" customHeight="1">
      <c r="A50" s="949"/>
      <c r="B50" s="377" t="s">
        <v>32</v>
      </c>
      <c r="C50" s="378">
        <v>2</v>
      </c>
      <c r="D50" s="373">
        <v>0</v>
      </c>
      <c r="E50" s="337">
        <f t="shared" ref="E50:E51" si="67">D50/C50</f>
        <v>0</v>
      </c>
      <c r="F50" s="327"/>
      <c r="G50" s="338">
        <f t="shared" ref="G50:H50" si="68">K50-C50</f>
        <v>145498</v>
      </c>
      <c r="H50" s="338">
        <f t="shared" si="68"/>
        <v>88370</v>
      </c>
      <c r="I50" s="337">
        <f t="shared" ref="I50:I51" si="69">H50/G50</f>
        <v>0.60736230051272178</v>
      </c>
      <c r="J50" s="327"/>
      <c r="K50" s="496">
        <v>145500</v>
      </c>
      <c r="L50" s="587">
        <v>88370</v>
      </c>
      <c r="M50" s="376">
        <f t="shared" ref="M50:M51" si="70">L50/K50</f>
        <v>0.60735395189003438</v>
      </c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</row>
    <row r="51" spans="1:24" ht="15.75" customHeight="1">
      <c r="A51" s="950"/>
      <c r="B51" s="357" t="s">
        <v>25</v>
      </c>
      <c r="C51" s="369">
        <f t="shared" ref="C51:D51" si="71">SUM(C48:C50)</f>
        <v>2</v>
      </c>
      <c r="D51" s="358">
        <f t="shared" si="71"/>
        <v>0</v>
      </c>
      <c r="E51" s="359">
        <f t="shared" si="67"/>
        <v>0</v>
      </c>
      <c r="F51" s="343"/>
      <c r="G51" s="370">
        <f t="shared" ref="G51:H51" si="72">SUM(G48:G50)</f>
        <v>149998</v>
      </c>
      <c r="H51" s="369">
        <f t="shared" si="72"/>
        <v>93327</v>
      </c>
      <c r="I51" s="380">
        <f t="shared" si="69"/>
        <v>0.62218829584394464</v>
      </c>
      <c r="J51" s="327"/>
      <c r="K51" s="362">
        <f t="shared" ref="K51:L51" si="73">SUM(K48:K50)</f>
        <v>150000</v>
      </c>
      <c r="L51" s="362">
        <f t="shared" si="73"/>
        <v>93327</v>
      </c>
      <c r="M51" s="363">
        <f t="shared" si="70"/>
        <v>0.62217999999999996</v>
      </c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</row>
    <row r="52" spans="1:24" ht="6.75" customHeight="1">
      <c r="A52" s="985"/>
      <c r="B52" s="928"/>
      <c r="C52" s="928"/>
      <c r="D52" s="928"/>
      <c r="E52" s="928"/>
      <c r="F52" s="312"/>
      <c r="G52" s="986"/>
      <c r="H52" s="928"/>
      <c r="I52" s="928"/>
      <c r="J52" s="312"/>
      <c r="K52" s="491"/>
      <c r="L52" s="348"/>
      <c r="M52" s="349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</row>
    <row r="53" spans="1:24" ht="15.75" customHeight="1">
      <c r="A53" s="987" t="s">
        <v>165</v>
      </c>
      <c r="B53" s="323" t="s">
        <v>21</v>
      </c>
      <c r="C53" s="364">
        <f>330003</f>
        <v>330003</v>
      </c>
      <c r="D53" s="589">
        <f>134906</f>
        <v>134906</v>
      </c>
      <c r="E53" s="329">
        <f t="shared" ref="E53:E55" si="74">D53/C53</f>
        <v>0.40880234422111317</v>
      </c>
      <c r="F53" s="327"/>
      <c r="G53" s="338">
        <f t="shared" ref="G53:H53" si="75">K53-C53</f>
        <v>189981</v>
      </c>
      <c r="H53" s="338">
        <f t="shared" si="75"/>
        <v>32068</v>
      </c>
      <c r="I53" s="337">
        <f t="shared" ref="I53:I55" si="76">H53/G53</f>
        <v>0.16879582695111617</v>
      </c>
      <c r="J53" s="327"/>
      <c r="K53" s="367">
        <v>519984</v>
      </c>
      <c r="L53" s="584">
        <v>166974</v>
      </c>
      <c r="M53" s="368">
        <f t="shared" ref="M53:M55" si="77">L53/K53</f>
        <v>0.32111372657620235</v>
      </c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</row>
    <row r="54" spans="1:24" ht="15.75" customHeight="1">
      <c r="A54" s="949"/>
      <c r="B54" s="377" t="s">
        <v>32</v>
      </c>
      <c r="C54" s="378">
        <f>1004+1035010-210000</f>
        <v>826014</v>
      </c>
      <c r="D54" s="590">
        <f>19795+688233</f>
        <v>708028</v>
      </c>
      <c r="E54" s="329">
        <f t="shared" si="74"/>
        <v>0.85716222727459823</v>
      </c>
      <c r="F54" s="327"/>
      <c r="G54" s="338">
        <f t="shared" ref="G54:H54" si="78">K54-C54</f>
        <v>1434948</v>
      </c>
      <c r="H54" s="338">
        <f t="shared" si="78"/>
        <v>605804</v>
      </c>
      <c r="I54" s="337">
        <f t="shared" si="76"/>
        <v>0.4221783646515414</v>
      </c>
      <c r="J54" s="327"/>
      <c r="K54" s="496">
        <f>2533439-272477</f>
        <v>2260962</v>
      </c>
      <c r="L54" s="587">
        <v>1313832</v>
      </c>
      <c r="M54" s="376">
        <f t="shared" si="77"/>
        <v>0.58109424218540606</v>
      </c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</row>
    <row r="55" spans="1:24" ht="15.75" customHeight="1">
      <c r="A55" s="950"/>
      <c r="B55" s="357" t="s">
        <v>25</v>
      </c>
      <c r="C55" s="369">
        <f t="shared" ref="C55:D55" si="79">SUM(C53:C54)</f>
        <v>1156017</v>
      </c>
      <c r="D55" s="357">
        <f t="shared" si="79"/>
        <v>842934</v>
      </c>
      <c r="E55" s="397">
        <f t="shared" si="74"/>
        <v>0.72917093779762754</v>
      </c>
      <c r="F55" s="343"/>
      <c r="G55" s="370">
        <f t="shared" ref="G55:H55" si="80">SUM(G53:G54)</f>
        <v>1624929</v>
      </c>
      <c r="H55" s="369">
        <f t="shared" si="80"/>
        <v>637872</v>
      </c>
      <c r="I55" s="380">
        <f t="shared" si="76"/>
        <v>0.39255376696458738</v>
      </c>
      <c r="J55" s="327"/>
      <c r="K55" s="362">
        <f t="shared" ref="K55:L55" si="81">SUM(K53:K54)</f>
        <v>2780946</v>
      </c>
      <c r="L55" s="362">
        <f t="shared" si="81"/>
        <v>1480806</v>
      </c>
      <c r="M55" s="363">
        <f t="shared" si="77"/>
        <v>0.53248283138183916</v>
      </c>
      <c r="N55" s="305"/>
      <c r="O55" s="305"/>
      <c r="P55" s="305"/>
      <c r="Q55" s="305"/>
      <c r="R55" s="305"/>
      <c r="S55" s="305"/>
      <c r="T55" s="305"/>
      <c r="U55" s="305"/>
      <c r="V55" s="305"/>
      <c r="W55" s="305"/>
      <c r="X55" s="305"/>
    </row>
    <row r="56" spans="1:24" ht="6.75" customHeight="1">
      <c r="A56" s="985"/>
      <c r="B56" s="928"/>
      <c r="C56" s="928"/>
      <c r="D56" s="928"/>
      <c r="E56" s="928"/>
      <c r="F56" s="312"/>
      <c r="G56" s="986"/>
      <c r="H56" s="928"/>
      <c r="I56" s="928"/>
      <c r="J56" s="312"/>
      <c r="K56" s="491"/>
      <c r="L56" s="348"/>
      <c r="M56" s="349"/>
      <c r="N56" s="305"/>
      <c r="O56" s="305"/>
      <c r="P56" s="305"/>
      <c r="Q56" s="305"/>
      <c r="R56" s="305"/>
      <c r="S56" s="305"/>
      <c r="T56" s="305"/>
      <c r="U56" s="305"/>
      <c r="V56" s="305"/>
      <c r="W56" s="305"/>
      <c r="X56" s="305"/>
    </row>
    <row r="57" spans="1:24" ht="15.75" customHeight="1">
      <c r="A57" s="987" t="s">
        <v>166</v>
      </c>
      <c r="B57" s="323" t="s">
        <v>21</v>
      </c>
      <c r="C57" s="364">
        <v>350210</v>
      </c>
      <c r="D57" s="583">
        <v>95858</v>
      </c>
      <c r="E57" s="326">
        <f>D57/C57</f>
        <v>0.27371577053767737</v>
      </c>
      <c r="F57" s="327"/>
      <c r="G57" s="338">
        <f t="shared" ref="G57:H57" si="82">K57-C57</f>
        <v>18111</v>
      </c>
      <c r="H57" s="338">
        <f t="shared" si="82"/>
        <v>12277</v>
      </c>
      <c r="I57" s="337">
        <f t="shared" ref="I57:I61" si="83">H57/G57</f>
        <v>0.67787532438849318</v>
      </c>
      <c r="J57" s="327"/>
      <c r="K57" s="367">
        <v>368321</v>
      </c>
      <c r="L57" s="584">
        <v>108135</v>
      </c>
      <c r="M57" s="368">
        <f t="shared" ref="M57:M61" si="84">L57/K57</f>
        <v>0.29358901610280164</v>
      </c>
      <c r="N57" s="305"/>
      <c r="O57" s="305"/>
      <c r="P57" s="305"/>
      <c r="Q57" s="305"/>
      <c r="R57" s="305"/>
      <c r="S57" s="305"/>
      <c r="T57" s="305"/>
      <c r="U57" s="305"/>
      <c r="V57" s="305"/>
      <c r="W57" s="305"/>
      <c r="X57" s="305"/>
    </row>
    <row r="58" spans="1:24" ht="15.75" customHeight="1">
      <c r="A58" s="949"/>
      <c r="B58" s="334" t="s">
        <v>28</v>
      </c>
      <c r="C58" s="372">
        <v>0</v>
      </c>
      <c r="D58" s="373">
        <v>0</v>
      </c>
      <c r="E58" s="337">
        <v>0</v>
      </c>
      <c r="F58" s="327"/>
      <c r="G58" s="338">
        <f t="shared" ref="G58:H58" si="85">K58-C58</f>
        <v>33979</v>
      </c>
      <c r="H58" s="338">
        <f t="shared" si="85"/>
        <v>2841</v>
      </c>
      <c r="I58" s="337">
        <f t="shared" si="83"/>
        <v>8.361046528738339E-2</v>
      </c>
      <c r="J58" s="327"/>
      <c r="K58" s="375">
        <v>33979</v>
      </c>
      <c r="L58" s="587">
        <v>2841</v>
      </c>
      <c r="M58" s="376">
        <f t="shared" si="84"/>
        <v>8.361046528738339E-2</v>
      </c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</row>
    <row r="59" spans="1:24" ht="15.75" customHeight="1">
      <c r="A59" s="949"/>
      <c r="B59" s="334" t="s">
        <v>31</v>
      </c>
      <c r="C59" s="372">
        <v>84000</v>
      </c>
      <c r="D59" s="373">
        <v>72911</v>
      </c>
      <c r="E59" s="337">
        <f t="shared" ref="E59:E61" si="86">D59/C59</f>
        <v>0.86798809523809528</v>
      </c>
      <c r="F59" s="327"/>
      <c r="G59" s="338">
        <f t="shared" ref="G59:H59" si="87">K59-C59</f>
        <v>20631</v>
      </c>
      <c r="H59" s="338">
        <f t="shared" si="87"/>
        <v>9444</v>
      </c>
      <c r="I59" s="337">
        <f t="shared" si="83"/>
        <v>0.4577577432019776</v>
      </c>
      <c r="J59" s="327"/>
      <c r="K59" s="375">
        <v>104631</v>
      </c>
      <c r="L59" s="587">
        <v>82355</v>
      </c>
      <c r="M59" s="376">
        <f t="shared" si="84"/>
        <v>0.78709942560044344</v>
      </c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</row>
    <row r="60" spans="1:24" ht="15.75" customHeight="1">
      <c r="A60" s="949"/>
      <c r="B60" s="377" t="s">
        <v>32</v>
      </c>
      <c r="C60" s="378">
        <v>76700</v>
      </c>
      <c r="D60" s="585">
        <v>35001</v>
      </c>
      <c r="E60" s="337">
        <f t="shared" si="86"/>
        <v>0.45633637548891787</v>
      </c>
      <c r="F60" s="327"/>
      <c r="G60" s="338">
        <f t="shared" ref="G60:H60" si="88">K60-C60</f>
        <v>418722</v>
      </c>
      <c r="H60" s="338">
        <f t="shared" si="88"/>
        <v>147243</v>
      </c>
      <c r="I60" s="337">
        <f t="shared" si="83"/>
        <v>0.35164858784587388</v>
      </c>
      <c r="J60" s="327"/>
      <c r="K60" s="496">
        <v>495422</v>
      </c>
      <c r="L60" s="587">
        <v>182244</v>
      </c>
      <c r="M60" s="376">
        <f t="shared" si="84"/>
        <v>0.36785609036336697</v>
      </c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</row>
    <row r="61" spans="1:24" ht="15.75" customHeight="1">
      <c r="A61" s="950"/>
      <c r="B61" s="357" t="s">
        <v>25</v>
      </c>
      <c r="C61" s="369">
        <f t="shared" ref="C61:D61" si="89">SUM(C57:C60)</f>
        <v>510910</v>
      </c>
      <c r="D61" s="369">
        <f t="shared" si="89"/>
        <v>203770</v>
      </c>
      <c r="E61" s="359">
        <f t="shared" si="86"/>
        <v>0.39883736861678182</v>
      </c>
      <c r="F61" s="343"/>
      <c r="G61" s="370">
        <f t="shared" ref="G61:H61" si="90">SUM(G57:G60)</f>
        <v>491443</v>
      </c>
      <c r="H61" s="369">
        <f t="shared" si="90"/>
        <v>171805</v>
      </c>
      <c r="I61" s="380">
        <f t="shared" si="83"/>
        <v>0.34959293346329073</v>
      </c>
      <c r="J61" s="327"/>
      <c r="K61" s="362">
        <f t="shared" ref="K61:L61" si="91">SUM(K57:K60)</f>
        <v>1002353</v>
      </c>
      <c r="L61" s="362">
        <f t="shared" si="91"/>
        <v>375575</v>
      </c>
      <c r="M61" s="363">
        <f t="shared" si="84"/>
        <v>0.37469334655555481</v>
      </c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</row>
    <row r="62" spans="1:24" ht="7.5" customHeight="1">
      <c r="A62" s="985"/>
      <c r="B62" s="928"/>
      <c r="C62" s="928"/>
      <c r="D62" s="928"/>
      <c r="E62" s="928"/>
      <c r="F62" s="312"/>
      <c r="G62" s="986"/>
      <c r="H62" s="928"/>
      <c r="I62" s="928"/>
      <c r="J62" s="312"/>
      <c r="K62" s="491"/>
      <c r="L62" s="348"/>
      <c r="M62" s="349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</row>
    <row r="63" spans="1:24" ht="15.75" customHeight="1">
      <c r="A63" s="987" t="s">
        <v>167</v>
      </c>
      <c r="B63" s="323" t="s">
        <v>21</v>
      </c>
      <c r="C63" s="364">
        <v>0</v>
      </c>
      <c r="D63" s="365">
        <v>0</v>
      </c>
      <c r="E63" s="381">
        <v>0</v>
      </c>
      <c r="F63" s="382"/>
      <c r="G63" s="338">
        <f t="shared" ref="G63:H63" si="92">K63-C63</f>
        <v>83415</v>
      </c>
      <c r="H63" s="338">
        <f t="shared" si="92"/>
        <v>70336</v>
      </c>
      <c r="I63" s="337">
        <f t="shared" ref="I63:I67" si="93">H63/G63</f>
        <v>0.8432056584547144</v>
      </c>
      <c r="J63" s="327"/>
      <c r="K63" s="367">
        <v>83415</v>
      </c>
      <c r="L63" s="584">
        <v>70336</v>
      </c>
      <c r="M63" s="368">
        <f t="shared" ref="M63:M67" si="94">L63/K63</f>
        <v>0.8432056584547144</v>
      </c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</row>
    <row r="64" spans="1:24" ht="15.75" customHeight="1">
      <c r="A64" s="949"/>
      <c r="B64" s="334" t="s">
        <v>28</v>
      </c>
      <c r="C64" s="372">
        <v>0</v>
      </c>
      <c r="D64" s="373">
        <v>0</v>
      </c>
      <c r="E64" s="383">
        <v>0</v>
      </c>
      <c r="F64" s="382"/>
      <c r="G64" s="338">
        <f t="shared" ref="G64:H64" si="95">K64-C64</f>
        <v>19235</v>
      </c>
      <c r="H64" s="338">
        <f t="shared" si="95"/>
        <v>197079</v>
      </c>
      <c r="I64" s="337">
        <f t="shared" si="93"/>
        <v>10.24585391213933</v>
      </c>
      <c r="J64" s="327"/>
      <c r="K64" s="375">
        <v>19235</v>
      </c>
      <c r="L64" s="587">
        <v>197079</v>
      </c>
      <c r="M64" s="376">
        <f t="shared" si="94"/>
        <v>10.24585391213933</v>
      </c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</row>
    <row r="65" spans="1:24" ht="15.75" customHeight="1">
      <c r="A65" s="949"/>
      <c r="B65" s="334" t="s">
        <v>31</v>
      </c>
      <c r="C65" s="372">
        <v>0</v>
      </c>
      <c r="D65" s="373">
        <v>0</v>
      </c>
      <c r="E65" s="383">
        <v>0</v>
      </c>
      <c r="F65" s="382"/>
      <c r="G65" s="338">
        <f t="shared" ref="G65:H65" si="96">K65-C65</f>
        <v>40499</v>
      </c>
      <c r="H65" s="338">
        <f t="shared" si="96"/>
        <v>39430</v>
      </c>
      <c r="I65" s="337">
        <f t="shared" si="93"/>
        <v>0.97360428652559328</v>
      </c>
      <c r="J65" s="327"/>
      <c r="K65" s="375">
        <v>40499</v>
      </c>
      <c r="L65" s="587">
        <v>39430</v>
      </c>
      <c r="M65" s="376">
        <f t="shared" si="94"/>
        <v>0.97360428652559328</v>
      </c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</row>
    <row r="66" spans="1:24" ht="15.75" customHeight="1">
      <c r="A66" s="949"/>
      <c r="B66" s="377" t="s">
        <v>32</v>
      </c>
      <c r="C66" s="378">
        <v>0</v>
      </c>
      <c r="D66" s="373">
        <v>0</v>
      </c>
      <c r="E66" s="383">
        <v>0</v>
      </c>
      <c r="F66" s="382"/>
      <c r="G66" s="338">
        <f t="shared" ref="G66:H66" si="97">K66-C66</f>
        <v>184800</v>
      </c>
      <c r="H66" s="338">
        <f t="shared" si="97"/>
        <v>4559</v>
      </c>
      <c r="I66" s="337">
        <f t="shared" si="93"/>
        <v>2.4669913419913418E-2</v>
      </c>
      <c r="J66" s="327"/>
      <c r="K66" s="496">
        <v>184800</v>
      </c>
      <c r="L66" s="587">
        <v>4559</v>
      </c>
      <c r="M66" s="376">
        <f t="shared" si="94"/>
        <v>2.4669913419913418E-2</v>
      </c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</row>
    <row r="67" spans="1:24" ht="15.75" customHeight="1">
      <c r="A67" s="950"/>
      <c r="B67" s="357" t="s">
        <v>25</v>
      </c>
      <c r="C67" s="369">
        <f t="shared" ref="C67:D67" si="98">SUM(C63:C66)</f>
        <v>0</v>
      </c>
      <c r="D67" s="358">
        <f t="shared" si="98"/>
        <v>0</v>
      </c>
      <c r="E67" s="384">
        <v>0</v>
      </c>
      <c r="F67" s="385"/>
      <c r="G67" s="370">
        <f t="shared" ref="G67:H67" si="99">SUM(G63:G66)</f>
        <v>327949</v>
      </c>
      <c r="H67" s="369">
        <f t="shared" si="99"/>
        <v>311404</v>
      </c>
      <c r="I67" s="380">
        <f t="shared" si="93"/>
        <v>0.94955008248233719</v>
      </c>
      <c r="J67" s="327"/>
      <c r="K67" s="362">
        <f t="shared" ref="K67:L67" si="100">SUM(K63:K66)</f>
        <v>327949</v>
      </c>
      <c r="L67" s="362">
        <f t="shared" si="100"/>
        <v>311404</v>
      </c>
      <c r="M67" s="363">
        <f t="shared" si="94"/>
        <v>0.94955008248233719</v>
      </c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</row>
    <row r="68" spans="1:24" ht="7.5" customHeight="1">
      <c r="A68" s="985"/>
      <c r="B68" s="928"/>
      <c r="C68" s="928"/>
      <c r="D68" s="928"/>
      <c r="E68" s="928"/>
      <c r="F68" s="312"/>
      <c r="G68" s="986"/>
      <c r="H68" s="928"/>
      <c r="I68" s="928"/>
      <c r="J68" s="312"/>
      <c r="K68" s="491"/>
      <c r="L68" s="348"/>
      <c r="M68" s="349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</row>
    <row r="69" spans="1:24" ht="15.75" customHeight="1">
      <c r="A69" s="987" t="s">
        <v>168</v>
      </c>
      <c r="B69" s="591" t="s">
        <v>181</v>
      </c>
      <c r="C69" s="364">
        <f>5000+590000</f>
        <v>595000</v>
      </c>
      <c r="D69" s="583">
        <v>590000</v>
      </c>
      <c r="E69" s="326">
        <f t="shared" ref="E69:E71" si="101">D69/C69</f>
        <v>0.99159663865546221</v>
      </c>
      <c r="F69" s="327"/>
      <c r="G69" s="328">
        <f t="shared" ref="G69:H69" si="102">K69-C69</f>
        <v>181580</v>
      </c>
      <c r="H69" s="323">
        <f t="shared" si="102"/>
        <v>146103</v>
      </c>
      <c r="I69" s="337">
        <f t="shared" ref="I69:I73" si="103">H69/G69</f>
        <v>0.80462055292433088</v>
      </c>
      <c r="J69" s="327"/>
      <c r="K69" s="367">
        <f>286580+490000</f>
        <v>776580</v>
      </c>
      <c r="L69" s="584">
        <v>736103</v>
      </c>
      <c r="M69" s="368">
        <f t="shared" ref="M69:M73" si="104">L69/K69</f>
        <v>0.94787787478431074</v>
      </c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</row>
    <row r="70" spans="1:24" ht="15.75" customHeight="1">
      <c r="A70" s="949"/>
      <c r="B70" s="334" t="s">
        <v>28</v>
      </c>
      <c r="C70" s="372">
        <v>57501</v>
      </c>
      <c r="D70" s="585">
        <v>17351</v>
      </c>
      <c r="E70" s="337">
        <f t="shared" si="101"/>
        <v>0.30175127389088885</v>
      </c>
      <c r="F70" s="327"/>
      <c r="G70" s="338">
        <f t="shared" ref="G70:H70" si="105">K70-C70</f>
        <v>33499</v>
      </c>
      <c r="H70" s="334">
        <f t="shared" si="105"/>
        <v>3177</v>
      </c>
      <c r="I70" s="337">
        <f t="shared" si="103"/>
        <v>9.483865190005672E-2</v>
      </c>
      <c r="J70" s="327"/>
      <c r="K70" s="375">
        <v>91000</v>
      </c>
      <c r="L70" s="587">
        <v>20528</v>
      </c>
      <c r="M70" s="376">
        <f t="shared" si="104"/>
        <v>0.22558241758241759</v>
      </c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</row>
    <row r="71" spans="1:24" ht="15.75" customHeight="1">
      <c r="A71" s="949"/>
      <c r="B71" s="334" t="s">
        <v>31</v>
      </c>
      <c r="C71" s="372">
        <v>34006</v>
      </c>
      <c r="D71" s="373">
        <v>58944</v>
      </c>
      <c r="E71" s="337">
        <f t="shared" si="101"/>
        <v>1.7333411750867493</v>
      </c>
      <c r="F71" s="327"/>
      <c r="G71" s="338">
        <f t="shared" ref="G71:H71" si="106">K71-C71</f>
        <v>47000</v>
      </c>
      <c r="H71" s="334">
        <f t="shared" si="106"/>
        <v>19958</v>
      </c>
      <c r="I71" s="337">
        <f t="shared" si="103"/>
        <v>0.42463829787234042</v>
      </c>
      <c r="J71" s="327"/>
      <c r="K71" s="375">
        <v>81006</v>
      </c>
      <c r="L71" s="587">
        <v>78902</v>
      </c>
      <c r="M71" s="376">
        <f t="shared" si="104"/>
        <v>0.97402661531244594</v>
      </c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</row>
    <row r="72" spans="1:24" ht="15.75" customHeight="1">
      <c r="A72" s="949"/>
      <c r="B72" s="377" t="s">
        <v>32</v>
      </c>
      <c r="C72" s="378">
        <v>0</v>
      </c>
      <c r="D72" s="373">
        <v>0</v>
      </c>
      <c r="E72" s="337">
        <v>0</v>
      </c>
      <c r="F72" s="327"/>
      <c r="G72" s="338">
        <f t="shared" ref="G72:H72" si="107">K72-C72</f>
        <v>125000</v>
      </c>
      <c r="H72" s="334">
        <f t="shared" si="107"/>
        <v>29747</v>
      </c>
      <c r="I72" s="337">
        <f t="shared" si="103"/>
        <v>0.23797599999999999</v>
      </c>
      <c r="J72" s="327"/>
      <c r="K72" s="496">
        <v>125000</v>
      </c>
      <c r="L72" s="587">
        <v>29747</v>
      </c>
      <c r="M72" s="376">
        <f t="shared" si="104"/>
        <v>0.23797599999999999</v>
      </c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</row>
    <row r="73" spans="1:24" ht="15.75" customHeight="1">
      <c r="A73" s="950"/>
      <c r="B73" s="357" t="s">
        <v>25</v>
      </c>
      <c r="C73" s="369">
        <f t="shared" ref="C73:D73" si="108">SUM(C69:C72)</f>
        <v>686507</v>
      </c>
      <c r="D73" s="358">
        <f t="shared" si="108"/>
        <v>666295</v>
      </c>
      <c r="E73" s="359">
        <f>D73/C73</f>
        <v>0.97055820261118964</v>
      </c>
      <c r="F73" s="343"/>
      <c r="G73" s="360">
        <f t="shared" ref="G73:H73" si="109">SUM(G69:G72)</f>
        <v>387079</v>
      </c>
      <c r="H73" s="357">
        <f t="shared" si="109"/>
        <v>198985</v>
      </c>
      <c r="I73" s="380">
        <f t="shared" si="103"/>
        <v>0.51406818763094875</v>
      </c>
      <c r="J73" s="327"/>
      <c r="K73" s="362">
        <f t="shared" ref="K73:L73" si="110">SUM(K69:K72)</f>
        <v>1073586</v>
      </c>
      <c r="L73" s="362">
        <f t="shared" si="110"/>
        <v>865280</v>
      </c>
      <c r="M73" s="363">
        <f t="shared" si="104"/>
        <v>0.80597176192685072</v>
      </c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</row>
    <row r="74" spans="1:24" ht="7.5" customHeight="1">
      <c r="A74" s="985"/>
      <c r="B74" s="928"/>
      <c r="C74" s="928"/>
      <c r="D74" s="928"/>
      <c r="E74" s="928"/>
      <c r="F74" s="312"/>
      <c r="G74" s="986"/>
      <c r="H74" s="928"/>
      <c r="I74" s="928"/>
      <c r="J74" s="312"/>
      <c r="K74" s="491"/>
      <c r="L74" s="348"/>
      <c r="M74" s="349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</row>
    <row r="75" spans="1:24" ht="15.75" customHeight="1">
      <c r="A75" s="987" t="s">
        <v>169</v>
      </c>
      <c r="B75" s="323" t="s">
        <v>21</v>
      </c>
      <c r="C75" s="364">
        <v>102</v>
      </c>
      <c r="D75" s="583">
        <v>6594</v>
      </c>
      <c r="E75" s="326">
        <f t="shared" ref="E75:E78" si="111">D75/C75</f>
        <v>64.647058823529406</v>
      </c>
      <c r="F75" s="327"/>
      <c r="G75" s="323">
        <f t="shared" ref="G75:H75" si="112">K75-C75</f>
        <v>71000</v>
      </c>
      <c r="H75" s="323">
        <f t="shared" si="112"/>
        <v>8906</v>
      </c>
      <c r="I75" s="381">
        <f t="shared" ref="I75:I78" si="113">H75/G75</f>
        <v>0.12543661971830986</v>
      </c>
      <c r="J75" s="327"/>
      <c r="K75" s="367">
        <v>71102</v>
      </c>
      <c r="L75" s="584">
        <v>15500</v>
      </c>
      <c r="M75" s="368">
        <f t="shared" ref="M75:M78" si="114">L75/K75</f>
        <v>0.21799668082473067</v>
      </c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</row>
    <row r="76" spans="1:24" ht="15.75" customHeight="1">
      <c r="A76" s="949"/>
      <c r="B76" s="334" t="s">
        <v>102</v>
      </c>
      <c r="C76" s="372">
        <v>87509</v>
      </c>
      <c r="D76" s="585">
        <v>59490</v>
      </c>
      <c r="E76" s="337">
        <f t="shared" si="111"/>
        <v>0.67981579037584705</v>
      </c>
      <c r="F76" s="327"/>
      <c r="G76" s="334">
        <f t="shared" ref="G76:H76" si="115">K76-C76</f>
        <v>108507</v>
      </c>
      <c r="H76" s="334">
        <f t="shared" si="115"/>
        <v>54903</v>
      </c>
      <c r="I76" s="383">
        <f t="shared" si="113"/>
        <v>0.50598578893527602</v>
      </c>
      <c r="J76" s="327"/>
      <c r="K76" s="375">
        <v>196016</v>
      </c>
      <c r="L76" s="587">
        <v>114393</v>
      </c>
      <c r="M76" s="376">
        <f t="shared" si="114"/>
        <v>0.58359011509264547</v>
      </c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</row>
    <row r="77" spans="1:24" ht="15.75" customHeight="1">
      <c r="A77" s="949"/>
      <c r="B77" s="334" t="s">
        <v>31</v>
      </c>
      <c r="C77" s="372">
        <v>1303</v>
      </c>
      <c r="D77" s="373">
        <v>0</v>
      </c>
      <c r="E77" s="337">
        <f t="shared" si="111"/>
        <v>0</v>
      </c>
      <c r="F77" s="327"/>
      <c r="G77" s="334">
        <f t="shared" ref="G77:H77" si="116">K77-C77</f>
        <v>41722</v>
      </c>
      <c r="H77" s="334">
        <f t="shared" si="116"/>
        <v>8232</v>
      </c>
      <c r="I77" s="383">
        <f t="shared" si="113"/>
        <v>0.1973059776616653</v>
      </c>
      <c r="J77" s="327"/>
      <c r="K77" s="375">
        <v>43025</v>
      </c>
      <c r="L77" s="587">
        <v>8232</v>
      </c>
      <c r="M77" s="376">
        <f t="shared" si="114"/>
        <v>0.19133062173155144</v>
      </c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</row>
    <row r="78" spans="1:24" ht="15.75" customHeight="1">
      <c r="A78" s="950"/>
      <c r="B78" s="357" t="s">
        <v>25</v>
      </c>
      <c r="C78" s="369">
        <f t="shared" ref="C78:D78" si="117">SUM(C75:C77)</f>
        <v>88914</v>
      </c>
      <c r="D78" s="358">
        <f t="shared" si="117"/>
        <v>66084</v>
      </c>
      <c r="E78" s="359">
        <f t="shared" si="111"/>
        <v>0.74323503610230113</v>
      </c>
      <c r="F78" s="343"/>
      <c r="G78" s="357">
        <f t="shared" ref="G78:H78" si="118">SUM(G75:G77)</f>
        <v>221229</v>
      </c>
      <c r="H78" s="357">
        <f t="shared" si="118"/>
        <v>72041</v>
      </c>
      <c r="I78" s="384">
        <f t="shared" si="113"/>
        <v>0.32563994774645277</v>
      </c>
      <c r="J78" s="327"/>
      <c r="K78" s="362">
        <f t="shared" ref="K78:L78" si="119">SUM(K75:K77)</f>
        <v>310143</v>
      </c>
      <c r="L78" s="362">
        <f t="shared" si="119"/>
        <v>138125</v>
      </c>
      <c r="M78" s="363">
        <f t="shared" si="114"/>
        <v>0.44535907629706295</v>
      </c>
      <c r="N78" s="305"/>
      <c r="O78" s="305"/>
      <c r="P78" s="305"/>
      <c r="Q78" s="305"/>
      <c r="R78" s="305"/>
      <c r="S78" s="305"/>
      <c r="T78" s="305"/>
      <c r="U78" s="305"/>
      <c r="V78" s="305"/>
      <c r="W78" s="305"/>
      <c r="X78" s="305"/>
    </row>
    <row r="79" spans="1:24" ht="6" customHeight="1">
      <c r="A79" s="1010"/>
      <c r="B79" s="936"/>
      <c r="C79" s="936"/>
      <c r="D79" s="936"/>
      <c r="E79" s="936"/>
      <c r="F79" s="312"/>
      <c r="G79" s="986"/>
      <c r="H79" s="928"/>
      <c r="I79" s="928"/>
      <c r="J79" s="312"/>
      <c r="K79" s="491"/>
      <c r="L79" s="348"/>
      <c r="M79" s="349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</row>
    <row r="80" spans="1:24" ht="15.75" customHeight="1">
      <c r="A80" s="987" t="s">
        <v>170</v>
      </c>
      <c r="B80" s="328" t="s">
        <v>21</v>
      </c>
      <c r="C80" s="364">
        <v>0</v>
      </c>
      <c r="D80" s="365">
        <v>0</v>
      </c>
      <c r="E80" s="326">
        <v>0</v>
      </c>
      <c r="F80" s="327"/>
      <c r="G80" s="338">
        <f t="shared" ref="G80:H80" si="120">K80-C80</f>
        <v>482000</v>
      </c>
      <c r="H80" s="338">
        <f t="shared" si="120"/>
        <v>105466</v>
      </c>
      <c r="I80" s="337">
        <f t="shared" ref="I80:I84" si="121">H80/G80</f>
        <v>0.2188091286307054</v>
      </c>
      <c r="J80" s="327"/>
      <c r="K80" s="367">
        <v>482000</v>
      </c>
      <c r="L80" s="584">
        <v>105466</v>
      </c>
      <c r="M80" s="368">
        <f t="shared" ref="M80:M84" si="122">L80/K80</f>
        <v>0.2188091286307054</v>
      </c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05"/>
    </row>
    <row r="81" spans="1:24" ht="15.75" customHeight="1">
      <c r="A81" s="949"/>
      <c r="B81" s="338" t="s">
        <v>28</v>
      </c>
      <c r="C81" s="372">
        <v>0</v>
      </c>
      <c r="D81" s="373">
        <v>0</v>
      </c>
      <c r="E81" s="337">
        <v>0</v>
      </c>
      <c r="F81" s="327"/>
      <c r="G81" s="338">
        <f t="shared" ref="G81:H81" si="123">K81-C81</f>
        <v>141003</v>
      </c>
      <c r="H81" s="338">
        <f t="shared" si="123"/>
        <v>11525</v>
      </c>
      <c r="I81" s="337">
        <f t="shared" si="121"/>
        <v>8.173584959185265E-2</v>
      </c>
      <c r="J81" s="327"/>
      <c r="K81" s="375">
        <v>141003</v>
      </c>
      <c r="L81" s="587">
        <v>11525</v>
      </c>
      <c r="M81" s="376">
        <f t="shared" si="122"/>
        <v>8.173584959185265E-2</v>
      </c>
      <c r="N81" s="305"/>
      <c r="O81" s="305"/>
      <c r="P81" s="305"/>
      <c r="Q81" s="305"/>
      <c r="R81" s="305"/>
      <c r="S81" s="305"/>
      <c r="T81" s="305"/>
      <c r="U81" s="305"/>
      <c r="V81" s="305"/>
      <c r="W81" s="305"/>
      <c r="X81" s="305"/>
    </row>
    <row r="82" spans="1:24" ht="15.75" customHeight="1">
      <c r="A82" s="949"/>
      <c r="B82" s="338" t="s">
        <v>31</v>
      </c>
      <c r="C82" s="372">
        <v>165102</v>
      </c>
      <c r="D82" s="585">
        <v>87248</v>
      </c>
      <c r="E82" s="337">
        <f t="shared" ref="E82:E84" si="124">D82/C82</f>
        <v>0.52844907996268975</v>
      </c>
      <c r="F82" s="327"/>
      <c r="G82" s="338">
        <f t="shared" ref="G82:H82" si="125">K82-C82</f>
        <v>270414</v>
      </c>
      <c r="H82" s="338">
        <f t="shared" si="125"/>
        <v>121884</v>
      </c>
      <c r="I82" s="337">
        <f t="shared" si="121"/>
        <v>0.45073110120038162</v>
      </c>
      <c r="J82" s="327"/>
      <c r="K82" s="375">
        <v>435516</v>
      </c>
      <c r="L82" s="587">
        <v>209132</v>
      </c>
      <c r="M82" s="376">
        <f t="shared" si="122"/>
        <v>0.48019360941963096</v>
      </c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</row>
    <row r="83" spans="1:24" ht="15.75" customHeight="1">
      <c r="A83" s="949"/>
      <c r="B83" s="621" t="s">
        <v>32</v>
      </c>
      <c r="C83" s="378">
        <v>1</v>
      </c>
      <c r="D83" s="373">
        <v>0</v>
      </c>
      <c r="E83" s="337">
        <f t="shared" si="124"/>
        <v>0</v>
      </c>
      <c r="F83" s="327"/>
      <c r="G83" s="338">
        <f t="shared" ref="G83:H83" si="126">K83-C83</f>
        <v>707810</v>
      </c>
      <c r="H83" s="338">
        <f t="shared" si="126"/>
        <v>382744</v>
      </c>
      <c r="I83" s="337">
        <f t="shared" si="121"/>
        <v>0.54074398496771736</v>
      </c>
      <c r="J83" s="327"/>
      <c r="K83" s="496">
        <v>707811</v>
      </c>
      <c r="L83" s="587">
        <v>382744</v>
      </c>
      <c r="M83" s="376">
        <f t="shared" si="122"/>
        <v>0.5407432210010864</v>
      </c>
      <c r="N83" s="305"/>
      <c r="O83" s="305"/>
      <c r="P83" s="305"/>
      <c r="Q83" s="305"/>
      <c r="R83" s="305"/>
      <c r="S83" s="305"/>
      <c r="T83" s="305"/>
      <c r="U83" s="305"/>
      <c r="V83" s="305"/>
      <c r="W83" s="305"/>
      <c r="X83" s="305"/>
    </row>
    <row r="84" spans="1:24" ht="15.75" customHeight="1">
      <c r="A84" s="950"/>
      <c r="B84" s="360" t="s">
        <v>25</v>
      </c>
      <c r="C84" s="369">
        <f t="shared" ref="C84:D84" si="127">SUM(C80:C83)</f>
        <v>165103</v>
      </c>
      <c r="D84" s="358">
        <f t="shared" si="127"/>
        <v>87248</v>
      </c>
      <c r="E84" s="359">
        <f t="shared" si="124"/>
        <v>0.52844587923902053</v>
      </c>
      <c r="F84" s="343"/>
      <c r="G84" s="370">
        <f t="shared" ref="G84:H84" si="128">SUM(G80:G83)</f>
        <v>1601227</v>
      </c>
      <c r="H84" s="398">
        <f t="shared" si="128"/>
        <v>621619</v>
      </c>
      <c r="I84" s="380">
        <f t="shared" si="121"/>
        <v>0.38821416326354724</v>
      </c>
      <c r="J84" s="327"/>
      <c r="K84" s="362">
        <f t="shared" ref="K84:L84" si="129">SUM(K80:K83)</f>
        <v>1766330</v>
      </c>
      <c r="L84" s="362">
        <f t="shared" si="129"/>
        <v>708867</v>
      </c>
      <c r="M84" s="363">
        <f t="shared" si="122"/>
        <v>0.40132195003198723</v>
      </c>
      <c r="N84" s="305"/>
      <c r="O84" s="305"/>
      <c r="P84" s="305"/>
      <c r="Q84" s="305"/>
      <c r="R84" s="305"/>
      <c r="S84" s="305"/>
      <c r="T84" s="305"/>
      <c r="U84" s="305"/>
      <c r="V84" s="305"/>
      <c r="W84" s="305"/>
      <c r="X84" s="305"/>
    </row>
    <row r="85" spans="1:24" ht="6" customHeight="1">
      <c r="A85" s="985"/>
      <c r="B85" s="928"/>
      <c r="C85" s="928"/>
      <c r="D85" s="928"/>
      <c r="E85" s="955"/>
      <c r="F85" s="312"/>
      <c r="G85" s="986"/>
      <c r="H85" s="928"/>
      <c r="I85" s="928"/>
      <c r="J85" s="312"/>
      <c r="K85" s="491"/>
      <c r="L85" s="348"/>
      <c r="M85" s="349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</row>
    <row r="86" spans="1:24" ht="15.75" customHeight="1">
      <c r="A86" s="987" t="s">
        <v>56</v>
      </c>
      <c r="B86" s="323" t="s">
        <v>21</v>
      </c>
      <c r="C86" s="364">
        <v>441</v>
      </c>
      <c r="D86" s="583">
        <v>549</v>
      </c>
      <c r="E86" s="326">
        <f t="shared" ref="E86:E88" si="130">D86/C86</f>
        <v>1.2448979591836735</v>
      </c>
      <c r="F86" s="327"/>
      <c r="G86" s="338">
        <f t="shared" ref="G86:H86" si="131">K86-C86</f>
        <v>31100</v>
      </c>
      <c r="H86" s="338">
        <f t="shared" si="131"/>
        <v>1234</v>
      </c>
      <c r="I86" s="337">
        <f t="shared" ref="I86:I90" si="132">H86/G86</f>
        <v>3.967845659163987E-2</v>
      </c>
      <c r="J86" s="327"/>
      <c r="K86" s="367">
        <v>31541</v>
      </c>
      <c r="L86" s="584">
        <v>1783</v>
      </c>
      <c r="M86" s="368">
        <f t="shared" ref="M86:M90" si="133">L86/K86</f>
        <v>5.6529596398338669E-2</v>
      </c>
      <c r="N86" s="305"/>
      <c r="O86" s="305"/>
      <c r="P86" s="305"/>
      <c r="Q86" s="305"/>
      <c r="R86" s="305"/>
      <c r="S86" s="305"/>
      <c r="T86" s="305"/>
      <c r="U86" s="305"/>
      <c r="V86" s="305"/>
      <c r="W86" s="305"/>
      <c r="X86" s="305"/>
    </row>
    <row r="87" spans="1:24" ht="15.75" customHeight="1">
      <c r="A87" s="949"/>
      <c r="B87" s="334" t="s">
        <v>28</v>
      </c>
      <c r="C87" s="372">
        <v>1</v>
      </c>
      <c r="D87" s="373">
        <v>0</v>
      </c>
      <c r="E87" s="337">
        <f t="shared" si="130"/>
        <v>0</v>
      </c>
      <c r="F87" s="327"/>
      <c r="G87" s="338">
        <f t="shared" ref="G87:H87" si="134">K87-C87</f>
        <v>9730</v>
      </c>
      <c r="H87" s="338">
        <f t="shared" si="134"/>
        <v>4890</v>
      </c>
      <c r="I87" s="337">
        <f t="shared" si="132"/>
        <v>0.50256937307297023</v>
      </c>
      <c r="J87" s="327"/>
      <c r="K87" s="375">
        <v>9731</v>
      </c>
      <c r="L87" s="375">
        <v>4890</v>
      </c>
      <c r="M87" s="376">
        <f t="shared" si="133"/>
        <v>0.50251772685232765</v>
      </c>
      <c r="N87" s="305"/>
      <c r="O87" s="305"/>
      <c r="P87" s="305"/>
      <c r="Q87" s="305"/>
      <c r="R87" s="305"/>
      <c r="S87" s="305"/>
      <c r="T87" s="305"/>
      <c r="U87" s="305"/>
      <c r="V87" s="305"/>
      <c r="W87" s="305"/>
      <c r="X87" s="305"/>
    </row>
    <row r="88" spans="1:24" ht="15.75" customHeight="1">
      <c r="A88" s="949"/>
      <c r="B88" s="334" t="s">
        <v>103</v>
      </c>
      <c r="C88" s="372">
        <v>1544</v>
      </c>
      <c r="D88" s="373">
        <v>0</v>
      </c>
      <c r="E88" s="337">
        <f t="shared" si="130"/>
        <v>0</v>
      </c>
      <c r="F88" s="327"/>
      <c r="G88" s="338">
        <f t="shared" ref="G88:H88" si="135">K88-C88</f>
        <v>23059</v>
      </c>
      <c r="H88" s="338">
        <f t="shared" si="135"/>
        <v>83598</v>
      </c>
      <c r="I88" s="337">
        <f t="shared" si="132"/>
        <v>3.625395724012316</v>
      </c>
      <c r="J88" s="327"/>
      <c r="K88" s="375">
        <v>24603</v>
      </c>
      <c r="L88" s="587">
        <v>83598</v>
      </c>
      <c r="M88" s="376">
        <f t="shared" si="133"/>
        <v>3.3978783075234729</v>
      </c>
      <c r="N88" s="305"/>
      <c r="O88" s="305"/>
      <c r="P88" s="305"/>
      <c r="Q88" s="305"/>
      <c r="R88" s="305"/>
      <c r="S88" s="305"/>
      <c r="T88" s="305"/>
      <c r="U88" s="305"/>
      <c r="V88" s="305"/>
      <c r="W88" s="305"/>
      <c r="X88" s="305"/>
    </row>
    <row r="89" spans="1:24" ht="15.75" customHeight="1">
      <c r="A89" s="949"/>
      <c r="B89" s="377" t="s">
        <v>32</v>
      </c>
      <c r="C89" s="378">
        <v>0</v>
      </c>
      <c r="D89" s="373">
        <v>0</v>
      </c>
      <c r="E89" s="337">
        <v>0</v>
      </c>
      <c r="F89" s="327"/>
      <c r="G89" s="338">
        <f t="shared" ref="G89:H89" si="136">K89-C89</f>
        <v>334764</v>
      </c>
      <c r="H89" s="338">
        <f t="shared" si="136"/>
        <v>163361</v>
      </c>
      <c r="I89" s="337">
        <f t="shared" si="132"/>
        <v>0.4879885531299662</v>
      </c>
      <c r="J89" s="327"/>
      <c r="K89" s="496">
        <v>334764</v>
      </c>
      <c r="L89" s="587">
        <v>163361</v>
      </c>
      <c r="M89" s="376">
        <f t="shared" si="133"/>
        <v>0.4879885531299662</v>
      </c>
      <c r="N89" s="305"/>
      <c r="O89" s="305"/>
      <c r="P89" s="305"/>
      <c r="Q89" s="305"/>
      <c r="R89" s="305"/>
      <c r="S89" s="305"/>
      <c r="T89" s="305"/>
      <c r="U89" s="305"/>
      <c r="V89" s="305"/>
      <c r="W89" s="305"/>
      <c r="X89" s="305"/>
    </row>
    <row r="90" spans="1:24" ht="15.75" customHeight="1">
      <c r="A90" s="950"/>
      <c r="B90" s="357" t="s">
        <v>25</v>
      </c>
      <c r="C90" s="369">
        <f t="shared" ref="C90:D90" si="137">SUM(C86:C89)</f>
        <v>1986</v>
      </c>
      <c r="D90" s="358">
        <f t="shared" si="137"/>
        <v>549</v>
      </c>
      <c r="E90" s="359">
        <f>D90/C90</f>
        <v>0.27643504531722052</v>
      </c>
      <c r="F90" s="343"/>
      <c r="G90" s="370">
        <f t="shared" ref="G90:H90" si="138">SUM(G86:G89)</f>
        <v>398653</v>
      </c>
      <c r="H90" s="398">
        <f t="shared" si="138"/>
        <v>253083</v>
      </c>
      <c r="I90" s="380">
        <f t="shared" si="132"/>
        <v>0.63484534168813478</v>
      </c>
      <c r="J90" s="327"/>
      <c r="K90" s="362">
        <f t="shared" ref="K90:L90" si="139">SUM(K86:K89)</f>
        <v>400639</v>
      </c>
      <c r="L90" s="362">
        <f t="shared" si="139"/>
        <v>253632</v>
      </c>
      <c r="M90" s="363">
        <f t="shared" si="133"/>
        <v>0.63306867279520962</v>
      </c>
      <c r="N90" s="305"/>
      <c r="O90" s="305"/>
      <c r="P90" s="305"/>
      <c r="Q90" s="305"/>
      <c r="R90" s="305"/>
      <c r="S90" s="305"/>
      <c r="T90" s="305"/>
      <c r="U90" s="305"/>
      <c r="V90" s="305"/>
      <c r="W90" s="305"/>
      <c r="X90" s="305"/>
    </row>
    <row r="91" spans="1:24" ht="7.5" customHeight="1">
      <c r="A91" s="985"/>
      <c r="B91" s="928"/>
      <c r="C91" s="928"/>
      <c r="D91" s="928"/>
      <c r="E91" s="928"/>
      <c r="F91" s="312"/>
      <c r="G91" s="986"/>
      <c r="H91" s="928"/>
      <c r="I91" s="928"/>
      <c r="J91" s="312"/>
      <c r="K91" s="491"/>
      <c r="L91" s="348"/>
      <c r="M91" s="349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</row>
    <row r="92" spans="1:24" ht="15.75" customHeight="1">
      <c r="A92" s="987" t="s">
        <v>171</v>
      </c>
      <c r="B92" s="323" t="s">
        <v>21</v>
      </c>
      <c r="C92" s="364">
        <v>0</v>
      </c>
      <c r="D92" s="365">
        <v>0</v>
      </c>
      <c r="E92" s="592">
        <v>0</v>
      </c>
      <c r="F92" s="327"/>
      <c r="G92" s="338">
        <f t="shared" ref="G92:H92" si="140">K92-C92</f>
        <v>5000</v>
      </c>
      <c r="H92" s="338">
        <f t="shared" si="140"/>
        <v>0</v>
      </c>
      <c r="I92" s="337">
        <f t="shared" ref="I92:I97" si="141">H92/G92</f>
        <v>0</v>
      </c>
      <c r="J92" s="327"/>
      <c r="K92" s="367">
        <v>5000</v>
      </c>
      <c r="L92" s="367">
        <v>0</v>
      </c>
      <c r="M92" s="368">
        <f t="shared" ref="M92:M98" si="142">L92/K92</f>
        <v>0</v>
      </c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</row>
    <row r="93" spans="1:24" ht="15.75" customHeight="1">
      <c r="A93" s="949"/>
      <c r="B93" s="399" t="s">
        <v>31</v>
      </c>
      <c r="C93" s="400">
        <v>1</v>
      </c>
      <c r="D93" s="401">
        <v>0</v>
      </c>
      <c r="E93" s="383">
        <f>D93/C93</f>
        <v>0</v>
      </c>
      <c r="F93" s="327"/>
      <c r="G93" s="338">
        <f t="shared" ref="G93:H93" si="143">K93-C93</f>
        <v>7001</v>
      </c>
      <c r="H93" s="338">
        <f t="shared" si="143"/>
        <v>877</v>
      </c>
      <c r="I93" s="337">
        <f t="shared" si="141"/>
        <v>0.12526781888301672</v>
      </c>
      <c r="J93" s="327"/>
      <c r="K93" s="403">
        <v>7002</v>
      </c>
      <c r="L93" s="622">
        <v>877</v>
      </c>
      <c r="M93" s="376">
        <f t="shared" si="142"/>
        <v>0.1252499285918309</v>
      </c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</row>
    <row r="94" spans="1:24" ht="15.75" customHeight="1">
      <c r="A94" s="949"/>
      <c r="B94" s="334" t="s">
        <v>32</v>
      </c>
      <c r="C94" s="372">
        <v>0</v>
      </c>
      <c r="D94" s="373">
        <v>0</v>
      </c>
      <c r="E94" s="383">
        <v>0</v>
      </c>
      <c r="F94" s="327"/>
      <c r="G94" s="338">
        <f t="shared" ref="G94:H94" si="144">K94-C94</f>
        <v>19000</v>
      </c>
      <c r="H94" s="338">
        <f t="shared" si="144"/>
        <v>361</v>
      </c>
      <c r="I94" s="337">
        <f t="shared" si="141"/>
        <v>1.9E-2</v>
      </c>
      <c r="J94" s="327"/>
      <c r="K94" s="375">
        <v>19000</v>
      </c>
      <c r="L94" s="375">
        <v>361</v>
      </c>
      <c r="M94" s="376">
        <f t="shared" si="142"/>
        <v>1.9E-2</v>
      </c>
      <c r="N94" s="305"/>
      <c r="O94" s="305"/>
      <c r="P94" s="305"/>
      <c r="Q94" s="305"/>
      <c r="R94" s="305"/>
      <c r="S94" s="305"/>
      <c r="T94" s="305"/>
      <c r="U94" s="305"/>
      <c r="V94" s="305"/>
      <c r="W94" s="305"/>
      <c r="X94" s="305"/>
    </row>
    <row r="95" spans="1:24" ht="15.75" customHeight="1">
      <c r="A95" s="1000"/>
      <c r="B95" s="183" t="s">
        <v>25</v>
      </c>
      <c r="C95" s="341">
        <f t="shared" ref="C95:D95" si="145">SUM(C92:C94)</f>
        <v>1</v>
      </c>
      <c r="D95" s="341">
        <f t="shared" si="145"/>
        <v>0</v>
      </c>
      <c r="E95" s="384">
        <f t="shared" ref="E95:E98" si="146">D95/C95</f>
        <v>0</v>
      </c>
      <c r="F95" s="343"/>
      <c r="G95" s="184">
        <f t="shared" ref="G95:H95" si="147">SUM(G92:G94)</f>
        <v>31001</v>
      </c>
      <c r="H95" s="404">
        <f t="shared" si="147"/>
        <v>1238</v>
      </c>
      <c r="I95" s="342">
        <f t="shared" si="141"/>
        <v>3.9934195671107384E-2</v>
      </c>
      <c r="J95" s="327"/>
      <c r="K95" s="406">
        <f t="shared" ref="K95:L95" si="148">SUM(K92:K94)</f>
        <v>31002</v>
      </c>
      <c r="L95" s="406">
        <f t="shared" si="148"/>
        <v>1238</v>
      </c>
      <c r="M95" s="407">
        <f t="shared" si="142"/>
        <v>3.9932907554351332E-2</v>
      </c>
      <c r="N95" s="305"/>
      <c r="O95" s="305"/>
      <c r="P95" s="305"/>
      <c r="Q95" s="305"/>
      <c r="R95" s="305"/>
      <c r="S95" s="305"/>
      <c r="T95" s="305"/>
      <c r="U95" s="305"/>
      <c r="V95" s="305"/>
      <c r="W95" s="305"/>
      <c r="X95" s="305"/>
    </row>
    <row r="96" spans="1:24" ht="15.75" customHeight="1">
      <c r="A96" s="1009" t="s">
        <v>182</v>
      </c>
      <c r="B96" s="955"/>
      <c r="C96" s="501">
        <f t="shared" ref="C96:D96" si="149">C8+C11+C15+C21+C26+C32+C35+C39+C43+C46+C51+C55+C61+C67+C73+C78+C84+C90+C95</f>
        <v>18371086</v>
      </c>
      <c r="D96" s="501">
        <f t="shared" si="149"/>
        <v>11059309</v>
      </c>
      <c r="E96" s="502">
        <f t="shared" si="146"/>
        <v>0.60199538557491916</v>
      </c>
      <c r="F96" s="312"/>
      <c r="G96" s="501">
        <f t="shared" ref="G96:H96" si="150">G8+G11+G15+G21+G26+G32+G35+G39+G43+G46+G51+G55+G61+G67+G73+G78+G84+G90+G95</f>
        <v>22092278</v>
      </c>
      <c r="H96" s="501">
        <f t="shared" si="150"/>
        <v>14900329</v>
      </c>
      <c r="I96" s="503">
        <f t="shared" si="141"/>
        <v>0.67445869547721604</v>
      </c>
      <c r="J96" s="312"/>
      <c r="K96" s="501">
        <f t="shared" ref="K96:L96" si="151">K8+K11+K15+K21+K26+K32+K35+K39+K43+K46+K51+K55+K61+K67+K73+K78+K84+K90+K95</f>
        <v>40463364</v>
      </c>
      <c r="L96" s="501">
        <f t="shared" si="151"/>
        <v>25959638</v>
      </c>
      <c r="M96" s="503">
        <f t="shared" si="142"/>
        <v>0.64155906562786036</v>
      </c>
      <c r="N96" s="305"/>
      <c r="O96" s="305"/>
      <c r="P96" s="305"/>
      <c r="Q96" s="305"/>
      <c r="R96" s="305"/>
      <c r="S96" s="305"/>
      <c r="T96" s="305"/>
      <c r="U96" s="305"/>
      <c r="V96" s="305"/>
      <c r="W96" s="305"/>
      <c r="X96" s="305"/>
    </row>
    <row r="97" spans="1:24" ht="15.75" customHeight="1">
      <c r="A97" s="994" t="s">
        <v>183</v>
      </c>
      <c r="B97" s="504" t="s">
        <v>21</v>
      </c>
      <c r="C97" s="505">
        <f>C5+C10+C13+C17+C23+C28+C34+C48+C53+C57+C63+C69+C75+C80+C86+C92</f>
        <v>9069662</v>
      </c>
      <c r="D97" s="505">
        <f>D5+D10+D13+D17+D23+D28+D34+D48+D53+D57+D63+D75+D80+D86+D92</f>
        <v>2327483</v>
      </c>
      <c r="E97" s="506">
        <f t="shared" si="146"/>
        <v>0.25662290391858045</v>
      </c>
      <c r="F97" s="507"/>
      <c r="G97" s="505">
        <f t="shared" ref="G97:H97" si="152">G5+G10+G13+G17+G23+G28+G34+G48+G53+G57+G63+G69+G75+G80+G86+G92</f>
        <v>7616487</v>
      </c>
      <c r="H97" s="505">
        <f t="shared" si="152"/>
        <v>6628618</v>
      </c>
      <c r="I97" s="508">
        <f t="shared" si="141"/>
        <v>0.87029860354255184</v>
      </c>
      <c r="J97" s="239"/>
      <c r="K97" s="505">
        <f t="shared" ref="K97:L97" si="153">K5+K10+K13+K17+K23+K28+K34+K48+K53+K57+K63+K69+K75+K80+K86+K92</f>
        <v>16686149</v>
      </c>
      <c r="L97" s="505">
        <f t="shared" si="153"/>
        <v>9546101</v>
      </c>
      <c r="M97" s="506">
        <f t="shared" si="142"/>
        <v>0.57209731256744745</v>
      </c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</row>
    <row r="98" spans="1:24" ht="15.75" customHeight="1">
      <c r="A98" s="949"/>
      <c r="B98" s="178" t="s">
        <v>158</v>
      </c>
      <c r="C98" s="415">
        <f>C14</f>
        <v>6479400</v>
      </c>
      <c r="D98" s="415">
        <f>D14+D69</f>
        <v>7069400</v>
      </c>
      <c r="E98" s="416">
        <f t="shared" si="146"/>
        <v>1.091057813995123</v>
      </c>
      <c r="F98" s="417"/>
      <c r="G98" s="415">
        <f t="shared" ref="G98:H98" si="154">G14</f>
        <v>0</v>
      </c>
      <c r="H98" s="415">
        <f t="shared" si="154"/>
        <v>0</v>
      </c>
      <c r="I98" s="593">
        <v>0</v>
      </c>
      <c r="J98" s="419"/>
      <c r="K98" s="415">
        <f t="shared" ref="K98:L98" si="155">K14</f>
        <v>6479400</v>
      </c>
      <c r="L98" s="415">
        <f t="shared" si="155"/>
        <v>6479400</v>
      </c>
      <c r="M98" s="416">
        <f t="shared" si="142"/>
        <v>1</v>
      </c>
      <c r="N98" s="305"/>
      <c r="O98" s="305"/>
      <c r="P98" s="305"/>
      <c r="Q98" s="305"/>
      <c r="R98" s="305"/>
      <c r="S98" s="305"/>
      <c r="T98" s="305"/>
      <c r="U98" s="305"/>
      <c r="V98" s="305"/>
      <c r="W98" s="305"/>
      <c r="X98" s="305"/>
    </row>
    <row r="99" spans="1:24" ht="15.75" customHeight="1">
      <c r="A99" s="949"/>
      <c r="B99" s="178" t="s">
        <v>22</v>
      </c>
      <c r="C99" s="415">
        <f t="shared" ref="C99:D99" si="156">C6</f>
        <v>10000</v>
      </c>
      <c r="D99" s="415">
        <f t="shared" si="156"/>
        <v>0</v>
      </c>
      <c r="E99" s="416">
        <v>0</v>
      </c>
      <c r="F99" s="417"/>
      <c r="G99" s="415">
        <f t="shared" ref="G99:H99" si="157">G6</f>
        <v>0</v>
      </c>
      <c r="H99" s="415">
        <f t="shared" si="157"/>
        <v>0</v>
      </c>
      <c r="I99" s="593">
        <v>0</v>
      </c>
      <c r="J99" s="419"/>
      <c r="K99" s="415">
        <f t="shared" ref="K99:L99" si="158">K6</f>
        <v>10000</v>
      </c>
      <c r="L99" s="415">
        <f t="shared" si="158"/>
        <v>0</v>
      </c>
      <c r="M99" s="416">
        <v>0</v>
      </c>
      <c r="N99" s="305"/>
      <c r="O99" s="305"/>
      <c r="P99" s="305"/>
      <c r="Q99" s="305"/>
      <c r="R99" s="305"/>
      <c r="S99" s="305"/>
      <c r="T99" s="305"/>
      <c r="U99" s="305"/>
      <c r="V99" s="305"/>
      <c r="W99" s="305"/>
      <c r="X99" s="305"/>
    </row>
    <row r="100" spans="1:24" ht="15.75" customHeight="1">
      <c r="A100" s="949"/>
      <c r="B100" s="178" t="s">
        <v>28</v>
      </c>
      <c r="C100" s="415">
        <f t="shared" ref="C100:D100" si="159">C18+C24+C29+C49+C58+C64+C70+C76+C81+C87</f>
        <v>145011</v>
      </c>
      <c r="D100" s="415">
        <f t="shared" si="159"/>
        <v>76841</v>
      </c>
      <c r="E100" s="416">
        <f t="shared" ref="E100:E104" si="160">D100/C100</f>
        <v>0.52989773189620093</v>
      </c>
      <c r="F100" s="417"/>
      <c r="G100" s="415">
        <f t="shared" ref="G100:H100" si="161">G18+G24+G29+G49+G58+G64+G70+G76+G81+G87</f>
        <v>375953</v>
      </c>
      <c r="H100" s="415">
        <f t="shared" si="161"/>
        <v>281043</v>
      </c>
      <c r="I100" s="418">
        <f t="shared" ref="I100:I104" si="162">H100/G100</f>
        <v>0.7475482307628879</v>
      </c>
      <c r="J100" s="419"/>
      <c r="K100" s="415">
        <f t="shared" ref="K100:L100" si="163">K18+K24+K29+K49+K58+K64+K70+K76+K81+K87</f>
        <v>520964</v>
      </c>
      <c r="L100" s="415">
        <f t="shared" si="163"/>
        <v>357884</v>
      </c>
      <c r="M100" s="416">
        <f t="shared" ref="M100:M104" si="164">L100/K100</f>
        <v>0.68696493423729854</v>
      </c>
      <c r="N100" s="305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</row>
    <row r="101" spans="1:24" ht="15.75" customHeight="1">
      <c r="A101" s="949"/>
      <c r="B101" s="178" t="s">
        <v>31</v>
      </c>
      <c r="C101" s="415">
        <f t="shared" ref="C101:D101" si="165">C19+C25+C30+C59+C65+C71+C77+C82+C88+C93</f>
        <v>385982</v>
      </c>
      <c r="D101" s="415">
        <f t="shared" si="165"/>
        <v>338529</v>
      </c>
      <c r="E101" s="416">
        <f t="shared" si="160"/>
        <v>0.87705903384095629</v>
      </c>
      <c r="F101" s="417"/>
      <c r="G101" s="415">
        <f t="shared" ref="G101:H101" si="166">G19+G25+G30+G59+G65+G71+G77+G82+G88+G93</f>
        <v>526089</v>
      </c>
      <c r="H101" s="415">
        <f t="shared" si="166"/>
        <v>329781</v>
      </c>
      <c r="I101" s="418">
        <f t="shared" si="162"/>
        <v>0.62685401139350949</v>
      </c>
      <c r="J101" s="419"/>
      <c r="K101" s="415">
        <f t="shared" ref="K101:L101" si="167">K19+K25+K30+K59+K65+K71+K77+K82+K88+K93</f>
        <v>912071</v>
      </c>
      <c r="L101" s="415">
        <f t="shared" si="167"/>
        <v>668310</v>
      </c>
      <c r="M101" s="416">
        <f t="shared" si="164"/>
        <v>0.73273900825703264</v>
      </c>
      <c r="N101" s="305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</row>
    <row r="102" spans="1:24" ht="15.75" customHeight="1">
      <c r="A102" s="949"/>
      <c r="B102" s="178" t="s">
        <v>40</v>
      </c>
      <c r="C102" s="415">
        <f t="shared" ref="C102:D102" si="168">C37+C41+C7</f>
        <v>1242781</v>
      </c>
      <c r="D102" s="415">
        <f t="shared" si="168"/>
        <v>464504</v>
      </c>
      <c r="E102" s="416">
        <f t="shared" si="160"/>
        <v>0.37376174885196989</v>
      </c>
      <c r="F102" s="417"/>
      <c r="G102" s="415">
        <f t="shared" ref="G102:H102" si="169">G37+G41+G7</f>
        <v>3614630</v>
      </c>
      <c r="H102" s="415">
        <f t="shared" si="169"/>
        <v>212154</v>
      </c>
      <c r="I102" s="418">
        <f t="shared" si="162"/>
        <v>5.8693144249895565E-2</v>
      </c>
      <c r="J102" s="419"/>
      <c r="K102" s="415">
        <f t="shared" ref="K102:L102" si="170">K37+K41+K7</f>
        <v>4857411</v>
      </c>
      <c r="L102" s="415">
        <f t="shared" si="170"/>
        <v>676658</v>
      </c>
      <c r="M102" s="416">
        <f t="shared" si="164"/>
        <v>0.13930425076239172</v>
      </c>
      <c r="N102" s="305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</row>
    <row r="103" spans="1:24" ht="15.75" customHeight="1">
      <c r="A103" s="949"/>
      <c r="B103" s="510" t="s">
        <v>32</v>
      </c>
      <c r="C103" s="511">
        <f t="shared" ref="C103:D103" si="171">C20+C31++C38+C42+C45+C50+C54+C60+C66+C72+C83+C89+C94</f>
        <v>1038250</v>
      </c>
      <c r="D103" s="511">
        <f t="shared" si="171"/>
        <v>782552</v>
      </c>
      <c r="E103" s="407">
        <f t="shared" si="160"/>
        <v>0.75372212858174814</v>
      </c>
      <c r="F103" s="441"/>
      <c r="G103" s="511">
        <f t="shared" ref="G103:H103" si="172">G20+G31++G38+G42+G45+G50+G54+G60+G66+G72+G83+G89+G94</f>
        <v>9959119</v>
      </c>
      <c r="H103" s="511">
        <f t="shared" si="172"/>
        <v>7448733</v>
      </c>
      <c r="I103" s="512">
        <f t="shared" si="162"/>
        <v>0.74793091637925002</v>
      </c>
      <c r="J103" s="513"/>
      <c r="K103" s="511">
        <f t="shared" ref="K103:L103" si="173">K20+K31++K38+K42+K45+K50+K54+K60+K66+K72+K83+K89+K94</f>
        <v>10997369</v>
      </c>
      <c r="L103" s="511">
        <f t="shared" si="173"/>
        <v>8231285</v>
      </c>
      <c r="M103" s="594">
        <f t="shared" si="164"/>
        <v>0.74847765861089144</v>
      </c>
      <c r="N103" s="305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</row>
    <row r="104" spans="1:24" ht="15.75" customHeight="1">
      <c r="A104" s="950"/>
      <c r="B104" s="595" t="s">
        <v>25</v>
      </c>
      <c r="C104" s="514">
        <f t="shared" ref="C104:D104" si="174">C97+C98+C99+C100+C101+C102+C103</f>
        <v>18371086</v>
      </c>
      <c r="D104" s="514">
        <f t="shared" si="174"/>
        <v>11059309</v>
      </c>
      <c r="E104" s="503">
        <f t="shared" si="160"/>
        <v>0.60199538557491916</v>
      </c>
      <c r="F104" s="446"/>
      <c r="G104" s="514">
        <f t="shared" ref="G104:H104" si="175">G97+G98+G99+G100+G101+G102+G103</f>
        <v>22092278</v>
      </c>
      <c r="H104" s="514">
        <f t="shared" si="175"/>
        <v>14900329</v>
      </c>
      <c r="I104" s="448">
        <f t="shared" si="162"/>
        <v>0.67445869547721604</v>
      </c>
      <c r="J104" s="515"/>
      <c r="K104" s="514">
        <f t="shared" ref="K104:L104" si="176">K97+K98+K99+K100+K101+K102+K103</f>
        <v>40463364</v>
      </c>
      <c r="L104" s="514">
        <f t="shared" si="176"/>
        <v>25959638</v>
      </c>
      <c r="M104" s="503">
        <f t="shared" si="164"/>
        <v>0.64155906562786036</v>
      </c>
      <c r="N104" s="305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</row>
    <row r="105" spans="1:24" ht="9" customHeight="1">
      <c r="A105" s="985"/>
      <c r="B105" s="928"/>
      <c r="C105" s="928"/>
      <c r="D105" s="928"/>
      <c r="E105" s="955"/>
      <c r="F105" s="516"/>
      <c r="G105" s="986"/>
      <c r="H105" s="928"/>
      <c r="I105" s="928"/>
      <c r="J105" s="312"/>
      <c r="K105" s="491"/>
      <c r="L105" s="596"/>
      <c r="M105" s="597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</row>
    <row r="106" spans="1:24" ht="15.75" customHeight="1">
      <c r="A106" s="1006">
        <v>1500</v>
      </c>
      <c r="B106" s="399" t="s">
        <v>29</v>
      </c>
      <c r="C106" s="399">
        <f>6920014+5000001-1800000</f>
        <v>10120015</v>
      </c>
      <c r="D106" s="598">
        <f>2250707+3200000</f>
        <v>5450707</v>
      </c>
      <c r="E106" s="453">
        <f t="shared" ref="E106:E107" si="177">D106/C106</f>
        <v>0.53860661273723409</v>
      </c>
      <c r="F106" s="427"/>
      <c r="G106" s="323">
        <f t="shared" ref="G106:H106" si="178">K106-C106</f>
        <v>100000</v>
      </c>
      <c r="H106" s="323">
        <f t="shared" si="178"/>
        <v>29770</v>
      </c>
      <c r="I106" s="599">
        <f t="shared" ref="I106:I114" si="179">H106/G106</f>
        <v>0.29770000000000002</v>
      </c>
      <c r="J106" s="427"/>
      <c r="K106" s="323">
        <f>12020015-1800000</f>
        <v>10220015</v>
      </c>
      <c r="L106" s="589">
        <v>5480477</v>
      </c>
      <c r="M106" s="381">
        <f t="shared" ref="M106:M114" si="180">L106/K106</f>
        <v>0.53624940863589732</v>
      </c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</row>
    <row r="107" spans="1:24" ht="15.75" customHeight="1">
      <c r="A107" s="1000"/>
      <c r="B107" s="178" t="s">
        <v>25</v>
      </c>
      <c r="C107" s="178">
        <f t="shared" ref="C107:D107" si="181">SUM(C106)</f>
        <v>10120015</v>
      </c>
      <c r="D107" s="431">
        <f t="shared" si="181"/>
        <v>5450707</v>
      </c>
      <c r="E107" s="457">
        <f t="shared" si="177"/>
        <v>0.53860661273723409</v>
      </c>
      <c r="F107" s="417"/>
      <c r="G107" s="178">
        <f t="shared" ref="G107:H107" si="182">SUM(G106)</f>
        <v>100000</v>
      </c>
      <c r="H107" s="178">
        <f t="shared" si="182"/>
        <v>29770</v>
      </c>
      <c r="I107" s="457">
        <f t="shared" si="179"/>
        <v>0.29770000000000002</v>
      </c>
      <c r="J107" s="417"/>
      <c r="K107" s="178">
        <f t="shared" ref="K107:L107" si="183">SUM(K106)</f>
        <v>10220015</v>
      </c>
      <c r="L107" s="431">
        <f t="shared" si="183"/>
        <v>5480477</v>
      </c>
      <c r="M107" s="418">
        <f t="shared" si="180"/>
        <v>0.53624940863589732</v>
      </c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</row>
    <row r="108" spans="1:24" ht="15.75" customHeight="1">
      <c r="A108" s="1002">
        <v>1600</v>
      </c>
      <c r="B108" s="334" t="s">
        <v>29</v>
      </c>
      <c r="C108" s="377">
        <v>0</v>
      </c>
      <c r="D108" s="590">
        <v>332</v>
      </c>
      <c r="E108" s="461">
        <v>0</v>
      </c>
      <c r="F108" s="436"/>
      <c r="G108" s="334">
        <f t="shared" ref="G108:H108" si="184">K108-C108</f>
        <v>13416785</v>
      </c>
      <c r="H108" s="334">
        <f t="shared" si="184"/>
        <v>1981428</v>
      </c>
      <c r="I108" s="461">
        <f t="shared" si="179"/>
        <v>0.14768277199045823</v>
      </c>
      <c r="J108" s="436"/>
      <c r="K108" s="377">
        <v>13416785</v>
      </c>
      <c r="L108" s="590">
        <v>1981760</v>
      </c>
      <c r="M108" s="383">
        <f t="shared" si="180"/>
        <v>0.14770751711382421</v>
      </c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</row>
    <row r="109" spans="1:24" ht="17.25" customHeight="1">
      <c r="A109" s="1000"/>
      <c r="B109" s="178" t="s">
        <v>25</v>
      </c>
      <c r="C109" s="178">
        <f t="shared" ref="C109:D109" si="185">SUM(C108)</f>
        <v>0</v>
      </c>
      <c r="D109" s="431">
        <f t="shared" si="185"/>
        <v>332</v>
      </c>
      <c r="E109" s="457">
        <v>0</v>
      </c>
      <c r="F109" s="417"/>
      <c r="G109" s="178">
        <f t="shared" ref="G109:H109" si="186">SUM(G108)</f>
        <v>13416785</v>
      </c>
      <c r="H109" s="178">
        <f t="shared" si="186"/>
        <v>1981428</v>
      </c>
      <c r="I109" s="457">
        <f t="shared" si="179"/>
        <v>0.14768277199045823</v>
      </c>
      <c r="J109" s="417"/>
      <c r="K109" s="178">
        <f t="shared" ref="K109:L109" si="187">SUM(K108)</f>
        <v>13416785</v>
      </c>
      <c r="L109" s="431">
        <f t="shared" si="187"/>
        <v>1981760</v>
      </c>
      <c r="M109" s="418">
        <f t="shared" si="180"/>
        <v>0.14770751711382421</v>
      </c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</row>
    <row r="110" spans="1:24" ht="16.5" customHeight="1">
      <c r="A110" s="999">
        <v>3300</v>
      </c>
      <c r="B110" s="334" t="s">
        <v>29</v>
      </c>
      <c r="C110" s="377">
        <v>0</v>
      </c>
      <c r="D110" s="396">
        <v>0</v>
      </c>
      <c r="E110" s="461">
        <v>0</v>
      </c>
      <c r="F110" s="436"/>
      <c r="G110" s="334">
        <f t="shared" ref="G110:H110" si="188">K110-C110</f>
        <v>1</v>
      </c>
      <c r="H110" s="334">
        <f t="shared" si="188"/>
        <v>0</v>
      </c>
      <c r="I110" s="461">
        <f t="shared" si="179"/>
        <v>0</v>
      </c>
      <c r="J110" s="436"/>
      <c r="K110" s="377">
        <v>1</v>
      </c>
      <c r="L110" s="396">
        <v>0</v>
      </c>
      <c r="M110" s="383">
        <f t="shared" si="180"/>
        <v>0</v>
      </c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</row>
    <row r="111" spans="1:24" ht="15" customHeight="1">
      <c r="A111" s="1000"/>
      <c r="B111" s="178" t="s">
        <v>25</v>
      </c>
      <c r="C111" s="178">
        <f t="shared" ref="C111:D111" si="189">SUM(C110)</f>
        <v>0</v>
      </c>
      <c r="D111" s="431">
        <f t="shared" si="189"/>
        <v>0</v>
      </c>
      <c r="E111" s="457">
        <v>0</v>
      </c>
      <c r="F111" s="417"/>
      <c r="G111" s="178">
        <f t="shared" ref="G111:H111" si="190">SUM(G110)</f>
        <v>1</v>
      </c>
      <c r="H111" s="178">
        <f t="shared" si="190"/>
        <v>0</v>
      </c>
      <c r="I111" s="461">
        <f t="shared" si="179"/>
        <v>0</v>
      </c>
      <c r="J111" s="417"/>
      <c r="K111" s="178">
        <f t="shared" ref="K111:L111" si="191">SUM(K110)</f>
        <v>1</v>
      </c>
      <c r="L111" s="431">
        <f t="shared" si="191"/>
        <v>0</v>
      </c>
      <c r="M111" s="383">
        <f t="shared" si="180"/>
        <v>0</v>
      </c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</row>
    <row r="112" spans="1:24" ht="15" customHeight="1">
      <c r="A112" s="999">
        <v>4200</v>
      </c>
      <c r="B112" s="334" t="s">
        <v>29</v>
      </c>
      <c r="C112" s="600">
        <v>0</v>
      </c>
      <c r="D112" s="590">
        <v>0</v>
      </c>
      <c r="E112" s="461">
        <v>0</v>
      </c>
      <c r="F112" s="436"/>
      <c r="G112" s="334">
        <f t="shared" ref="G112:H112" si="192">K112-C112</f>
        <v>10000</v>
      </c>
      <c r="H112" s="334">
        <f t="shared" si="192"/>
        <v>647</v>
      </c>
      <c r="I112" s="461">
        <f t="shared" si="179"/>
        <v>6.4699999999999994E-2</v>
      </c>
      <c r="J112" s="436"/>
      <c r="K112" s="377">
        <v>10000</v>
      </c>
      <c r="L112" s="396">
        <v>647</v>
      </c>
      <c r="M112" s="383">
        <f t="shared" si="180"/>
        <v>6.4699999999999994E-2</v>
      </c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</row>
    <row r="113" spans="1:24" ht="16.5" customHeight="1">
      <c r="A113" s="1000"/>
      <c r="B113" s="357" t="s">
        <v>25</v>
      </c>
      <c r="C113" s="357">
        <f t="shared" ref="C113:D113" si="193">SUM(C112)</f>
        <v>0</v>
      </c>
      <c r="D113" s="398">
        <f t="shared" si="193"/>
        <v>0</v>
      </c>
      <c r="E113" s="464">
        <v>0</v>
      </c>
      <c r="F113" s="441"/>
      <c r="G113" s="357">
        <f t="shared" ref="G113:H113" si="194">SUM(G112)</f>
        <v>10000</v>
      </c>
      <c r="H113" s="357">
        <f t="shared" si="194"/>
        <v>647</v>
      </c>
      <c r="I113" s="601">
        <f t="shared" si="179"/>
        <v>6.4699999999999994E-2</v>
      </c>
      <c r="J113" s="417"/>
      <c r="K113" s="357">
        <f t="shared" ref="K113:L113" si="195">SUM(K112)</f>
        <v>10000</v>
      </c>
      <c r="L113" s="398">
        <f t="shared" si="195"/>
        <v>647</v>
      </c>
      <c r="M113" s="512">
        <f t="shared" si="180"/>
        <v>6.4699999999999994E-2</v>
      </c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</row>
    <row r="114" spans="1:24" ht="17.25" customHeight="1">
      <c r="A114" s="442"/>
      <c r="B114" s="523" t="s">
        <v>120</v>
      </c>
      <c r="C114" s="198">
        <f t="shared" ref="C114:D114" si="196">C107+C109+C111+C113</f>
        <v>10120015</v>
      </c>
      <c r="D114" s="198">
        <f t="shared" si="196"/>
        <v>5451039</v>
      </c>
      <c r="E114" s="237">
        <f>D114/C114</f>
        <v>0.53863941901271883</v>
      </c>
      <c r="F114" s="446"/>
      <c r="G114" s="198">
        <f t="shared" ref="G114:H114" si="197">G107+G109+G111+G113</f>
        <v>13526786</v>
      </c>
      <c r="H114" s="198">
        <f t="shared" si="197"/>
        <v>2011845</v>
      </c>
      <c r="I114" s="237">
        <f t="shared" si="179"/>
        <v>0.14873045230404325</v>
      </c>
      <c r="J114" s="421"/>
      <c r="K114" s="447">
        <f t="shared" ref="K114:L114" si="198">K107+K109+K111+K113</f>
        <v>23646801</v>
      </c>
      <c r="L114" s="563">
        <f t="shared" si="198"/>
        <v>7462884</v>
      </c>
      <c r="M114" s="448">
        <f t="shared" si="180"/>
        <v>0.31559803797562302</v>
      </c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</row>
    <row r="115" spans="1:24" ht="8.25" customHeight="1">
      <c r="A115" s="985"/>
      <c r="B115" s="928"/>
      <c r="C115" s="928"/>
      <c r="D115" s="928"/>
      <c r="E115" s="928"/>
      <c r="F115" s="312"/>
      <c r="G115" s="986"/>
      <c r="H115" s="928"/>
      <c r="I115" s="928"/>
      <c r="J115" s="312"/>
      <c r="K115" s="491"/>
      <c r="L115" s="348"/>
      <c r="M115" s="602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</row>
    <row r="116" spans="1:24" ht="13.5" customHeight="1">
      <c r="A116" s="310" t="s">
        <v>23</v>
      </c>
      <c r="B116" s="450" t="s">
        <v>7</v>
      </c>
      <c r="C116" s="168" t="s">
        <v>148</v>
      </c>
      <c r="D116" s="169" t="s">
        <v>149</v>
      </c>
      <c r="E116" s="450" t="s">
        <v>150</v>
      </c>
      <c r="F116" s="386"/>
      <c r="G116" s="305"/>
      <c r="H116" s="305"/>
      <c r="I116" s="305"/>
      <c r="J116" s="386"/>
      <c r="K116" s="494"/>
      <c r="L116" s="305"/>
      <c r="M116" s="524"/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</row>
    <row r="117" spans="1:24" ht="17.25" customHeight="1">
      <c r="A117" s="994">
        <v>3000</v>
      </c>
      <c r="B117" s="603" t="s">
        <v>23</v>
      </c>
      <c r="C117" s="323">
        <v>1093000</v>
      </c>
      <c r="D117" s="394">
        <v>0</v>
      </c>
      <c r="E117" s="453">
        <f t="shared" ref="E117:E121" si="199">D117/C117</f>
        <v>0</v>
      </c>
      <c r="F117" s="327"/>
      <c r="G117" s="305"/>
      <c r="H117" s="305"/>
      <c r="I117" s="246"/>
      <c r="J117" s="201"/>
      <c r="K117" s="525" t="s">
        <v>151</v>
      </c>
      <c r="L117" s="455" t="s">
        <v>152</v>
      </c>
      <c r="M117" s="450" t="s">
        <v>150</v>
      </c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</row>
    <row r="118" spans="1:24" ht="15" customHeight="1">
      <c r="A118" s="950"/>
      <c r="B118" s="179" t="s">
        <v>25</v>
      </c>
      <c r="C118" s="178">
        <f t="shared" ref="C118:D118" si="200">SUM(C117)</f>
        <v>1093000</v>
      </c>
      <c r="D118" s="431">
        <f t="shared" si="200"/>
        <v>0</v>
      </c>
      <c r="E118" s="457">
        <f t="shared" si="199"/>
        <v>0</v>
      </c>
      <c r="F118" s="343"/>
      <c r="G118" s="305"/>
      <c r="H118" s="198" t="s">
        <v>153</v>
      </c>
      <c r="I118" s="458"/>
      <c r="J118" s="201"/>
      <c r="K118" s="520">
        <f t="shared" ref="K118:L118" si="201">K104+K114+C121</f>
        <v>68363165</v>
      </c>
      <c r="L118" s="460">
        <f t="shared" si="201"/>
        <v>33422522</v>
      </c>
      <c r="M118" s="448">
        <f>L118/K118</f>
        <v>0.48889664485253131</v>
      </c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</row>
    <row r="119" spans="1:24" ht="14.25" customHeight="1">
      <c r="A119" s="994">
        <v>5300</v>
      </c>
      <c r="B119" s="179" t="s">
        <v>23</v>
      </c>
      <c r="C119" s="334">
        <v>3160000</v>
      </c>
      <c r="D119" s="396">
        <v>0</v>
      </c>
      <c r="E119" s="461">
        <f t="shared" si="199"/>
        <v>0</v>
      </c>
      <c r="F119" s="327"/>
      <c r="G119" s="305"/>
      <c r="H119" s="305"/>
      <c r="I119" s="305"/>
      <c r="J119" s="350"/>
      <c r="K119" s="526"/>
      <c r="L119" s="527"/>
      <c r="M119" s="528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</row>
    <row r="120" spans="1:24" ht="15.75" customHeight="1">
      <c r="A120" s="950"/>
      <c r="B120" s="184" t="s">
        <v>25</v>
      </c>
      <c r="C120" s="183">
        <f t="shared" ref="C120:D120" si="202">SUM(C119)</f>
        <v>3160000</v>
      </c>
      <c r="D120" s="604">
        <f t="shared" si="202"/>
        <v>0</v>
      </c>
      <c r="E120" s="464">
        <f t="shared" si="199"/>
        <v>0</v>
      </c>
      <c r="F120" s="343"/>
      <c r="G120" s="305"/>
      <c r="H120" s="305"/>
      <c r="I120" s="305"/>
      <c r="J120" s="350"/>
      <c r="K120" s="494"/>
      <c r="L120" s="305"/>
      <c r="M120" s="524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</row>
    <row r="121" spans="1:24" ht="15.75" customHeight="1">
      <c r="A121" s="523"/>
      <c r="B121" s="605" t="s">
        <v>121</v>
      </c>
      <c r="C121" s="198">
        <f t="shared" ref="C121:D121" si="203">C117+C120</f>
        <v>4253000</v>
      </c>
      <c r="D121" s="198">
        <f t="shared" si="203"/>
        <v>0</v>
      </c>
      <c r="E121" s="237">
        <f t="shared" si="199"/>
        <v>0</v>
      </c>
      <c r="F121" s="467"/>
      <c r="G121" s="623"/>
      <c r="H121" s="458"/>
      <c r="I121" s="458"/>
      <c r="J121" s="468"/>
      <c r="K121" s="532"/>
      <c r="L121" s="458"/>
      <c r="M121" s="469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</row>
    <row r="122" spans="1:24" ht="15.75" customHeight="1">
      <c r="A122" s="245"/>
      <c r="B122" s="246"/>
      <c r="C122" s="305"/>
      <c r="D122" s="305"/>
      <c r="E122" s="305"/>
      <c r="F122" s="305"/>
      <c r="G122" s="305"/>
      <c r="H122" s="305"/>
      <c r="I122" s="305"/>
      <c r="J122" s="305"/>
      <c r="K122" s="246"/>
      <c r="L122" s="246"/>
      <c r="M122" s="470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</row>
    <row r="123" spans="1:24" ht="15.75" customHeight="1">
      <c r="A123" s="245"/>
      <c r="B123" s="246"/>
      <c r="C123" s="305"/>
      <c r="D123" s="305"/>
      <c r="E123" s="305"/>
      <c r="F123" s="305"/>
      <c r="G123" s="305"/>
      <c r="H123" s="305"/>
      <c r="I123" s="305"/>
      <c r="J123" s="305"/>
      <c r="K123" s="246"/>
      <c r="L123" s="246"/>
      <c r="M123" s="470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</row>
    <row r="124" spans="1:24" ht="15.75" customHeight="1">
      <c r="A124" s="245"/>
      <c r="B124" s="246"/>
      <c r="C124" s="305"/>
      <c r="D124" s="305"/>
      <c r="E124" s="305"/>
      <c r="F124" s="305"/>
      <c r="G124" s="305"/>
      <c r="H124" s="305"/>
      <c r="I124" s="305"/>
      <c r="J124" s="305"/>
      <c r="K124" s="246"/>
      <c r="L124" s="246"/>
      <c r="M124" s="470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</row>
    <row r="125" spans="1:24" ht="15.75" customHeight="1">
      <c r="A125" s="245"/>
      <c r="B125" s="246"/>
      <c r="C125" s="305"/>
      <c r="D125" s="305"/>
      <c r="E125" s="305"/>
      <c r="F125" s="305"/>
      <c r="G125" s="305"/>
      <c r="H125" s="305"/>
      <c r="I125" s="305"/>
      <c r="J125" s="305"/>
      <c r="K125" s="246"/>
      <c r="L125" s="246"/>
      <c r="M125" s="470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</row>
    <row r="126" spans="1:24" ht="15.75" customHeight="1">
      <c r="A126" s="606" t="s">
        <v>174</v>
      </c>
      <c r="B126" s="607" t="s">
        <v>7</v>
      </c>
      <c r="C126" s="608" t="s">
        <v>92</v>
      </c>
      <c r="D126" s="608" t="str">
        <f>L3</f>
        <v>Actual Exp. up to Nov -2021</v>
      </c>
      <c r="E126" s="608" t="s">
        <v>176</v>
      </c>
      <c r="F126" s="299"/>
      <c r="G126" s="608" t="s">
        <v>177</v>
      </c>
      <c r="H126" s="305"/>
      <c r="I126" s="305"/>
      <c r="J126" s="305"/>
      <c r="K126" s="305"/>
      <c r="L126" s="305"/>
      <c r="M126" s="305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</row>
    <row r="127" spans="1:24" ht="15.75" customHeight="1">
      <c r="A127" s="606"/>
      <c r="B127" s="606"/>
      <c r="C127" s="296" t="s">
        <v>19</v>
      </c>
      <c r="D127" s="296" t="s">
        <v>19</v>
      </c>
      <c r="E127" s="296" t="s">
        <v>19</v>
      </c>
      <c r="F127" s="299"/>
      <c r="G127" s="296" t="s">
        <v>19</v>
      </c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</row>
    <row r="128" spans="1:24" ht="15.75" customHeight="1">
      <c r="A128" s="298" t="s">
        <v>109</v>
      </c>
      <c r="B128" s="297" t="s">
        <v>21</v>
      </c>
      <c r="C128" s="299">
        <v>9819593</v>
      </c>
      <c r="D128" s="609">
        <v>2736939</v>
      </c>
      <c r="E128" s="609">
        <v>7778639</v>
      </c>
      <c r="F128" s="299"/>
      <c r="G128" s="609">
        <v>8363261</v>
      </c>
      <c r="H128" s="305"/>
      <c r="I128" s="610"/>
      <c r="J128" s="305"/>
      <c r="K128" s="610"/>
      <c r="L128" s="610"/>
      <c r="M128" s="610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</row>
    <row r="129" spans="1:24" ht="15.75" customHeight="1">
      <c r="A129" s="297" t="s">
        <v>110</v>
      </c>
      <c r="B129" s="297" t="s">
        <v>21</v>
      </c>
      <c r="C129" s="299">
        <v>6871037</v>
      </c>
      <c r="D129" s="609">
        <v>4241428</v>
      </c>
      <c r="E129" s="609">
        <v>6455216</v>
      </c>
      <c r="F129" s="299"/>
      <c r="G129" s="609">
        <v>6651641</v>
      </c>
      <c r="H129" s="305"/>
      <c r="I129" s="305"/>
      <c r="J129" s="305"/>
      <c r="K129" s="610"/>
      <c r="L129" s="610"/>
      <c r="M129" s="610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</row>
    <row r="130" spans="1:24" ht="15.75" customHeight="1">
      <c r="A130" s="297" t="s">
        <v>111</v>
      </c>
      <c r="B130" s="297" t="s">
        <v>21</v>
      </c>
      <c r="C130" s="299">
        <v>20000</v>
      </c>
      <c r="D130" s="609">
        <v>373064</v>
      </c>
      <c r="E130" s="609">
        <v>970000</v>
      </c>
      <c r="F130" s="297"/>
      <c r="G130" s="609">
        <v>52000</v>
      </c>
      <c r="H130" s="305"/>
      <c r="I130" s="305"/>
      <c r="J130" s="305"/>
      <c r="K130" s="610"/>
      <c r="L130" s="610"/>
      <c r="M130" s="610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</row>
    <row r="131" spans="1:24" ht="15.75" customHeight="1">
      <c r="A131" s="298"/>
      <c r="B131" s="297" t="s">
        <v>25</v>
      </c>
      <c r="C131" s="297">
        <f t="shared" ref="C131:E131" si="204">SUM(C128:C130)</f>
        <v>16710630</v>
      </c>
      <c r="D131" s="297">
        <f t="shared" si="204"/>
        <v>7351431</v>
      </c>
      <c r="E131" s="297">
        <f t="shared" si="204"/>
        <v>15203855</v>
      </c>
      <c r="F131" s="297"/>
      <c r="G131" s="297">
        <f>SUM(G128:G130)</f>
        <v>15066902</v>
      </c>
      <c r="H131" s="305"/>
      <c r="I131" s="305"/>
      <c r="J131" s="305"/>
      <c r="K131" s="610"/>
      <c r="L131" s="610"/>
      <c r="M131" s="610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</row>
    <row r="132" spans="1:24" ht="15.75" customHeight="1">
      <c r="A132" s="624" t="s">
        <v>79</v>
      </c>
      <c r="B132" s="625"/>
      <c r="C132" s="626"/>
      <c r="D132" s="626"/>
      <c r="E132" s="626"/>
      <c r="F132" s="625"/>
      <c r="G132" s="626"/>
      <c r="H132" s="305"/>
      <c r="I132" s="305"/>
      <c r="J132" s="305"/>
      <c r="K132" s="610"/>
      <c r="L132" s="610"/>
      <c r="M132" s="610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</row>
    <row r="133" spans="1:24" ht="15.75" customHeight="1">
      <c r="A133" s="298" t="s">
        <v>109</v>
      </c>
      <c r="B133" s="297" t="s">
        <v>21</v>
      </c>
      <c r="C133" s="299">
        <v>9905586</v>
      </c>
      <c r="D133" s="609">
        <v>2693070</v>
      </c>
      <c r="E133" s="609">
        <v>7439698</v>
      </c>
      <c r="F133" s="297"/>
      <c r="G133" s="609">
        <v>8101999</v>
      </c>
      <c r="H133" s="305"/>
      <c r="I133" s="305"/>
      <c r="J133" s="305"/>
      <c r="K133" s="610"/>
      <c r="L133" s="610"/>
      <c r="M133" s="610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</row>
    <row r="134" spans="1:24" ht="15.75" customHeight="1">
      <c r="A134" s="297" t="s">
        <v>110</v>
      </c>
      <c r="B134" s="297" t="s">
        <v>21</v>
      </c>
      <c r="C134" s="299">
        <v>6941037</v>
      </c>
      <c r="D134" s="609">
        <v>3769956</v>
      </c>
      <c r="E134" s="609">
        <v>6975049</v>
      </c>
      <c r="F134" s="297"/>
      <c r="G134" s="609">
        <v>6892665</v>
      </c>
      <c r="H134" s="305"/>
      <c r="I134" s="305"/>
      <c r="J134" s="305"/>
      <c r="K134" s="610"/>
      <c r="L134" s="610"/>
      <c r="M134" s="610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</row>
    <row r="135" spans="1:24" ht="15.75" customHeight="1">
      <c r="A135" s="297" t="s">
        <v>111</v>
      </c>
      <c r="B135" s="297" t="s">
        <v>21</v>
      </c>
      <c r="C135" s="299">
        <v>20000</v>
      </c>
      <c r="D135" s="299">
        <v>0</v>
      </c>
      <c r="E135" s="609">
        <v>240000</v>
      </c>
      <c r="F135" s="295"/>
      <c r="G135" s="609">
        <v>520000</v>
      </c>
      <c r="H135" s="305"/>
      <c r="I135" s="305"/>
      <c r="J135" s="305"/>
      <c r="K135" s="610"/>
      <c r="L135" s="610"/>
      <c r="M135" s="610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</row>
    <row r="136" spans="1:24" ht="15.75" customHeight="1">
      <c r="A136" s="298"/>
      <c r="B136" s="297" t="s">
        <v>25</v>
      </c>
      <c r="C136" s="297">
        <f t="shared" ref="C136:E136" si="205">SUM(C133:C135)</f>
        <v>16866623</v>
      </c>
      <c r="D136" s="297">
        <f t="shared" si="205"/>
        <v>6463026</v>
      </c>
      <c r="E136" s="297">
        <f t="shared" si="205"/>
        <v>14654747</v>
      </c>
      <c r="F136" s="295"/>
      <c r="G136" s="297">
        <f>SUM(G133:G135)</f>
        <v>15514664</v>
      </c>
      <c r="H136" s="305"/>
      <c r="I136" s="305"/>
      <c r="J136" s="305"/>
      <c r="K136" s="610"/>
      <c r="L136" s="610"/>
      <c r="M136" s="610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</row>
    <row r="137" spans="1:24" ht="15.75" customHeight="1">
      <c r="A137" s="298"/>
      <c r="B137" s="297" t="s">
        <v>83</v>
      </c>
      <c r="C137" s="297">
        <f t="shared" ref="C137:E137" si="206">C131-C136</f>
        <v>-155993</v>
      </c>
      <c r="D137" s="297">
        <f t="shared" si="206"/>
        <v>888405</v>
      </c>
      <c r="E137" s="297">
        <f t="shared" si="206"/>
        <v>549108</v>
      </c>
      <c r="F137" s="297"/>
      <c r="G137" s="297">
        <f>G131-G136</f>
        <v>-447762</v>
      </c>
      <c r="H137" s="305"/>
      <c r="I137" s="305"/>
      <c r="J137" s="305"/>
      <c r="K137" s="610"/>
      <c r="L137" s="610"/>
      <c r="M137" s="610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</row>
    <row r="138" spans="1:24" ht="15.75" customHeight="1">
      <c r="A138" s="300" t="s">
        <v>178</v>
      </c>
      <c r="B138" s="611"/>
      <c r="C138" s="302"/>
      <c r="D138" s="302"/>
      <c r="E138" s="302"/>
      <c r="F138" s="299"/>
      <c r="G138" s="302"/>
      <c r="H138" s="305"/>
      <c r="I138" s="305"/>
      <c r="J138" s="305"/>
      <c r="K138" s="610"/>
      <c r="L138" s="610"/>
      <c r="M138" s="610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</row>
    <row r="139" spans="1:24" ht="15.75" customHeight="1">
      <c r="A139" s="612" t="s">
        <v>117</v>
      </c>
      <c r="B139" s="613" t="s">
        <v>184</v>
      </c>
      <c r="C139" s="609">
        <v>0</v>
      </c>
      <c r="D139" s="609">
        <v>5216</v>
      </c>
      <c r="E139" s="609">
        <v>5216</v>
      </c>
      <c r="F139" s="299"/>
      <c r="G139" s="609">
        <v>0</v>
      </c>
      <c r="H139" s="305"/>
      <c r="I139" s="305"/>
      <c r="J139" s="305"/>
      <c r="K139" s="610"/>
      <c r="L139" s="610"/>
      <c r="M139" s="610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</row>
    <row r="140" spans="1:24" ht="15.75" customHeight="1">
      <c r="A140" s="298" t="s">
        <v>118</v>
      </c>
      <c r="B140" s="297" t="s">
        <v>28</v>
      </c>
      <c r="C140" s="299">
        <v>0</v>
      </c>
      <c r="D140" s="609">
        <v>91354</v>
      </c>
      <c r="E140" s="299">
        <v>0</v>
      </c>
      <c r="F140" s="299"/>
      <c r="G140" s="299">
        <v>0</v>
      </c>
      <c r="H140" s="305"/>
      <c r="I140" s="305"/>
      <c r="J140" s="305"/>
      <c r="K140" s="610"/>
      <c r="L140" s="610"/>
      <c r="M140" s="610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</row>
    <row r="141" spans="1:24" ht="15.75" customHeight="1">
      <c r="A141" s="298" t="s">
        <v>112</v>
      </c>
      <c r="B141" s="297" t="s">
        <v>32</v>
      </c>
      <c r="C141" s="299">
        <v>293605</v>
      </c>
      <c r="D141" s="609">
        <v>429755</v>
      </c>
      <c r="E141" s="609">
        <v>383887</v>
      </c>
      <c r="F141" s="299"/>
      <c r="G141" s="609">
        <v>239956</v>
      </c>
      <c r="H141" s="305"/>
      <c r="I141" s="305"/>
      <c r="J141" s="305"/>
      <c r="K141" s="610"/>
      <c r="L141" s="610"/>
      <c r="M141" s="610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</row>
    <row r="142" spans="1:24" ht="15.75" customHeight="1">
      <c r="A142" s="298"/>
      <c r="B142" s="614" t="s">
        <v>185</v>
      </c>
      <c r="C142" s="299">
        <v>0</v>
      </c>
      <c r="D142" s="299">
        <v>5217</v>
      </c>
      <c r="E142" s="299">
        <v>0</v>
      </c>
      <c r="F142" s="299"/>
      <c r="G142" s="299">
        <v>0</v>
      </c>
      <c r="H142" s="305"/>
      <c r="I142" s="305"/>
      <c r="J142" s="305"/>
      <c r="K142" s="610"/>
      <c r="L142" s="610"/>
      <c r="M142" s="610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</row>
    <row r="143" spans="1:24" ht="15.75" customHeight="1">
      <c r="A143" s="297"/>
      <c r="B143" s="615" t="s">
        <v>144</v>
      </c>
      <c r="C143" s="299">
        <v>0</v>
      </c>
      <c r="D143" s="609">
        <v>1280</v>
      </c>
      <c r="E143" s="299">
        <v>0</v>
      </c>
      <c r="F143" s="299"/>
      <c r="G143" s="299">
        <v>0</v>
      </c>
      <c r="H143" s="305"/>
      <c r="I143" s="305"/>
      <c r="J143" s="305"/>
      <c r="K143" s="610"/>
      <c r="L143" s="610"/>
      <c r="M143" s="610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</row>
    <row r="144" spans="1:24" ht="15.75" customHeight="1">
      <c r="A144" s="297"/>
      <c r="B144" s="299"/>
      <c r="C144" s="299">
        <f t="shared" ref="C144:D144" si="207">SUM(C140:C143)</f>
        <v>293605</v>
      </c>
      <c r="D144" s="299">
        <f t="shared" si="207"/>
        <v>527606</v>
      </c>
      <c r="E144" s="299">
        <f>SUM(E139:E143)</f>
        <v>389103</v>
      </c>
      <c r="F144" s="299"/>
      <c r="G144" s="299">
        <f>SUM(G139:G143)</f>
        <v>239956</v>
      </c>
      <c r="H144" s="305"/>
      <c r="I144" s="305"/>
      <c r="J144" s="305"/>
      <c r="K144" s="610"/>
      <c r="L144" s="610"/>
      <c r="M144" s="610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</row>
    <row r="145" spans="1:24" ht="15.75" customHeight="1">
      <c r="A145" s="299"/>
      <c r="B145" s="613" t="s">
        <v>186</v>
      </c>
      <c r="C145" s="297">
        <f t="shared" ref="C145:E145" si="208">C136+C144</f>
        <v>17160228</v>
      </c>
      <c r="D145" s="297">
        <f t="shared" si="208"/>
        <v>6990632</v>
      </c>
      <c r="E145" s="297">
        <f t="shared" si="208"/>
        <v>15043850</v>
      </c>
      <c r="F145" s="297"/>
      <c r="G145" s="297">
        <f>G136+G144</f>
        <v>15754620</v>
      </c>
      <c r="H145" s="305"/>
      <c r="I145" s="305"/>
      <c r="J145" s="305"/>
      <c r="K145" s="610"/>
      <c r="L145" s="610"/>
      <c r="M145" s="610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</row>
    <row r="146" spans="1:24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610"/>
      <c r="L146" s="610"/>
      <c r="M146" s="610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</row>
    <row r="147" spans="1:24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610"/>
      <c r="L147" s="610"/>
      <c r="M147" s="610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</row>
    <row r="148" spans="1:24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610"/>
      <c r="L148" s="610"/>
      <c r="M148" s="610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</row>
    <row r="149" spans="1:24" ht="15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</row>
    <row r="150" spans="1:24" ht="15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</row>
    <row r="151" spans="1:24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</row>
    <row r="152" spans="1:24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</row>
    <row r="153" spans="1:24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</row>
    <row r="154" spans="1:24" ht="15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</row>
    <row r="155" spans="1:24" ht="15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</row>
    <row r="156" spans="1:24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</row>
    <row r="157" spans="1:24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</row>
    <row r="158" spans="1:24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</row>
    <row r="159" spans="1:24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</row>
    <row r="160" spans="1:24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</row>
    <row r="161" spans="1:24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</row>
    <row r="162" spans="1:24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</row>
    <row r="163" spans="1:24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</row>
    <row r="164" spans="1:24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</row>
    <row r="165" spans="1:24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</row>
    <row r="166" spans="1:24" ht="15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</row>
    <row r="167" spans="1:24" ht="15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</row>
    <row r="168" spans="1:24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</row>
    <row r="169" spans="1:24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</row>
    <row r="170" spans="1:24" ht="15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</row>
    <row r="171" spans="1:24" ht="15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</row>
    <row r="172" spans="1:24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</row>
    <row r="173" spans="1:24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</row>
    <row r="174" spans="1:24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</row>
    <row r="175" spans="1:24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</row>
    <row r="176" spans="1:24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</row>
    <row r="177" spans="1:24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</row>
    <row r="178" spans="1:24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</row>
    <row r="179" spans="1:24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</row>
    <row r="180" spans="1:24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</row>
    <row r="181" spans="1:24" ht="15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</row>
    <row r="182" spans="1:24" ht="15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</row>
    <row r="183" spans="1:24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</row>
    <row r="184" spans="1:24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</row>
    <row r="185" spans="1:24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</row>
    <row r="186" spans="1:24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</row>
    <row r="187" spans="1:24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</row>
    <row r="188" spans="1:24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</row>
    <row r="189" spans="1:24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</row>
    <row r="190" spans="1:24" ht="15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</row>
    <row r="191" spans="1:24" ht="15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</row>
    <row r="192" spans="1:24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</row>
    <row r="193" spans="1:24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</row>
    <row r="194" spans="1:24" ht="15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</row>
    <row r="195" spans="1:24" ht="15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</row>
    <row r="196" spans="1:24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</row>
    <row r="197" spans="1:24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</row>
    <row r="198" spans="1:24" ht="15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</row>
    <row r="199" spans="1:24" ht="15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</row>
    <row r="200" spans="1:24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</row>
    <row r="201" spans="1:24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</row>
    <row r="202" spans="1:24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</row>
    <row r="203" spans="1:24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</row>
    <row r="204" spans="1:24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</row>
    <row r="205" spans="1:24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</row>
    <row r="206" spans="1:24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</row>
    <row r="207" spans="1:24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</row>
    <row r="208" spans="1:24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</row>
    <row r="209" spans="1:24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</row>
    <row r="210" spans="1:24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</row>
    <row r="211" spans="1:24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</row>
    <row r="212" spans="1:24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</row>
    <row r="213" spans="1:24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</row>
    <row r="214" spans="1:24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</row>
    <row r="215" spans="1:24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</row>
    <row r="216" spans="1:24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</row>
    <row r="217" spans="1:24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</row>
    <row r="218" spans="1:24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</row>
    <row r="219" spans="1:24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</row>
    <row r="220" spans="1:24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</row>
    <row r="221" spans="1:24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</row>
    <row r="222" spans="1:24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</row>
    <row r="223" spans="1:24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</row>
    <row r="224" spans="1:24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</row>
    <row r="225" spans="1:24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</row>
    <row r="226" spans="1:24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</row>
    <row r="227" spans="1:24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</row>
    <row r="228" spans="1:24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</row>
    <row r="229" spans="1:24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</row>
    <row r="230" spans="1:24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</row>
    <row r="231" spans="1:24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</row>
    <row r="232" spans="1:24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</row>
    <row r="233" spans="1:24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</row>
    <row r="234" spans="1:24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</row>
    <row r="235" spans="1:24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</row>
    <row r="236" spans="1:24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</row>
    <row r="237" spans="1:24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</row>
    <row r="238" spans="1:24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</row>
    <row r="239" spans="1:24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</row>
    <row r="240" spans="1:24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</row>
    <row r="241" spans="1:24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</row>
    <row r="242" spans="1:24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</row>
    <row r="243" spans="1:24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</row>
    <row r="244" spans="1:24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</row>
    <row r="245" spans="1:24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</row>
    <row r="246" spans="1:24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</row>
    <row r="247" spans="1:24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</row>
    <row r="248" spans="1:24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</row>
    <row r="249" spans="1:24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</row>
    <row r="250" spans="1:24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</row>
    <row r="251" spans="1:24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</row>
    <row r="252" spans="1:24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</row>
    <row r="253" spans="1:24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</row>
    <row r="254" spans="1:24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</row>
    <row r="255" spans="1:24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</row>
    <row r="256" spans="1:24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</row>
    <row r="257" spans="1:24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</row>
    <row r="258" spans="1:24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</row>
    <row r="259" spans="1:24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</row>
    <row r="260" spans="1:24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</row>
    <row r="261" spans="1:24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</row>
    <row r="262" spans="1:24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</row>
    <row r="263" spans="1:24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</row>
    <row r="264" spans="1:24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</row>
    <row r="265" spans="1:24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</row>
    <row r="266" spans="1:24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</row>
    <row r="267" spans="1:24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</row>
    <row r="268" spans="1:24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</row>
    <row r="269" spans="1:24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</row>
    <row r="270" spans="1:24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</row>
    <row r="271" spans="1:24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</row>
    <row r="272" spans="1:24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</row>
    <row r="273" spans="1:24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</row>
    <row r="274" spans="1:24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</row>
    <row r="275" spans="1:24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</row>
    <row r="276" spans="1:24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</row>
    <row r="277" spans="1:24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</row>
    <row r="278" spans="1:24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</row>
    <row r="279" spans="1:24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</row>
    <row r="280" spans="1:24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</row>
    <row r="281" spans="1:24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</row>
    <row r="282" spans="1:24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</row>
    <row r="283" spans="1:24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</row>
    <row r="284" spans="1:24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</row>
    <row r="285" spans="1:24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</row>
    <row r="286" spans="1:24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</row>
    <row r="287" spans="1:24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</row>
    <row r="288" spans="1:24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</row>
    <row r="289" spans="1:24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</row>
    <row r="290" spans="1:24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</row>
    <row r="291" spans="1:24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</row>
    <row r="292" spans="1:24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</row>
    <row r="293" spans="1:24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</row>
    <row r="294" spans="1:24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</row>
    <row r="295" spans="1:24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</row>
    <row r="296" spans="1:24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</row>
    <row r="297" spans="1:24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</row>
    <row r="298" spans="1:24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</row>
    <row r="299" spans="1:24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</row>
    <row r="300" spans="1:24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</row>
    <row r="301" spans="1:24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</row>
    <row r="302" spans="1:24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</row>
    <row r="303" spans="1:24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</row>
    <row r="304" spans="1:24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</row>
    <row r="305" spans="1:24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</row>
    <row r="306" spans="1:24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</row>
    <row r="307" spans="1:24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</row>
    <row r="308" spans="1:24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</row>
    <row r="309" spans="1:24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</row>
    <row r="310" spans="1:24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</row>
    <row r="311" spans="1:24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</row>
    <row r="312" spans="1:24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</row>
    <row r="313" spans="1:24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</row>
    <row r="314" spans="1:24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</row>
    <row r="315" spans="1:24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</row>
    <row r="316" spans="1:24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</row>
    <row r="317" spans="1:24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</row>
    <row r="318" spans="1:24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</row>
    <row r="319" spans="1:24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</row>
    <row r="320" spans="1:24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</row>
    <row r="321" spans="1:24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</row>
    <row r="322" spans="1:24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</row>
    <row r="323" spans="1:24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</row>
    <row r="324" spans="1:24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</row>
    <row r="325" spans="1:24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</row>
    <row r="326" spans="1:24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</row>
    <row r="327" spans="1:24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</row>
    <row r="328" spans="1:24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</row>
    <row r="329" spans="1:24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</row>
    <row r="330" spans="1:24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</row>
    <row r="331" spans="1:24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</row>
    <row r="332" spans="1:24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</row>
    <row r="333" spans="1:24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</row>
    <row r="334" spans="1:24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</row>
    <row r="335" spans="1:24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</row>
    <row r="336" spans="1:24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</row>
    <row r="337" spans="1:24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</row>
    <row r="338" spans="1:24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</row>
    <row r="339" spans="1:24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</row>
    <row r="340" spans="1:24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</row>
    <row r="341" spans="1:24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</row>
    <row r="342" spans="1:24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</row>
    <row r="343" spans="1:24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</row>
    <row r="344" spans="1:24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</row>
    <row r="345" spans="1:24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</row>
    <row r="346" spans="1:24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</row>
    <row r="347" spans="1:24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</row>
    <row r="348" spans="1:24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</row>
    <row r="349" spans="1:24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</row>
    <row r="350" spans="1:24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</row>
    <row r="351" spans="1:24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</row>
    <row r="352" spans="1:24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</row>
    <row r="353" spans="1:24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</row>
    <row r="354" spans="1:24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</row>
    <row r="355" spans="1:24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</row>
    <row r="356" spans="1:24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</row>
    <row r="357" spans="1:24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</row>
    <row r="358" spans="1:24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</row>
    <row r="359" spans="1:24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</row>
    <row r="360" spans="1:24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</row>
    <row r="361" spans="1:24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</row>
    <row r="362" spans="1:24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</row>
    <row r="363" spans="1:24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</row>
    <row r="364" spans="1:24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</row>
    <row r="365" spans="1:24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</row>
    <row r="366" spans="1:24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</row>
    <row r="367" spans="1:24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</row>
    <row r="368" spans="1:24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</row>
    <row r="369" spans="1:24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</row>
    <row r="370" spans="1:24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</row>
    <row r="371" spans="1:24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</row>
    <row r="372" spans="1:24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</row>
    <row r="373" spans="1:24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</row>
    <row r="374" spans="1:24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</row>
    <row r="375" spans="1:24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</row>
    <row r="376" spans="1:24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</row>
    <row r="377" spans="1:24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</row>
    <row r="378" spans="1:24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</row>
    <row r="379" spans="1:24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</row>
    <row r="380" spans="1:24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</row>
    <row r="381" spans="1:24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</row>
    <row r="382" spans="1:24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</row>
    <row r="383" spans="1:24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</row>
    <row r="384" spans="1:24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</row>
    <row r="385" spans="1:24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</row>
    <row r="386" spans="1:24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</row>
    <row r="387" spans="1:24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</row>
    <row r="388" spans="1:24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</row>
    <row r="389" spans="1:24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</row>
    <row r="390" spans="1:24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</row>
    <row r="391" spans="1:24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</row>
    <row r="392" spans="1:24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</row>
    <row r="393" spans="1:24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</row>
    <row r="394" spans="1:24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</row>
    <row r="395" spans="1:24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</row>
    <row r="396" spans="1:24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</row>
    <row r="397" spans="1:24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</row>
    <row r="398" spans="1:24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</row>
    <row r="399" spans="1:24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</row>
    <row r="400" spans="1:24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</row>
    <row r="401" spans="1:24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</row>
    <row r="402" spans="1:24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</row>
    <row r="403" spans="1:24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</row>
    <row r="404" spans="1:24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</row>
    <row r="405" spans="1:24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</row>
    <row r="406" spans="1:24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</row>
    <row r="407" spans="1:24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</row>
    <row r="408" spans="1:24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</row>
    <row r="409" spans="1:24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</row>
    <row r="410" spans="1:24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</row>
    <row r="411" spans="1:24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</row>
    <row r="412" spans="1:24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</row>
    <row r="413" spans="1:24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</row>
    <row r="414" spans="1:24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</row>
    <row r="415" spans="1:24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</row>
    <row r="416" spans="1:24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</row>
    <row r="417" spans="1:24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</row>
    <row r="418" spans="1:24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</row>
    <row r="419" spans="1:24" ht="15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</row>
    <row r="420" spans="1:24" ht="15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</row>
    <row r="421" spans="1:24" ht="15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</row>
    <row r="422" spans="1:24" ht="15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</row>
    <row r="423" spans="1:24" ht="15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</row>
    <row r="424" spans="1:24" ht="15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</row>
    <row r="425" spans="1:24" ht="15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</row>
    <row r="426" spans="1:24" ht="15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</row>
    <row r="427" spans="1:24" ht="15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</row>
    <row r="428" spans="1:24" ht="15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</row>
    <row r="429" spans="1:24" ht="15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</row>
    <row r="430" spans="1:24" ht="15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</row>
    <row r="431" spans="1:24" ht="15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</row>
    <row r="432" spans="1:24" ht="15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</row>
    <row r="433" spans="1:24" ht="15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</row>
    <row r="434" spans="1:24" ht="15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</row>
    <row r="435" spans="1:24" ht="15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</row>
    <row r="436" spans="1:24" ht="15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</row>
    <row r="437" spans="1:24" ht="15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</row>
    <row r="438" spans="1:24" ht="15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</row>
    <row r="439" spans="1:24" ht="15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</row>
    <row r="440" spans="1:24" ht="15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</row>
    <row r="441" spans="1:24" ht="15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</row>
    <row r="442" spans="1:24" ht="15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</row>
    <row r="443" spans="1:24" ht="15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</row>
    <row r="444" spans="1:24" ht="15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</row>
    <row r="445" spans="1:24" ht="15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</row>
    <row r="446" spans="1:24" ht="15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</row>
    <row r="447" spans="1:24" ht="15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</row>
    <row r="448" spans="1:24" ht="15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</row>
    <row r="449" spans="1:24" ht="15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</row>
    <row r="450" spans="1:24" ht="15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</row>
    <row r="451" spans="1:24" ht="15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</row>
    <row r="452" spans="1:24" ht="15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</row>
    <row r="453" spans="1:24" ht="15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</row>
    <row r="454" spans="1:24" ht="15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</row>
    <row r="455" spans="1:24" ht="15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</row>
    <row r="456" spans="1:24" ht="15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</row>
    <row r="457" spans="1:24" ht="15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</row>
    <row r="458" spans="1:24" ht="15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</row>
    <row r="459" spans="1:24" ht="15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</row>
    <row r="460" spans="1:24" ht="15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</row>
    <row r="461" spans="1:24" ht="15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</row>
    <row r="462" spans="1:24" ht="15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</row>
    <row r="463" spans="1:24" ht="15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</row>
    <row r="464" spans="1:24" ht="15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</row>
    <row r="465" spans="1:24" ht="15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</row>
    <row r="466" spans="1:24" ht="15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</row>
    <row r="467" spans="1:24" ht="15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</row>
    <row r="468" spans="1:24" ht="15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</row>
    <row r="469" spans="1:24" ht="15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</row>
    <row r="470" spans="1:24" ht="15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</row>
    <row r="471" spans="1:24" ht="15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</row>
    <row r="472" spans="1:24" ht="15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</row>
    <row r="473" spans="1:24" ht="15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</row>
    <row r="474" spans="1:24" ht="15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</row>
    <row r="475" spans="1:24" ht="15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</row>
    <row r="476" spans="1:24" ht="15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</row>
    <row r="477" spans="1:24" ht="15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</row>
    <row r="478" spans="1:24" ht="15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</row>
    <row r="479" spans="1:24" ht="15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</row>
    <row r="480" spans="1:24" ht="15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</row>
    <row r="481" spans="1:24" ht="15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</row>
    <row r="482" spans="1:24" ht="15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</row>
    <row r="483" spans="1:24" ht="15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</row>
    <row r="484" spans="1:24" ht="15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</row>
    <row r="485" spans="1:24" ht="15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</row>
    <row r="486" spans="1:24" ht="15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</row>
    <row r="487" spans="1:24" ht="15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</row>
    <row r="488" spans="1:24" ht="15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</row>
    <row r="489" spans="1:24" ht="15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</row>
    <row r="490" spans="1:24" ht="15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</row>
    <row r="491" spans="1:24" ht="15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</row>
    <row r="492" spans="1:24" ht="15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</row>
    <row r="493" spans="1:24" ht="15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</row>
    <row r="494" spans="1:24" ht="15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</row>
    <row r="495" spans="1:24" ht="15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</row>
    <row r="496" spans="1:24" ht="15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</row>
    <row r="497" spans="1:24" ht="15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</row>
    <row r="498" spans="1:24" ht="15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</row>
    <row r="499" spans="1:24" ht="15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</row>
    <row r="500" spans="1:24" ht="15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</row>
    <row r="501" spans="1:24" ht="15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</row>
    <row r="502" spans="1:24" ht="15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</row>
    <row r="503" spans="1:24" ht="15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</row>
    <row r="504" spans="1:24" ht="15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</row>
    <row r="505" spans="1:24" ht="15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</row>
    <row r="506" spans="1:24" ht="15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</row>
    <row r="507" spans="1:24" ht="15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</row>
    <row r="508" spans="1:24" ht="15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</row>
    <row r="509" spans="1:24" ht="15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</row>
    <row r="510" spans="1:24" ht="15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</row>
    <row r="511" spans="1:24" ht="15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</row>
    <row r="512" spans="1:24" ht="15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</row>
    <row r="513" spans="1:24" ht="15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</row>
    <row r="514" spans="1:24" ht="15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</row>
    <row r="515" spans="1:24" ht="15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</row>
    <row r="516" spans="1:24" ht="15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</row>
    <row r="517" spans="1:24" ht="15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</row>
    <row r="518" spans="1:24" ht="15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</row>
    <row r="519" spans="1:24" ht="15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</row>
    <row r="520" spans="1:24" ht="15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</row>
    <row r="521" spans="1:24" ht="15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</row>
    <row r="522" spans="1:24" ht="15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</row>
    <row r="523" spans="1:24" ht="15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</row>
    <row r="524" spans="1:24" ht="15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</row>
    <row r="525" spans="1:24" ht="15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</row>
    <row r="526" spans="1:24" ht="15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</row>
    <row r="527" spans="1:24" ht="15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</row>
    <row r="528" spans="1:24" ht="15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</row>
    <row r="529" spans="1:24" ht="15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</row>
    <row r="530" spans="1:24" ht="15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</row>
    <row r="531" spans="1:24" ht="15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</row>
    <row r="532" spans="1:24" ht="15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</row>
    <row r="533" spans="1:24" ht="15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</row>
    <row r="534" spans="1:24" ht="15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</row>
    <row r="535" spans="1:24" ht="15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</row>
    <row r="536" spans="1:24" ht="15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</row>
    <row r="537" spans="1:24" ht="15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</row>
    <row r="538" spans="1:24" ht="15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</row>
    <row r="539" spans="1:24" ht="15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</row>
    <row r="540" spans="1:24" ht="15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</row>
    <row r="541" spans="1:24" ht="15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</row>
    <row r="542" spans="1:24" ht="15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</row>
    <row r="543" spans="1:24" ht="15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</row>
    <row r="544" spans="1:24" ht="15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</row>
    <row r="545" spans="1:24" ht="15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</row>
    <row r="546" spans="1:24" ht="15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</row>
    <row r="547" spans="1:24" ht="15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</row>
    <row r="548" spans="1:24" ht="15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</row>
    <row r="549" spans="1:24" ht="15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</row>
    <row r="550" spans="1:24" ht="15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</row>
    <row r="551" spans="1:24" ht="15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</row>
    <row r="552" spans="1:24" ht="15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</row>
    <row r="553" spans="1:24" ht="15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</row>
    <row r="554" spans="1:24" ht="15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</row>
    <row r="555" spans="1:24" ht="15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</row>
    <row r="556" spans="1:24" ht="15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</row>
    <row r="557" spans="1:24" ht="15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</row>
    <row r="558" spans="1:24" ht="15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</row>
    <row r="559" spans="1:24" ht="15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</row>
    <row r="560" spans="1:24" ht="15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</row>
    <row r="561" spans="1:24" ht="15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</row>
    <row r="562" spans="1:24" ht="15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</row>
    <row r="563" spans="1:24" ht="15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</row>
    <row r="564" spans="1:24" ht="15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</row>
    <row r="565" spans="1:24" ht="15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</row>
    <row r="566" spans="1:24" ht="15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</row>
    <row r="567" spans="1:24" ht="15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</row>
    <row r="568" spans="1:24" ht="15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</row>
    <row r="569" spans="1:24" ht="15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</row>
    <row r="570" spans="1:24" ht="15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</row>
    <row r="571" spans="1:24" ht="15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</row>
    <row r="572" spans="1:24" ht="15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</row>
    <row r="573" spans="1:24" ht="15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</row>
    <row r="574" spans="1:24" ht="15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</row>
    <row r="575" spans="1:24" ht="15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</row>
    <row r="576" spans="1:24" ht="15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</row>
    <row r="577" spans="1:24" ht="15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</row>
    <row r="578" spans="1:24" ht="15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</row>
    <row r="579" spans="1:24" ht="15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</row>
    <row r="580" spans="1:24" ht="15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</row>
    <row r="581" spans="1:24" ht="15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</row>
    <row r="582" spans="1:24" ht="15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</row>
    <row r="583" spans="1:24" ht="15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</row>
    <row r="584" spans="1:24" ht="15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</row>
    <row r="585" spans="1:24" ht="15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</row>
    <row r="586" spans="1:24" ht="15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</row>
    <row r="587" spans="1:24" ht="15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</row>
    <row r="588" spans="1:24" ht="15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</row>
    <row r="589" spans="1:24" ht="15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</row>
    <row r="590" spans="1:24" ht="15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</row>
    <row r="591" spans="1:24" ht="15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</row>
    <row r="592" spans="1:24" ht="15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</row>
    <row r="593" spans="1:24" ht="15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</row>
    <row r="594" spans="1:24" ht="15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</row>
    <row r="595" spans="1:24" ht="15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</row>
    <row r="596" spans="1:24" ht="15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</row>
    <row r="597" spans="1:24" ht="15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</row>
    <row r="598" spans="1:24" ht="15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</row>
    <row r="599" spans="1:24" ht="15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</row>
    <row r="600" spans="1:24" ht="15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</row>
    <row r="601" spans="1:24" ht="15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</row>
    <row r="602" spans="1:24" ht="15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</row>
    <row r="603" spans="1:24" ht="15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</row>
    <row r="604" spans="1:24" ht="15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</row>
    <row r="605" spans="1:24" ht="15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</row>
    <row r="606" spans="1:24" ht="15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</row>
    <row r="607" spans="1:24" ht="15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</row>
    <row r="608" spans="1:24" ht="15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</row>
    <row r="609" spans="1:24" ht="15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</row>
    <row r="610" spans="1:24" ht="15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</row>
    <row r="611" spans="1:24" ht="15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</row>
    <row r="612" spans="1:24" ht="15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</row>
    <row r="613" spans="1:24" ht="15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</row>
    <row r="614" spans="1:24" ht="15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</row>
    <row r="615" spans="1:24" ht="15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</row>
    <row r="616" spans="1:24" ht="15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</row>
    <row r="617" spans="1:24" ht="15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</row>
    <row r="618" spans="1:24" ht="15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</row>
    <row r="619" spans="1:24" ht="15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</row>
    <row r="620" spans="1:24" ht="15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</row>
    <row r="621" spans="1:24" ht="15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</row>
    <row r="622" spans="1:24" ht="15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</row>
    <row r="623" spans="1:24" ht="15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</row>
    <row r="624" spans="1:24" ht="15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</row>
    <row r="625" spans="1:24" ht="15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</row>
    <row r="626" spans="1:24" ht="15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</row>
    <row r="627" spans="1:24" ht="15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</row>
    <row r="628" spans="1:24" ht="15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</row>
    <row r="629" spans="1:24" ht="15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</row>
    <row r="630" spans="1:24" ht="15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</row>
    <row r="631" spans="1:24" ht="15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</row>
    <row r="632" spans="1:24" ht="15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</row>
    <row r="633" spans="1:24" ht="15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</row>
    <row r="634" spans="1:24" ht="15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</row>
    <row r="635" spans="1:24" ht="15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</row>
    <row r="636" spans="1:24" ht="15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</row>
    <row r="637" spans="1:24" ht="15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</row>
    <row r="638" spans="1:24" ht="15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</row>
    <row r="639" spans="1:24" ht="15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</row>
    <row r="640" spans="1:24" ht="15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</row>
    <row r="641" spans="1:24" ht="15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</row>
    <row r="642" spans="1:24" ht="15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</row>
    <row r="643" spans="1:24" ht="15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</row>
    <row r="644" spans="1:24" ht="15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</row>
    <row r="645" spans="1:24" ht="15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</row>
    <row r="646" spans="1:24" ht="15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</row>
    <row r="647" spans="1:24" ht="15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</row>
    <row r="648" spans="1:24" ht="15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</row>
    <row r="649" spans="1:24" ht="15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</row>
    <row r="650" spans="1:24" ht="15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</row>
    <row r="651" spans="1:24" ht="15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</row>
    <row r="652" spans="1:24" ht="15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</row>
    <row r="653" spans="1:24" ht="15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</row>
    <row r="654" spans="1:24" ht="15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</row>
    <row r="655" spans="1:24" ht="15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</row>
    <row r="656" spans="1:24" ht="15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</row>
    <row r="657" spans="1:24" ht="15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</row>
    <row r="658" spans="1:24" ht="15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</row>
    <row r="659" spans="1:24" ht="15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</row>
    <row r="660" spans="1:24" ht="15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</row>
    <row r="661" spans="1:24" ht="15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</row>
    <row r="662" spans="1:24" ht="15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</row>
    <row r="663" spans="1:24" ht="15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</row>
    <row r="664" spans="1:24" ht="15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</row>
    <row r="665" spans="1:24" ht="15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</row>
    <row r="666" spans="1:24" ht="15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</row>
    <row r="667" spans="1:24" ht="15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</row>
    <row r="668" spans="1:24" ht="15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</row>
    <row r="669" spans="1:24" ht="15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</row>
    <row r="670" spans="1:24" ht="15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</row>
    <row r="671" spans="1:24" ht="15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</row>
    <row r="672" spans="1:24" ht="15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</row>
    <row r="673" spans="1:24" ht="15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</row>
    <row r="674" spans="1:24" ht="15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</row>
    <row r="675" spans="1:24" ht="15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</row>
    <row r="676" spans="1:24" ht="15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</row>
    <row r="677" spans="1:24" ht="15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</row>
    <row r="678" spans="1:24" ht="15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</row>
    <row r="679" spans="1:24" ht="15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</row>
    <row r="680" spans="1:24" ht="15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</row>
    <row r="681" spans="1:24" ht="15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</row>
    <row r="682" spans="1:24" ht="15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</row>
    <row r="683" spans="1:24" ht="15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</row>
    <row r="684" spans="1:24" ht="15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</row>
    <row r="685" spans="1:24" ht="15.75" customHeight="1">
      <c r="A685" s="305"/>
      <c r="B685" s="305"/>
      <c r="C685" s="305"/>
      <c r="D685" s="305"/>
      <c r="E685" s="305"/>
      <c r="F685" s="305"/>
      <c r="G685" s="305"/>
      <c r="H685" s="305"/>
      <c r="I685" s="305"/>
      <c r="J685" s="305"/>
      <c r="K685" s="305"/>
      <c r="L685" s="305"/>
      <c r="M685" s="305"/>
      <c r="N685" s="305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</row>
    <row r="686" spans="1:24" ht="15.75" customHeight="1">
      <c r="A686" s="305"/>
      <c r="B686" s="305"/>
      <c r="C686" s="305"/>
      <c r="D686" s="305"/>
      <c r="E686" s="305"/>
      <c r="F686" s="305"/>
      <c r="G686" s="305"/>
      <c r="H686" s="305"/>
      <c r="I686" s="305"/>
      <c r="J686" s="305"/>
      <c r="K686" s="305"/>
      <c r="L686" s="305"/>
      <c r="M686" s="305"/>
      <c r="N686" s="305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</row>
    <row r="687" spans="1:24" ht="15.75" customHeight="1">
      <c r="A687" s="305"/>
      <c r="B687" s="305"/>
      <c r="C687" s="305"/>
      <c r="D687" s="305"/>
      <c r="E687" s="305"/>
      <c r="F687" s="305"/>
      <c r="G687" s="305"/>
      <c r="H687" s="305"/>
      <c r="I687" s="305"/>
      <c r="J687" s="305"/>
      <c r="K687" s="305"/>
      <c r="L687" s="305"/>
      <c r="M687" s="305"/>
      <c r="N687" s="305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</row>
    <row r="688" spans="1:24" ht="15.75" customHeight="1">
      <c r="A688" s="305"/>
      <c r="B688" s="305"/>
      <c r="C688" s="305"/>
      <c r="D688" s="305"/>
      <c r="E688" s="305"/>
      <c r="F688" s="305"/>
      <c r="G688" s="305"/>
      <c r="H688" s="305"/>
      <c r="I688" s="305"/>
      <c r="J688" s="305"/>
      <c r="K688" s="305"/>
      <c r="L688" s="305"/>
      <c r="M688" s="305"/>
      <c r="N688" s="305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</row>
    <row r="689" spans="1:24" ht="15.75" customHeight="1">
      <c r="A689" s="305"/>
      <c r="B689" s="305"/>
      <c r="C689" s="305"/>
      <c r="D689" s="305"/>
      <c r="E689" s="305"/>
      <c r="F689" s="305"/>
      <c r="G689" s="305"/>
      <c r="H689" s="305"/>
      <c r="I689" s="305"/>
      <c r="J689" s="305"/>
      <c r="K689" s="305"/>
      <c r="L689" s="305"/>
      <c r="M689" s="305"/>
      <c r="N689" s="305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</row>
    <row r="690" spans="1:24" ht="15.75" customHeight="1">
      <c r="A690" s="305"/>
      <c r="B690" s="305"/>
      <c r="C690" s="305"/>
      <c r="D690" s="305"/>
      <c r="E690" s="305"/>
      <c r="F690" s="305"/>
      <c r="G690" s="305"/>
      <c r="H690" s="305"/>
      <c r="I690" s="305"/>
      <c r="J690" s="305"/>
      <c r="K690" s="305"/>
      <c r="L690" s="305"/>
      <c r="M690" s="305"/>
      <c r="N690" s="305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</row>
    <row r="691" spans="1:24" ht="15.75" customHeight="1">
      <c r="A691" s="305"/>
      <c r="B691" s="305"/>
      <c r="C691" s="305"/>
      <c r="D691" s="305"/>
      <c r="E691" s="305"/>
      <c r="F691" s="305"/>
      <c r="G691" s="305"/>
      <c r="H691" s="305"/>
      <c r="I691" s="305"/>
      <c r="J691" s="305"/>
      <c r="K691" s="305"/>
      <c r="L691" s="305"/>
      <c r="M691" s="305"/>
      <c r="N691" s="305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</row>
    <row r="692" spans="1:24" ht="15.75" customHeight="1">
      <c r="A692" s="305"/>
      <c r="B692" s="305"/>
      <c r="C692" s="305"/>
      <c r="D692" s="305"/>
      <c r="E692" s="305"/>
      <c r="F692" s="305"/>
      <c r="G692" s="305"/>
      <c r="H692" s="305"/>
      <c r="I692" s="305"/>
      <c r="J692" s="305"/>
      <c r="K692" s="305"/>
      <c r="L692" s="305"/>
      <c r="M692" s="305"/>
      <c r="N692" s="305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</row>
    <row r="693" spans="1:24" ht="15.75" customHeight="1">
      <c r="A693" s="305"/>
      <c r="B693" s="305"/>
      <c r="C693" s="305"/>
      <c r="D693" s="305"/>
      <c r="E693" s="305"/>
      <c r="F693" s="305"/>
      <c r="G693" s="305"/>
      <c r="H693" s="305"/>
      <c r="I693" s="305"/>
      <c r="J693" s="305"/>
      <c r="K693" s="305"/>
      <c r="L693" s="305"/>
      <c r="M693" s="305"/>
      <c r="N693" s="305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</row>
    <row r="694" spans="1:24" ht="15.75" customHeight="1">
      <c r="A694" s="305"/>
      <c r="B694" s="305"/>
      <c r="C694" s="305"/>
      <c r="D694" s="305"/>
      <c r="E694" s="305"/>
      <c r="F694" s="305"/>
      <c r="G694" s="305"/>
      <c r="H694" s="305"/>
      <c r="I694" s="305"/>
      <c r="J694" s="305"/>
      <c r="K694" s="305"/>
      <c r="L694" s="305"/>
      <c r="M694" s="305"/>
      <c r="N694" s="305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</row>
    <row r="695" spans="1:24" ht="15.75" customHeight="1">
      <c r="A695" s="305"/>
      <c r="B695" s="305"/>
      <c r="C695" s="305"/>
      <c r="D695" s="305"/>
      <c r="E695" s="305"/>
      <c r="F695" s="305"/>
      <c r="G695" s="305"/>
      <c r="H695" s="305"/>
      <c r="I695" s="305"/>
      <c r="J695" s="305"/>
      <c r="K695" s="305"/>
      <c r="L695" s="305"/>
      <c r="M695" s="305"/>
      <c r="N695" s="305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</row>
    <row r="696" spans="1:24" ht="15.75" customHeight="1">
      <c r="A696" s="305"/>
      <c r="B696" s="305"/>
      <c r="C696" s="305"/>
      <c r="D696" s="305"/>
      <c r="E696" s="305"/>
      <c r="F696" s="305"/>
      <c r="G696" s="305"/>
      <c r="H696" s="305"/>
      <c r="I696" s="305"/>
      <c r="J696" s="305"/>
      <c r="K696" s="305"/>
      <c r="L696" s="305"/>
      <c r="M696" s="305"/>
      <c r="N696" s="305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</row>
    <row r="697" spans="1:24" ht="15.75" customHeight="1">
      <c r="A697" s="305"/>
      <c r="B697" s="305"/>
      <c r="C697" s="305"/>
      <c r="D697" s="305"/>
      <c r="E697" s="305"/>
      <c r="F697" s="305"/>
      <c r="G697" s="305"/>
      <c r="H697" s="305"/>
      <c r="I697" s="305"/>
      <c r="J697" s="305"/>
      <c r="K697" s="305"/>
      <c r="L697" s="305"/>
      <c r="M697" s="305"/>
      <c r="N697" s="305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</row>
    <row r="698" spans="1:24" ht="15.75" customHeight="1">
      <c r="A698" s="305"/>
      <c r="B698" s="305"/>
      <c r="C698" s="305"/>
      <c r="D698" s="305"/>
      <c r="E698" s="305"/>
      <c r="F698" s="305"/>
      <c r="G698" s="305"/>
      <c r="H698" s="305"/>
      <c r="I698" s="305"/>
      <c r="J698" s="305"/>
      <c r="K698" s="305"/>
      <c r="L698" s="305"/>
      <c r="M698" s="305"/>
      <c r="N698" s="305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</row>
    <row r="699" spans="1:24" ht="15.75" customHeight="1">
      <c r="A699" s="305"/>
      <c r="B699" s="305"/>
      <c r="C699" s="305"/>
      <c r="D699" s="305"/>
      <c r="E699" s="305"/>
      <c r="F699" s="305"/>
      <c r="G699" s="305"/>
      <c r="H699" s="305"/>
      <c r="I699" s="305"/>
      <c r="J699" s="305"/>
      <c r="K699" s="305"/>
      <c r="L699" s="305"/>
      <c r="M699" s="305"/>
      <c r="N699" s="305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</row>
    <row r="700" spans="1:24" ht="15.75" customHeight="1">
      <c r="A700" s="305"/>
      <c r="B700" s="305"/>
      <c r="C700" s="305"/>
      <c r="D700" s="305"/>
      <c r="E700" s="305"/>
      <c r="F700" s="305"/>
      <c r="G700" s="305"/>
      <c r="H700" s="305"/>
      <c r="I700" s="305"/>
      <c r="J700" s="305"/>
      <c r="K700" s="305"/>
      <c r="L700" s="305"/>
      <c r="M700" s="305"/>
      <c r="N700" s="305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</row>
    <row r="701" spans="1:24" ht="15.75" customHeight="1">
      <c r="A701" s="305"/>
      <c r="B701" s="305"/>
      <c r="C701" s="305"/>
      <c r="D701" s="305"/>
      <c r="E701" s="305"/>
      <c r="F701" s="305"/>
      <c r="G701" s="305"/>
      <c r="H701" s="305"/>
      <c r="I701" s="305"/>
      <c r="J701" s="305"/>
      <c r="K701" s="305"/>
      <c r="L701" s="305"/>
      <c r="M701" s="305"/>
      <c r="N701" s="305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</row>
    <row r="702" spans="1:24" ht="15.75" customHeight="1">
      <c r="A702" s="305"/>
      <c r="B702" s="305"/>
      <c r="C702" s="305"/>
      <c r="D702" s="305"/>
      <c r="E702" s="305"/>
      <c r="F702" s="305"/>
      <c r="G702" s="305"/>
      <c r="H702" s="305"/>
      <c r="I702" s="305"/>
      <c r="J702" s="305"/>
      <c r="K702" s="305"/>
      <c r="L702" s="305"/>
      <c r="M702" s="305"/>
      <c r="N702" s="305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</row>
    <row r="703" spans="1:24" ht="15.75" customHeight="1">
      <c r="A703" s="305"/>
      <c r="B703" s="305"/>
      <c r="C703" s="305"/>
      <c r="D703" s="305"/>
      <c r="E703" s="305"/>
      <c r="F703" s="305"/>
      <c r="G703" s="305"/>
      <c r="H703" s="305"/>
      <c r="I703" s="305"/>
      <c r="J703" s="305"/>
      <c r="K703" s="305"/>
      <c r="L703" s="305"/>
      <c r="M703" s="305"/>
      <c r="N703" s="305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</row>
    <row r="704" spans="1:24" ht="15.75" customHeight="1">
      <c r="A704" s="305"/>
      <c r="B704" s="305"/>
      <c r="C704" s="305"/>
      <c r="D704" s="305"/>
      <c r="E704" s="305"/>
      <c r="F704" s="305"/>
      <c r="G704" s="305"/>
      <c r="H704" s="305"/>
      <c r="I704" s="305"/>
      <c r="J704" s="305"/>
      <c r="K704" s="305"/>
      <c r="L704" s="305"/>
      <c r="M704" s="305"/>
      <c r="N704" s="305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</row>
    <row r="705" spans="1:24" ht="15.75" customHeight="1">
      <c r="A705" s="305"/>
      <c r="B705" s="305"/>
      <c r="C705" s="305"/>
      <c r="D705" s="305"/>
      <c r="E705" s="305"/>
      <c r="F705" s="305"/>
      <c r="G705" s="305"/>
      <c r="H705" s="305"/>
      <c r="I705" s="305"/>
      <c r="J705" s="305"/>
      <c r="K705" s="305"/>
      <c r="L705" s="305"/>
      <c r="M705" s="305"/>
      <c r="N705" s="305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</row>
    <row r="706" spans="1:24" ht="15.75" customHeight="1">
      <c r="A706" s="305"/>
      <c r="B706" s="305"/>
      <c r="C706" s="305"/>
      <c r="D706" s="305"/>
      <c r="E706" s="305"/>
      <c r="F706" s="305"/>
      <c r="G706" s="305"/>
      <c r="H706" s="305"/>
      <c r="I706" s="305"/>
      <c r="J706" s="305"/>
      <c r="K706" s="305"/>
      <c r="L706" s="305"/>
      <c r="M706" s="305"/>
      <c r="N706" s="305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</row>
    <row r="707" spans="1:24" ht="15.75" customHeight="1">
      <c r="A707" s="305"/>
      <c r="B707" s="305"/>
      <c r="C707" s="305"/>
      <c r="D707" s="305"/>
      <c r="E707" s="305"/>
      <c r="F707" s="305"/>
      <c r="G707" s="305"/>
      <c r="H707" s="305"/>
      <c r="I707" s="305"/>
      <c r="J707" s="305"/>
      <c r="K707" s="305"/>
      <c r="L707" s="305"/>
      <c r="M707" s="305"/>
      <c r="N707" s="305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</row>
    <row r="708" spans="1:24" ht="15.75" customHeight="1">
      <c r="A708" s="305"/>
      <c r="B708" s="305"/>
      <c r="C708" s="305"/>
      <c r="D708" s="305"/>
      <c r="E708" s="305"/>
      <c r="F708" s="305"/>
      <c r="G708" s="305"/>
      <c r="H708" s="305"/>
      <c r="I708" s="305"/>
      <c r="J708" s="305"/>
      <c r="K708" s="305"/>
      <c r="L708" s="305"/>
      <c r="M708" s="305"/>
      <c r="N708" s="305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</row>
    <row r="709" spans="1:24" ht="15.75" customHeight="1">
      <c r="A709" s="305"/>
      <c r="B709" s="305"/>
      <c r="C709" s="305"/>
      <c r="D709" s="305"/>
      <c r="E709" s="305"/>
      <c r="F709" s="305"/>
      <c r="G709" s="305"/>
      <c r="H709" s="305"/>
      <c r="I709" s="305"/>
      <c r="J709" s="305"/>
      <c r="K709" s="305"/>
      <c r="L709" s="305"/>
      <c r="M709" s="305"/>
      <c r="N709" s="305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</row>
    <row r="710" spans="1:24" ht="15.75" customHeight="1">
      <c r="A710" s="305"/>
      <c r="B710" s="305"/>
      <c r="C710" s="305"/>
      <c r="D710" s="305"/>
      <c r="E710" s="305"/>
      <c r="F710" s="305"/>
      <c r="G710" s="305"/>
      <c r="H710" s="305"/>
      <c r="I710" s="305"/>
      <c r="J710" s="305"/>
      <c r="K710" s="305"/>
      <c r="L710" s="305"/>
      <c r="M710" s="305"/>
      <c r="N710" s="305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</row>
    <row r="711" spans="1:24" ht="15.75" customHeight="1">
      <c r="A711" s="305"/>
      <c r="B711" s="305"/>
      <c r="C711" s="305"/>
      <c r="D711" s="305"/>
      <c r="E711" s="305"/>
      <c r="F711" s="305"/>
      <c r="G711" s="305"/>
      <c r="H711" s="305"/>
      <c r="I711" s="305"/>
      <c r="J711" s="305"/>
      <c r="K711" s="305"/>
      <c r="L711" s="305"/>
      <c r="M711" s="305"/>
      <c r="N711" s="305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</row>
    <row r="712" spans="1:24" ht="15.75" customHeight="1">
      <c r="A712" s="305"/>
      <c r="B712" s="305"/>
      <c r="C712" s="305"/>
      <c r="D712" s="305"/>
      <c r="E712" s="305"/>
      <c r="F712" s="305"/>
      <c r="G712" s="305"/>
      <c r="H712" s="305"/>
      <c r="I712" s="305"/>
      <c r="J712" s="305"/>
      <c r="K712" s="305"/>
      <c r="L712" s="305"/>
      <c r="M712" s="305"/>
      <c r="N712" s="305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</row>
    <row r="713" spans="1:24" ht="15.75" customHeight="1">
      <c r="A713" s="305"/>
      <c r="B713" s="305"/>
      <c r="C713" s="305"/>
      <c r="D713" s="305"/>
      <c r="E713" s="305"/>
      <c r="F713" s="305"/>
      <c r="G713" s="305"/>
      <c r="H713" s="305"/>
      <c r="I713" s="305"/>
      <c r="J713" s="305"/>
      <c r="K713" s="305"/>
      <c r="L713" s="305"/>
      <c r="M713" s="305"/>
      <c r="N713" s="305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</row>
    <row r="714" spans="1:24" ht="15.75" customHeight="1">
      <c r="A714" s="305"/>
      <c r="B714" s="305"/>
      <c r="C714" s="305"/>
      <c r="D714" s="305"/>
      <c r="E714" s="305"/>
      <c r="F714" s="305"/>
      <c r="G714" s="305"/>
      <c r="H714" s="305"/>
      <c r="I714" s="305"/>
      <c r="J714" s="305"/>
      <c r="K714" s="305"/>
      <c r="L714" s="305"/>
      <c r="M714" s="305"/>
      <c r="N714" s="305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</row>
    <row r="715" spans="1:24" ht="15.75" customHeight="1">
      <c r="A715" s="305"/>
      <c r="B715" s="305"/>
      <c r="C715" s="305"/>
      <c r="D715" s="305"/>
      <c r="E715" s="305"/>
      <c r="F715" s="305"/>
      <c r="G715" s="305"/>
      <c r="H715" s="305"/>
      <c r="I715" s="305"/>
      <c r="J715" s="305"/>
      <c r="K715" s="305"/>
      <c r="L715" s="305"/>
      <c r="M715" s="305"/>
      <c r="N715" s="305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</row>
    <row r="716" spans="1:24" ht="15.75" customHeight="1">
      <c r="A716" s="305"/>
      <c r="B716" s="305"/>
      <c r="C716" s="305"/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</row>
    <row r="717" spans="1:24" ht="15.75" customHeight="1">
      <c r="A717" s="305"/>
      <c r="B717" s="305"/>
      <c r="C717" s="305"/>
      <c r="D717" s="305"/>
      <c r="E717" s="305"/>
      <c r="F717" s="305"/>
      <c r="G717" s="305"/>
      <c r="H717" s="305"/>
      <c r="I717" s="305"/>
      <c r="J717" s="305"/>
      <c r="K717" s="305"/>
      <c r="L717" s="305"/>
      <c r="M717" s="305"/>
      <c r="N717" s="305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</row>
    <row r="718" spans="1:24" ht="15.75" customHeight="1">
      <c r="A718" s="305"/>
      <c r="B718" s="305"/>
      <c r="C718" s="305"/>
      <c r="D718" s="305"/>
      <c r="E718" s="305"/>
      <c r="F718" s="305"/>
      <c r="G718" s="305"/>
      <c r="H718" s="305"/>
      <c r="I718" s="305"/>
      <c r="J718" s="305"/>
      <c r="K718" s="305"/>
      <c r="L718" s="305"/>
      <c r="M718" s="305"/>
      <c r="N718" s="305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</row>
    <row r="719" spans="1:24" ht="15.75" customHeight="1">
      <c r="A719" s="305"/>
      <c r="B719" s="305"/>
      <c r="C719" s="305"/>
      <c r="D719" s="305"/>
      <c r="E719" s="305"/>
      <c r="F719" s="305"/>
      <c r="G719" s="305"/>
      <c r="H719" s="305"/>
      <c r="I719" s="305"/>
      <c r="J719" s="305"/>
      <c r="K719" s="305"/>
      <c r="L719" s="305"/>
      <c r="M719" s="305"/>
      <c r="N719" s="305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</row>
    <row r="720" spans="1:24" ht="15.75" customHeight="1">
      <c r="A720" s="305"/>
      <c r="B720" s="305"/>
      <c r="C720" s="305"/>
      <c r="D720" s="305"/>
      <c r="E720" s="305"/>
      <c r="F720" s="305"/>
      <c r="G720" s="305"/>
      <c r="H720" s="305"/>
      <c r="I720" s="305"/>
      <c r="J720" s="305"/>
      <c r="K720" s="305"/>
      <c r="L720" s="305"/>
      <c r="M720" s="305"/>
      <c r="N720" s="305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</row>
    <row r="721" spans="1:24" ht="15.75" customHeight="1">
      <c r="A721" s="305"/>
      <c r="B721" s="305"/>
      <c r="C721" s="305"/>
      <c r="D721" s="305"/>
      <c r="E721" s="305"/>
      <c r="F721" s="305"/>
      <c r="G721" s="305"/>
      <c r="H721" s="305"/>
      <c r="I721" s="305"/>
      <c r="J721" s="305"/>
      <c r="K721" s="305"/>
      <c r="L721" s="305"/>
      <c r="M721" s="305"/>
      <c r="N721" s="305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</row>
    <row r="722" spans="1:24" ht="15.75" customHeight="1">
      <c r="A722" s="305"/>
      <c r="B722" s="305"/>
      <c r="C722" s="305"/>
      <c r="D722" s="305"/>
      <c r="E722" s="305"/>
      <c r="F722" s="305"/>
      <c r="G722" s="305"/>
      <c r="H722" s="305"/>
      <c r="I722" s="305"/>
      <c r="J722" s="305"/>
      <c r="K722" s="305"/>
      <c r="L722" s="305"/>
      <c r="M722" s="305"/>
      <c r="N722" s="305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</row>
    <row r="723" spans="1:24" ht="15.75" customHeight="1">
      <c r="A723" s="305"/>
      <c r="B723" s="305"/>
      <c r="C723" s="305"/>
      <c r="D723" s="305"/>
      <c r="E723" s="305"/>
      <c r="F723" s="305"/>
      <c r="G723" s="305"/>
      <c r="H723" s="305"/>
      <c r="I723" s="305"/>
      <c r="J723" s="305"/>
      <c r="K723" s="305"/>
      <c r="L723" s="305"/>
      <c r="M723" s="305"/>
      <c r="N723" s="305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</row>
    <row r="724" spans="1:24" ht="15.75" customHeight="1">
      <c r="A724" s="305"/>
      <c r="B724" s="305"/>
      <c r="C724" s="305"/>
      <c r="D724" s="305"/>
      <c r="E724" s="305"/>
      <c r="F724" s="305"/>
      <c r="G724" s="305"/>
      <c r="H724" s="305"/>
      <c r="I724" s="305"/>
      <c r="J724" s="305"/>
      <c r="K724" s="305"/>
      <c r="L724" s="305"/>
      <c r="M724" s="305"/>
      <c r="N724" s="305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</row>
    <row r="725" spans="1:24" ht="15.75" customHeight="1">
      <c r="A725" s="305"/>
      <c r="B725" s="305"/>
      <c r="C725" s="305"/>
      <c r="D725" s="305"/>
      <c r="E725" s="305"/>
      <c r="F725" s="305"/>
      <c r="G725" s="305"/>
      <c r="H725" s="305"/>
      <c r="I725" s="305"/>
      <c r="J725" s="305"/>
      <c r="K725" s="305"/>
      <c r="L725" s="305"/>
      <c r="M725" s="305"/>
      <c r="N725" s="305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</row>
    <row r="726" spans="1:24" ht="15.75" customHeight="1">
      <c r="A726" s="305"/>
      <c r="B726" s="305"/>
      <c r="C726" s="305"/>
      <c r="D726" s="305"/>
      <c r="E726" s="305"/>
      <c r="F726" s="305"/>
      <c r="G726" s="305"/>
      <c r="H726" s="305"/>
      <c r="I726" s="305"/>
      <c r="J726" s="305"/>
      <c r="K726" s="305"/>
      <c r="L726" s="305"/>
      <c r="M726" s="305"/>
      <c r="N726" s="305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</row>
    <row r="727" spans="1:24" ht="15.75" customHeight="1">
      <c r="A727" s="305"/>
      <c r="B727" s="305"/>
      <c r="C727" s="305"/>
      <c r="D727" s="305"/>
      <c r="E727" s="305"/>
      <c r="F727" s="305"/>
      <c r="G727" s="305"/>
      <c r="H727" s="305"/>
      <c r="I727" s="305"/>
      <c r="J727" s="305"/>
      <c r="K727" s="305"/>
      <c r="L727" s="305"/>
      <c r="M727" s="305"/>
      <c r="N727" s="305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</row>
    <row r="728" spans="1:24" ht="15.75" customHeight="1">
      <c r="A728" s="305"/>
      <c r="B728" s="305"/>
      <c r="C728" s="305"/>
      <c r="D728" s="305"/>
      <c r="E728" s="305"/>
      <c r="F728" s="305"/>
      <c r="G728" s="305"/>
      <c r="H728" s="305"/>
      <c r="I728" s="305"/>
      <c r="J728" s="305"/>
      <c r="K728" s="305"/>
      <c r="L728" s="305"/>
      <c r="M728" s="305"/>
      <c r="N728" s="305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</row>
    <row r="729" spans="1:24" ht="15.75" customHeight="1">
      <c r="A729" s="305"/>
      <c r="B729" s="305"/>
      <c r="C729" s="305"/>
      <c r="D729" s="305"/>
      <c r="E729" s="305"/>
      <c r="F729" s="305"/>
      <c r="G729" s="305"/>
      <c r="H729" s="305"/>
      <c r="I729" s="305"/>
      <c r="J729" s="305"/>
      <c r="K729" s="305"/>
      <c r="L729" s="305"/>
      <c r="M729" s="305"/>
      <c r="N729" s="305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</row>
    <row r="730" spans="1:24" ht="15.75" customHeight="1">
      <c r="A730" s="305"/>
      <c r="B730" s="305"/>
      <c r="C730" s="305"/>
      <c r="D730" s="305"/>
      <c r="E730" s="305"/>
      <c r="F730" s="305"/>
      <c r="G730" s="305"/>
      <c r="H730" s="305"/>
      <c r="I730" s="305"/>
      <c r="J730" s="305"/>
      <c r="K730" s="305"/>
      <c r="L730" s="305"/>
      <c r="M730" s="305"/>
      <c r="N730" s="305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</row>
    <row r="731" spans="1:24" ht="15.75" customHeight="1">
      <c r="A731" s="305"/>
      <c r="B731" s="305"/>
      <c r="C731" s="305"/>
      <c r="D731" s="305"/>
      <c r="E731" s="305"/>
      <c r="F731" s="305"/>
      <c r="G731" s="305"/>
      <c r="H731" s="305"/>
      <c r="I731" s="305"/>
      <c r="J731" s="305"/>
      <c r="K731" s="305"/>
      <c r="L731" s="305"/>
      <c r="M731" s="305"/>
      <c r="N731" s="305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</row>
    <row r="732" spans="1:24" ht="15.75" customHeight="1">
      <c r="A732" s="305"/>
      <c r="B732" s="305"/>
      <c r="C732" s="305"/>
      <c r="D732" s="305"/>
      <c r="E732" s="305"/>
      <c r="F732" s="305"/>
      <c r="G732" s="305"/>
      <c r="H732" s="305"/>
      <c r="I732" s="305"/>
      <c r="J732" s="305"/>
      <c r="K732" s="305"/>
      <c r="L732" s="305"/>
      <c r="M732" s="305"/>
      <c r="N732" s="305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</row>
    <row r="733" spans="1:24" ht="15.75" customHeight="1">
      <c r="A733" s="305"/>
      <c r="B733" s="305"/>
      <c r="C733" s="305"/>
      <c r="D733" s="305"/>
      <c r="E733" s="305"/>
      <c r="F733" s="305"/>
      <c r="G733" s="305"/>
      <c r="H733" s="305"/>
      <c r="I733" s="305"/>
      <c r="J733" s="305"/>
      <c r="K733" s="305"/>
      <c r="L733" s="305"/>
      <c r="M733" s="305"/>
      <c r="N733" s="305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</row>
    <row r="734" spans="1:24" ht="15.75" customHeight="1">
      <c r="A734" s="305"/>
      <c r="B734" s="305"/>
      <c r="C734" s="305"/>
      <c r="D734" s="305"/>
      <c r="E734" s="305"/>
      <c r="F734" s="305"/>
      <c r="G734" s="305"/>
      <c r="H734" s="305"/>
      <c r="I734" s="305"/>
      <c r="J734" s="305"/>
      <c r="K734" s="305"/>
      <c r="L734" s="305"/>
      <c r="M734" s="305"/>
      <c r="N734" s="305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</row>
    <row r="735" spans="1:24" ht="15.75" customHeight="1">
      <c r="A735" s="305"/>
      <c r="B735" s="305"/>
      <c r="C735" s="305"/>
      <c r="D735" s="305"/>
      <c r="E735" s="305"/>
      <c r="F735" s="305"/>
      <c r="G735" s="305"/>
      <c r="H735" s="305"/>
      <c r="I735" s="305"/>
      <c r="J735" s="305"/>
      <c r="K735" s="305"/>
      <c r="L735" s="305"/>
      <c r="M735" s="305"/>
      <c r="N735" s="305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</row>
    <row r="736" spans="1:24" ht="15.75" customHeight="1">
      <c r="A736" s="305"/>
      <c r="B736" s="305"/>
      <c r="C736" s="305"/>
      <c r="D736" s="305"/>
      <c r="E736" s="305"/>
      <c r="F736" s="305"/>
      <c r="G736" s="305"/>
      <c r="H736" s="305"/>
      <c r="I736" s="305"/>
      <c r="J736" s="305"/>
      <c r="K736" s="305"/>
      <c r="L736" s="305"/>
      <c r="M736" s="305"/>
      <c r="N736" s="305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</row>
    <row r="737" spans="1:24" ht="15.75" customHeight="1">
      <c r="A737" s="305"/>
      <c r="B737" s="305"/>
      <c r="C737" s="305"/>
      <c r="D737" s="305"/>
      <c r="E737" s="305"/>
      <c r="F737" s="305"/>
      <c r="G737" s="305"/>
      <c r="H737" s="305"/>
      <c r="I737" s="305"/>
      <c r="J737" s="305"/>
      <c r="K737" s="305"/>
      <c r="L737" s="305"/>
      <c r="M737" s="305"/>
      <c r="N737" s="305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</row>
    <row r="738" spans="1:24" ht="15.75" customHeight="1">
      <c r="A738" s="305"/>
      <c r="B738" s="305"/>
      <c r="C738" s="305"/>
      <c r="D738" s="305"/>
      <c r="E738" s="305"/>
      <c r="F738" s="305"/>
      <c r="G738" s="305"/>
      <c r="H738" s="305"/>
      <c r="I738" s="305"/>
      <c r="J738" s="305"/>
      <c r="K738" s="305"/>
      <c r="L738" s="305"/>
      <c r="M738" s="305"/>
      <c r="N738" s="305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</row>
    <row r="739" spans="1:24" ht="15.75" customHeight="1">
      <c r="A739" s="305"/>
      <c r="B739" s="305"/>
      <c r="C739" s="305"/>
      <c r="D739" s="305"/>
      <c r="E739" s="305"/>
      <c r="F739" s="305"/>
      <c r="G739" s="305"/>
      <c r="H739" s="305"/>
      <c r="I739" s="305"/>
      <c r="J739" s="305"/>
      <c r="K739" s="305"/>
      <c r="L739" s="305"/>
      <c r="M739" s="305"/>
      <c r="N739" s="305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</row>
    <row r="740" spans="1:24" ht="15.75" customHeight="1">
      <c r="A740" s="305"/>
      <c r="B740" s="305"/>
      <c r="C740" s="305"/>
      <c r="D740" s="305"/>
      <c r="E740" s="305"/>
      <c r="F740" s="305"/>
      <c r="G740" s="305"/>
      <c r="H740" s="305"/>
      <c r="I740" s="305"/>
      <c r="J740" s="305"/>
      <c r="K740" s="305"/>
      <c r="L740" s="305"/>
      <c r="M740" s="305"/>
      <c r="N740" s="305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</row>
    <row r="741" spans="1:24" ht="15.75" customHeight="1">
      <c r="A741" s="305"/>
      <c r="B741" s="305"/>
      <c r="C741" s="305"/>
      <c r="D741" s="305"/>
      <c r="E741" s="305"/>
      <c r="F741" s="305"/>
      <c r="G741" s="305"/>
      <c r="H741" s="305"/>
      <c r="I741" s="305"/>
      <c r="J741" s="305"/>
      <c r="K741" s="305"/>
      <c r="L741" s="305"/>
      <c r="M741" s="305"/>
      <c r="N741" s="305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</row>
    <row r="742" spans="1:24" ht="15.75" customHeight="1">
      <c r="A742" s="305"/>
      <c r="B742" s="305"/>
      <c r="C742" s="305"/>
      <c r="D742" s="305"/>
      <c r="E742" s="305"/>
      <c r="F742" s="305"/>
      <c r="G742" s="305"/>
      <c r="H742" s="305"/>
      <c r="I742" s="305"/>
      <c r="J742" s="305"/>
      <c r="K742" s="305"/>
      <c r="L742" s="305"/>
      <c r="M742" s="305"/>
      <c r="N742" s="305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</row>
    <row r="743" spans="1:24" ht="15.75" customHeight="1">
      <c r="A743" s="305"/>
      <c r="B743" s="305"/>
      <c r="C743" s="305"/>
      <c r="D743" s="305"/>
      <c r="E743" s="305"/>
      <c r="F743" s="305"/>
      <c r="G743" s="305"/>
      <c r="H743" s="305"/>
      <c r="I743" s="305"/>
      <c r="J743" s="305"/>
      <c r="K743" s="305"/>
      <c r="L743" s="305"/>
      <c r="M743" s="305"/>
      <c r="N743" s="305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</row>
    <row r="744" spans="1:24" ht="15.75" customHeight="1">
      <c r="A744" s="305"/>
      <c r="B744" s="305"/>
      <c r="C744" s="305"/>
      <c r="D744" s="305"/>
      <c r="E744" s="305"/>
      <c r="F744" s="305"/>
      <c r="G744" s="305"/>
      <c r="H744" s="305"/>
      <c r="I744" s="305"/>
      <c r="J744" s="305"/>
      <c r="K744" s="305"/>
      <c r="L744" s="305"/>
      <c r="M744" s="305"/>
      <c r="N744" s="305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</row>
    <row r="745" spans="1:24" ht="15.75" customHeight="1">
      <c r="A745" s="305"/>
      <c r="B745" s="305"/>
      <c r="C745" s="305"/>
      <c r="D745" s="305"/>
      <c r="E745" s="305"/>
      <c r="F745" s="305"/>
      <c r="G745" s="305"/>
      <c r="H745" s="305"/>
      <c r="I745" s="305"/>
      <c r="J745" s="305"/>
      <c r="K745" s="305"/>
      <c r="L745" s="305"/>
      <c r="M745" s="305"/>
      <c r="N745" s="305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</row>
    <row r="746" spans="1:24" ht="15.75" customHeight="1">
      <c r="A746" s="305"/>
      <c r="B746" s="305"/>
      <c r="C746" s="305"/>
      <c r="D746" s="305"/>
      <c r="E746" s="305"/>
      <c r="F746" s="305"/>
      <c r="G746" s="305"/>
      <c r="H746" s="305"/>
      <c r="I746" s="305"/>
      <c r="J746" s="305"/>
      <c r="K746" s="305"/>
      <c r="L746" s="305"/>
      <c r="M746" s="305"/>
      <c r="N746" s="305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</row>
    <row r="747" spans="1:24" ht="15.75" customHeight="1">
      <c r="A747" s="305"/>
      <c r="B747" s="305"/>
      <c r="C747" s="305"/>
      <c r="D747" s="305"/>
      <c r="E747" s="305"/>
      <c r="F747" s="305"/>
      <c r="G747" s="305"/>
      <c r="H747" s="305"/>
      <c r="I747" s="305"/>
      <c r="J747" s="305"/>
      <c r="K747" s="305"/>
      <c r="L747" s="305"/>
      <c r="M747" s="305"/>
      <c r="N747" s="305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</row>
    <row r="748" spans="1:24" ht="15.75" customHeight="1">
      <c r="A748" s="305"/>
      <c r="B748" s="305"/>
      <c r="C748" s="305"/>
      <c r="D748" s="305"/>
      <c r="E748" s="305"/>
      <c r="F748" s="305"/>
      <c r="G748" s="305"/>
      <c r="H748" s="305"/>
      <c r="I748" s="305"/>
      <c r="J748" s="305"/>
      <c r="K748" s="305"/>
      <c r="L748" s="305"/>
      <c r="M748" s="305"/>
      <c r="N748" s="305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</row>
    <row r="749" spans="1:24" ht="15.75" customHeight="1">
      <c r="A749" s="305"/>
      <c r="B749" s="305"/>
      <c r="C749" s="305"/>
      <c r="D749" s="305"/>
      <c r="E749" s="305"/>
      <c r="F749" s="305"/>
      <c r="G749" s="305"/>
      <c r="H749" s="305"/>
      <c r="I749" s="305"/>
      <c r="J749" s="305"/>
      <c r="K749" s="305"/>
      <c r="L749" s="305"/>
      <c r="M749" s="305"/>
      <c r="N749" s="305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</row>
    <row r="750" spans="1:24" ht="15.75" customHeight="1">
      <c r="A750" s="305"/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</row>
    <row r="751" spans="1:24" ht="15.75" customHeight="1">
      <c r="A751" s="305"/>
      <c r="B751" s="305"/>
      <c r="C751" s="305"/>
      <c r="D751" s="305"/>
      <c r="E751" s="305"/>
      <c r="F751" s="305"/>
      <c r="G751" s="305"/>
      <c r="H751" s="305"/>
      <c r="I751" s="305"/>
      <c r="J751" s="305"/>
      <c r="K751" s="305"/>
      <c r="L751" s="305"/>
      <c r="M751" s="305"/>
      <c r="N751" s="305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</row>
    <row r="752" spans="1:24" ht="15.75" customHeight="1">
      <c r="A752" s="305"/>
      <c r="B752" s="305"/>
      <c r="C752" s="305"/>
      <c r="D752" s="305"/>
      <c r="E752" s="305"/>
      <c r="F752" s="305"/>
      <c r="G752" s="305"/>
      <c r="H752" s="305"/>
      <c r="I752" s="305"/>
      <c r="J752" s="305"/>
      <c r="K752" s="305"/>
      <c r="L752" s="305"/>
      <c r="M752" s="305"/>
      <c r="N752" s="305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</row>
    <row r="753" spans="1:24" ht="15.75" customHeight="1">
      <c r="A753" s="305"/>
      <c r="B753" s="305"/>
      <c r="C753" s="305"/>
      <c r="D753" s="305"/>
      <c r="E753" s="305"/>
      <c r="F753" s="305"/>
      <c r="G753" s="305"/>
      <c r="H753" s="305"/>
      <c r="I753" s="305"/>
      <c r="J753" s="305"/>
      <c r="K753" s="305"/>
      <c r="L753" s="305"/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</row>
    <row r="754" spans="1:24" ht="15.75" customHeight="1">
      <c r="A754" s="305"/>
      <c r="B754" s="305"/>
      <c r="C754" s="305"/>
      <c r="D754" s="305"/>
      <c r="E754" s="305"/>
      <c r="F754" s="305"/>
      <c r="G754" s="305"/>
      <c r="H754" s="305"/>
      <c r="I754" s="305"/>
      <c r="J754" s="305"/>
      <c r="K754" s="305"/>
      <c r="L754" s="305"/>
      <c r="M754" s="305"/>
      <c r="N754" s="305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</row>
    <row r="755" spans="1:24" ht="15.75" customHeight="1">
      <c r="A755" s="305"/>
      <c r="B755" s="305"/>
      <c r="C755" s="305"/>
      <c r="D755" s="305"/>
      <c r="E755" s="305"/>
      <c r="F755" s="305"/>
      <c r="G755" s="305"/>
      <c r="H755" s="305"/>
      <c r="I755" s="305"/>
      <c r="J755" s="305"/>
      <c r="K755" s="305"/>
      <c r="L755" s="305"/>
      <c r="M755" s="305"/>
      <c r="N755" s="305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</row>
    <row r="756" spans="1:24" ht="15.75" customHeight="1">
      <c r="A756" s="305"/>
      <c r="B756" s="305"/>
      <c r="C756" s="305"/>
      <c r="D756" s="305"/>
      <c r="E756" s="305"/>
      <c r="F756" s="305"/>
      <c r="G756" s="305"/>
      <c r="H756" s="305"/>
      <c r="I756" s="305"/>
      <c r="J756" s="305"/>
      <c r="K756" s="305"/>
      <c r="L756" s="305"/>
      <c r="M756" s="305"/>
      <c r="N756" s="305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</row>
    <row r="757" spans="1:24" ht="15.75" customHeight="1">
      <c r="A757" s="305"/>
      <c r="B757" s="305"/>
      <c r="C757" s="305"/>
      <c r="D757" s="305"/>
      <c r="E757" s="305"/>
      <c r="F757" s="305"/>
      <c r="G757" s="305"/>
      <c r="H757" s="305"/>
      <c r="I757" s="305"/>
      <c r="J757" s="305"/>
      <c r="K757" s="305"/>
      <c r="L757" s="305"/>
      <c r="M757" s="305"/>
      <c r="N757" s="305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</row>
    <row r="758" spans="1:24" ht="15.75" customHeight="1">
      <c r="A758" s="305"/>
      <c r="B758" s="305"/>
      <c r="C758" s="305"/>
      <c r="D758" s="305"/>
      <c r="E758" s="305"/>
      <c r="F758" s="305"/>
      <c r="G758" s="305"/>
      <c r="H758" s="305"/>
      <c r="I758" s="305"/>
      <c r="J758" s="305"/>
      <c r="K758" s="305"/>
      <c r="L758" s="305"/>
      <c r="M758" s="305"/>
      <c r="N758" s="305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</row>
    <row r="759" spans="1:24" ht="15.75" customHeight="1">
      <c r="A759" s="305"/>
      <c r="B759" s="305"/>
      <c r="C759" s="305"/>
      <c r="D759" s="305"/>
      <c r="E759" s="305"/>
      <c r="F759" s="305"/>
      <c r="G759" s="305"/>
      <c r="H759" s="305"/>
      <c r="I759" s="305"/>
      <c r="J759" s="305"/>
      <c r="K759" s="305"/>
      <c r="L759" s="305"/>
      <c r="M759" s="305"/>
      <c r="N759" s="305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</row>
    <row r="760" spans="1:24" ht="15.75" customHeight="1">
      <c r="A760" s="305"/>
      <c r="B760" s="305"/>
      <c r="C760" s="305"/>
      <c r="D760" s="305"/>
      <c r="E760" s="305"/>
      <c r="F760" s="305"/>
      <c r="G760" s="305"/>
      <c r="H760" s="305"/>
      <c r="I760" s="305"/>
      <c r="J760" s="305"/>
      <c r="K760" s="305"/>
      <c r="L760" s="305"/>
      <c r="M760" s="305"/>
      <c r="N760" s="305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</row>
    <row r="761" spans="1:24" ht="15.75" customHeight="1">
      <c r="A761" s="305"/>
      <c r="B761" s="305"/>
      <c r="C761" s="305"/>
      <c r="D761" s="305"/>
      <c r="E761" s="305"/>
      <c r="F761" s="305"/>
      <c r="G761" s="305"/>
      <c r="H761" s="305"/>
      <c r="I761" s="305"/>
      <c r="J761" s="305"/>
      <c r="K761" s="305"/>
      <c r="L761" s="305"/>
      <c r="M761" s="305"/>
      <c r="N761" s="305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</row>
    <row r="762" spans="1:24" ht="15.75" customHeight="1">
      <c r="A762" s="305"/>
      <c r="B762" s="305"/>
      <c r="C762" s="305"/>
      <c r="D762" s="305"/>
      <c r="E762" s="305"/>
      <c r="F762" s="305"/>
      <c r="G762" s="305"/>
      <c r="H762" s="305"/>
      <c r="I762" s="305"/>
      <c r="J762" s="305"/>
      <c r="K762" s="305"/>
      <c r="L762" s="305"/>
      <c r="M762" s="305"/>
      <c r="N762" s="305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</row>
    <row r="763" spans="1:24" ht="15.75" customHeight="1">
      <c r="A763" s="305"/>
      <c r="B763" s="305"/>
      <c r="C763" s="305"/>
      <c r="D763" s="305"/>
      <c r="E763" s="305"/>
      <c r="F763" s="305"/>
      <c r="G763" s="305"/>
      <c r="H763" s="305"/>
      <c r="I763" s="305"/>
      <c r="J763" s="305"/>
      <c r="K763" s="305"/>
      <c r="L763" s="305"/>
      <c r="M763" s="305"/>
      <c r="N763" s="305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</row>
    <row r="764" spans="1:24" ht="15.75" customHeight="1">
      <c r="A764" s="305"/>
      <c r="B764" s="305"/>
      <c r="C764" s="305"/>
      <c r="D764" s="305"/>
      <c r="E764" s="305"/>
      <c r="F764" s="305"/>
      <c r="G764" s="305"/>
      <c r="H764" s="305"/>
      <c r="I764" s="305"/>
      <c r="J764" s="305"/>
      <c r="K764" s="305"/>
      <c r="L764" s="305"/>
      <c r="M764" s="305"/>
      <c r="N764" s="305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</row>
    <row r="765" spans="1:24" ht="15.75" customHeight="1">
      <c r="A765" s="305"/>
      <c r="B765" s="305"/>
      <c r="C765" s="305"/>
      <c r="D765" s="305"/>
      <c r="E765" s="305"/>
      <c r="F765" s="305"/>
      <c r="G765" s="305"/>
      <c r="H765" s="305"/>
      <c r="I765" s="305"/>
      <c r="J765" s="305"/>
      <c r="K765" s="305"/>
      <c r="L765" s="305"/>
      <c r="M765" s="305"/>
      <c r="N765" s="305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</row>
    <row r="766" spans="1:24" ht="15.75" customHeight="1">
      <c r="A766" s="305"/>
      <c r="B766" s="305"/>
      <c r="C766" s="305"/>
      <c r="D766" s="305"/>
      <c r="E766" s="305"/>
      <c r="F766" s="305"/>
      <c r="G766" s="305"/>
      <c r="H766" s="305"/>
      <c r="I766" s="305"/>
      <c r="J766" s="305"/>
      <c r="K766" s="305"/>
      <c r="L766" s="305"/>
      <c r="M766" s="305"/>
      <c r="N766" s="305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</row>
    <row r="767" spans="1:24" ht="15.75" customHeight="1">
      <c r="A767" s="305"/>
      <c r="B767" s="305"/>
      <c r="C767" s="305"/>
      <c r="D767" s="305"/>
      <c r="E767" s="305"/>
      <c r="F767" s="305"/>
      <c r="G767" s="305"/>
      <c r="H767" s="305"/>
      <c r="I767" s="305"/>
      <c r="J767" s="305"/>
      <c r="K767" s="305"/>
      <c r="L767" s="305"/>
      <c r="M767" s="305"/>
      <c r="N767" s="305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</row>
    <row r="768" spans="1:24" ht="15.75" customHeight="1">
      <c r="A768" s="305"/>
      <c r="B768" s="305"/>
      <c r="C768" s="305"/>
      <c r="D768" s="305"/>
      <c r="E768" s="305"/>
      <c r="F768" s="305"/>
      <c r="G768" s="305"/>
      <c r="H768" s="305"/>
      <c r="I768" s="305"/>
      <c r="J768" s="305"/>
      <c r="K768" s="305"/>
      <c r="L768" s="305"/>
      <c r="M768" s="305"/>
      <c r="N768" s="305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</row>
    <row r="769" spans="1:24" ht="15.75" customHeight="1">
      <c r="A769" s="305"/>
      <c r="B769" s="305"/>
      <c r="C769" s="305"/>
      <c r="D769" s="305"/>
      <c r="E769" s="305"/>
      <c r="F769" s="305"/>
      <c r="G769" s="305"/>
      <c r="H769" s="305"/>
      <c r="I769" s="305"/>
      <c r="J769" s="305"/>
      <c r="K769" s="305"/>
      <c r="L769" s="305"/>
      <c r="M769" s="305"/>
      <c r="N769" s="305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</row>
    <row r="770" spans="1:24" ht="15.75" customHeight="1">
      <c r="A770" s="305"/>
      <c r="B770" s="305"/>
      <c r="C770" s="305"/>
      <c r="D770" s="305"/>
      <c r="E770" s="305"/>
      <c r="F770" s="305"/>
      <c r="G770" s="305"/>
      <c r="H770" s="305"/>
      <c r="I770" s="305"/>
      <c r="J770" s="305"/>
      <c r="K770" s="305"/>
      <c r="L770" s="305"/>
      <c r="M770" s="305"/>
      <c r="N770" s="305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</row>
    <row r="771" spans="1:24" ht="15.75" customHeight="1">
      <c r="A771" s="305"/>
      <c r="B771" s="305"/>
      <c r="C771" s="305"/>
      <c r="D771" s="305"/>
      <c r="E771" s="305"/>
      <c r="F771" s="305"/>
      <c r="G771" s="305"/>
      <c r="H771" s="305"/>
      <c r="I771" s="305"/>
      <c r="J771" s="305"/>
      <c r="K771" s="305"/>
      <c r="L771" s="305"/>
      <c r="M771" s="305"/>
      <c r="N771" s="305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</row>
    <row r="772" spans="1:24" ht="15.75" customHeight="1">
      <c r="A772" s="305"/>
      <c r="B772" s="305"/>
      <c r="C772" s="305"/>
      <c r="D772" s="305"/>
      <c r="E772" s="305"/>
      <c r="F772" s="305"/>
      <c r="G772" s="305"/>
      <c r="H772" s="305"/>
      <c r="I772" s="305"/>
      <c r="J772" s="305"/>
      <c r="K772" s="305"/>
      <c r="L772" s="305"/>
      <c r="M772" s="305"/>
      <c r="N772" s="305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</row>
    <row r="773" spans="1:24" ht="15.75" customHeight="1">
      <c r="A773" s="305"/>
      <c r="B773" s="305"/>
      <c r="C773" s="305"/>
      <c r="D773" s="305"/>
      <c r="E773" s="305"/>
      <c r="F773" s="305"/>
      <c r="G773" s="305"/>
      <c r="H773" s="305"/>
      <c r="I773" s="305"/>
      <c r="J773" s="305"/>
      <c r="K773" s="305"/>
      <c r="L773" s="305"/>
      <c r="M773" s="305"/>
      <c r="N773" s="305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</row>
    <row r="774" spans="1:24" ht="15.75" customHeight="1">
      <c r="A774" s="305"/>
      <c r="B774" s="305"/>
      <c r="C774" s="305"/>
      <c r="D774" s="305"/>
      <c r="E774" s="305"/>
      <c r="F774" s="305"/>
      <c r="G774" s="305"/>
      <c r="H774" s="305"/>
      <c r="I774" s="305"/>
      <c r="J774" s="305"/>
      <c r="K774" s="305"/>
      <c r="L774" s="305"/>
      <c r="M774" s="305"/>
      <c r="N774" s="305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</row>
    <row r="775" spans="1:24" ht="15.75" customHeight="1">
      <c r="A775" s="305"/>
      <c r="B775" s="305"/>
      <c r="C775" s="305"/>
      <c r="D775" s="305"/>
      <c r="E775" s="305"/>
      <c r="F775" s="305"/>
      <c r="G775" s="305"/>
      <c r="H775" s="305"/>
      <c r="I775" s="305"/>
      <c r="J775" s="305"/>
      <c r="K775" s="305"/>
      <c r="L775" s="305"/>
      <c r="M775" s="305"/>
      <c r="N775" s="305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</row>
    <row r="776" spans="1:24" ht="15.75" customHeight="1">
      <c r="A776" s="305"/>
      <c r="B776" s="305"/>
      <c r="C776" s="305"/>
      <c r="D776" s="305"/>
      <c r="E776" s="305"/>
      <c r="F776" s="305"/>
      <c r="G776" s="305"/>
      <c r="H776" s="305"/>
      <c r="I776" s="305"/>
      <c r="J776" s="305"/>
      <c r="K776" s="305"/>
      <c r="L776" s="305"/>
      <c r="M776" s="305"/>
      <c r="N776" s="305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</row>
    <row r="777" spans="1:24" ht="15.75" customHeight="1">
      <c r="A777" s="305"/>
      <c r="B777" s="305"/>
      <c r="C777" s="305"/>
      <c r="D777" s="305"/>
      <c r="E777" s="305"/>
      <c r="F777" s="305"/>
      <c r="G777" s="305"/>
      <c r="H777" s="305"/>
      <c r="I777" s="305"/>
      <c r="J777" s="305"/>
      <c r="K777" s="305"/>
      <c r="L777" s="305"/>
      <c r="M777" s="305"/>
      <c r="N777" s="305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</row>
    <row r="778" spans="1:24" ht="15.75" customHeight="1">
      <c r="A778" s="305"/>
      <c r="B778" s="305"/>
      <c r="C778" s="305"/>
      <c r="D778" s="305"/>
      <c r="E778" s="305"/>
      <c r="F778" s="305"/>
      <c r="G778" s="305"/>
      <c r="H778" s="305"/>
      <c r="I778" s="305"/>
      <c r="J778" s="305"/>
      <c r="K778" s="305"/>
      <c r="L778" s="305"/>
      <c r="M778" s="305"/>
      <c r="N778" s="305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</row>
    <row r="779" spans="1:24" ht="15.75" customHeight="1">
      <c r="A779" s="305"/>
      <c r="B779" s="305"/>
      <c r="C779" s="305"/>
      <c r="D779" s="305"/>
      <c r="E779" s="305"/>
      <c r="F779" s="305"/>
      <c r="G779" s="305"/>
      <c r="H779" s="305"/>
      <c r="I779" s="305"/>
      <c r="J779" s="305"/>
      <c r="K779" s="305"/>
      <c r="L779" s="305"/>
      <c r="M779" s="305"/>
      <c r="N779" s="305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</row>
    <row r="780" spans="1:24" ht="15.75" customHeight="1">
      <c r="A780" s="305"/>
      <c r="B780" s="305"/>
      <c r="C780" s="305"/>
      <c r="D780" s="305"/>
      <c r="E780" s="305"/>
      <c r="F780" s="305"/>
      <c r="G780" s="305"/>
      <c r="H780" s="305"/>
      <c r="I780" s="305"/>
      <c r="J780" s="305"/>
      <c r="K780" s="305"/>
      <c r="L780" s="305"/>
      <c r="M780" s="305"/>
      <c r="N780" s="305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</row>
    <row r="781" spans="1:24" ht="15.75" customHeight="1">
      <c r="A781" s="305"/>
      <c r="B781" s="305"/>
      <c r="C781" s="305"/>
      <c r="D781" s="305"/>
      <c r="E781" s="305"/>
      <c r="F781" s="305"/>
      <c r="G781" s="305"/>
      <c r="H781" s="305"/>
      <c r="I781" s="305"/>
      <c r="J781" s="305"/>
      <c r="K781" s="305"/>
      <c r="L781" s="305"/>
      <c r="M781" s="305"/>
      <c r="N781" s="305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</row>
    <row r="782" spans="1:24" ht="15.75" customHeight="1">
      <c r="A782" s="305"/>
      <c r="B782" s="305"/>
      <c r="C782" s="305"/>
      <c r="D782" s="305"/>
      <c r="E782" s="305"/>
      <c r="F782" s="305"/>
      <c r="G782" s="305"/>
      <c r="H782" s="305"/>
      <c r="I782" s="305"/>
      <c r="J782" s="305"/>
      <c r="K782" s="305"/>
      <c r="L782" s="305"/>
      <c r="M782" s="305"/>
      <c r="N782" s="305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</row>
    <row r="783" spans="1:24" ht="15.75" customHeight="1">
      <c r="A783" s="305"/>
      <c r="B783" s="305"/>
      <c r="C783" s="305"/>
      <c r="D783" s="305"/>
      <c r="E783" s="305"/>
      <c r="F783" s="305"/>
      <c r="G783" s="305"/>
      <c r="H783" s="305"/>
      <c r="I783" s="305"/>
      <c r="J783" s="305"/>
      <c r="K783" s="305"/>
      <c r="L783" s="305"/>
      <c r="M783" s="305"/>
      <c r="N783" s="305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</row>
    <row r="784" spans="1:24" ht="15.75" customHeight="1">
      <c r="A784" s="305"/>
      <c r="B784" s="305"/>
      <c r="C784" s="305"/>
      <c r="D784" s="305"/>
      <c r="E784" s="305"/>
      <c r="F784" s="305"/>
      <c r="G784" s="305"/>
      <c r="H784" s="305"/>
      <c r="I784" s="305"/>
      <c r="J784" s="305"/>
      <c r="K784" s="305"/>
      <c r="L784" s="305"/>
      <c r="M784" s="305"/>
      <c r="N784" s="305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</row>
    <row r="785" spans="1:24" ht="15.75" customHeight="1">
      <c r="A785" s="305"/>
      <c r="B785" s="305"/>
      <c r="C785" s="305"/>
      <c r="D785" s="305"/>
      <c r="E785" s="305"/>
      <c r="F785" s="305"/>
      <c r="G785" s="305"/>
      <c r="H785" s="305"/>
      <c r="I785" s="305"/>
      <c r="J785" s="305"/>
      <c r="K785" s="305"/>
      <c r="L785" s="305"/>
      <c r="M785" s="305"/>
      <c r="N785" s="305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</row>
    <row r="786" spans="1:24" ht="15.75" customHeight="1">
      <c r="A786" s="305"/>
      <c r="B786" s="305"/>
      <c r="C786" s="305"/>
      <c r="D786" s="305"/>
      <c r="E786" s="305"/>
      <c r="F786" s="305"/>
      <c r="G786" s="305"/>
      <c r="H786" s="305"/>
      <c r="I786" s="305"/>
      <c r="J786" s="305"/>
      <c r="K786" s="305"/>
      <c r="L786" s="305"/>
      <c r="M786" s="305"/>
      <c r="N786" s="305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</row>
    <row r="787" spans="1:24" ht="15.75" customHeight="1">
      <c r="A787" s="305"/>
      <c r="B787" s="305"/>
      <c r="C787" s="305"/>
      <c r="D787" s="305"/>
      <c r="E787" s="305"/>
      <c r="F787" s="305"/>
      <c r="G787" s="305"/>
      <c r="H787" s="305"/>
      <c r="I787" s="305"/>
      <c r="J787" s="305"/>
      <c r="K787" s="305"/>
      <c r="L787" s="305"/>
      <c r="M787" s="305"/>
      <c r="N787" s="305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</row>
    <row r="788" spans="1:24" ht="15.75" customHeight="1">
      <c r="A788" s="305"/>
      <c r="B788" s="305"/>
      <c r="C788" s="305"/>
      <c r="D788" s="305"/>
      <c r="E788" s="305"/>
      <c r="F788" s="305"/>
      <c r="G788" s="305"/>
      <c r="H788" s="305"/>
      <c r="I788" s="305"/>
      <c r="J788" s="305"/>
      <c r="K788" s="305"/>
      <c r="L788" s="305"/>
      <c r="M788" s="305"/>
      <c r="N788" s="305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</row>
    <row r="789" spans="1:24" ht="15.75" customHeight="1">
      <c r="A789" s="305"/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</row>
    <row r="790" spans="1:24" ht="15.75" customHeight="1">
      <c r="A790" s="305"/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</row>
    <row r="791" spans="1:24" ht="15.75" customHeight="1">
      <c r="A791" s="305"/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</row>
    <row r="792" spans="1:24" ht="15.75" customHeight="1">
      <c r="A792" s="305"/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</row>
    <row r="793" spans="1:24" ht="15.75" customHeight="1">
      <c r="A793" s="305"/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</row>
    <row r="794" spans="1:24" ht="15.75" customHeight="1">
      <c r="A794" s="305"/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</row>
    <row r="795" spans="1:24" ht="15.75" customHeight="1">
      <c r="A795" s="305"/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</row>
    <row r="796" spans="1:24" ht="15.75" customHeight="1">
      <c r="A796" s="305"/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</row>
    <row r="797" spans="1:24" ht="15.75" customHeight="1">
      <c r="A797" s="305"/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</row>
    <row r="798" spans="1:24" ht="15.75" customHeight="1">
      <c r="A798" s="305"/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</row>
    <row r="799" spans="1:24" ht="15.75" customHeight="1">
      <c r="A799" s="305"/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</row>
    <row r="800" spans="1:24" ht="15.75" customHeight="1">
      <c r="A800" s="305"/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</row>
    <row r="801" spans="1:24" ht="15.75" customHeight="1">
      <c r="A801" s="305"/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</row>
    <row r="802" spans="1:24" ht="15.75" customHeight="1">
      <c r="A802" s="305"/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</row>
    <row r="803" spans="1:24" ht="15.75" customHeight="1">
      <c r="A803" s="305"/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</row>
    <row r="804" spans="1:24" ht="15.75" customHeight="1">
      <c r="A804" s="305"/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</row>
    <row r="805" spans="1:24" ht="15.75" customHeight="1">
      <c r="A805" s="305"/>
      <c r="B805" s="305"/>
      <c r="C805" s="305"/>
      <c r="D805" s="305"/>
      <c r="E805" s="305"/>
      <c r="F805" s="305"/>
      <c r="G805" s="305"/>
      <c r="H805" s="305"/>
      <c r="I805" s="305"/>
      <c r="J805" s="305"/>
      <c r="K805" s="305"/>
      <c r="L805" s="305"/>
      <c r="M805" s="305"/>
      <c r="N805" s="305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</row>
    <row r="806" spans="1:24" ht="15.75" customHeight="1">
      <c r="A806" s="305"/>
      <c r="B806" s="305"/>
      <c r="C806" s="305"/>
      <c r="D806" s="305"/>
      <c r="E806" s="305"/>
      <c r="F806" s="305"/>
      <c r="G806" s="305"/>
      <c r="H806" s="305"/>
      <c r="I806" s="305"/>
      <c r="J806" s="305"/>
      <c r="K806" s="305"/>
      <c r="L806" s="305"/>
      <c r="M806" s="305"/>
      <c r="N806" s="305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</row>
    <row r="807" spans="1:24" ht="15.75" customHeight="1">
      <c r="A807" s="305"/>
      <c r="B807" s="305"/>
      <c r="C807" s="305"/>
      <c r="D807" s="305"/>
      <c r="E807" s="305"/>
      <c r="F807" s="305"/>
      <c r="G807" s="305"/>
      <c r="H807" s="305"/>
      <c r="I807" s="305"/>
      <c r="J807" s="305"/>
      <c r="K807" s="305"/>
      <c r="L807" s="305"/>
      <c r="M807" s="305"/>
      <c r="N807" s="305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</row>
    <row r="808" spans="1:24" ht="15.75" customHeight="1">
      <c r="A808" s="305"/>
      <c r="B808" s="305"/>
      <c r="C808" s="305"/>
      <c r="D808" s="305"/>
      <c r="E808" s="305"/>
      <c r="F808" s="305"/>
      <c r="G808" s="305"/>
      <c r="H808" s="305"/>
      <c r="I808" s="305"/>
      <c r="J808" s="305"/>
      <c r="K808" s="305"/>
      <c r="L808" s="305"/>
      <c r="M808" s="305"/>
      <c r="N808" s="305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</row>
    <row r="809" spans="1:24" ht="15.75" customHeight="1">
      <c r="A809" s="305"/>
      <c r="B809" s="305"/>
      <c r="C809" s="305"/>
      <c r="D809" s="305"/>
      <c r="E809" s="305"/>
      <c r="F809" s="305"/>
      <c r="G809" s="305"/>
      <c r="H809" s="305"/>
      <c r="I809" s="305"/>
      <c r="J809" s="305"/>
      <c r="K809" s="305"/>
      <c r="L809" s="305"/>
      <c r="M809" s="305"/>
      <c r="N809" s="305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</row>
    <row r="810" spans="1:24" ht="15.75" customHeight="1">
      <c r="A810" s="305"/>
      <c r="B810" s="305"/>
      <c r="C810" s="305"/>
      <c r="D810" s="305"/>
      <c r="E810" s="305"/>
      <c r="F810" s="305"/>
      <c r="G810" s="305"/>
      <c r="H810" s="305"/>
      <c r="I810" s="305"/>
      <c r="J810" s="305"/>
      <c r="K810" s="305"/>
      <c r="L810" s="305"/>
      <c r="M810" s="305"/>
      <c r="N810" s="305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</row>
    <row r="811" spans="1:24" ht="15.75" customHeight="1">
      <c r="A811" s="305"/>
      <c r="B811" s="305"/>
      <c r="C811" s="305"/>
      <c r="D811" s="305"/>
      <c r="E811" s="305"/>
      <c r="F811" s="305"/>
      <c r="G811" s="305"/>
      <c r="H811" s="305"/>
      <c r="I811" s="305"/>
      <c r="J811" s="305"/>
      <c r="K811" s="305"/>
      <c r="L811" s="305"/>
      <c r="M811" s="305"/>
      <c r="N811" s="305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</row>
    <row r="812" spans="1:24" ht="15.75" customHeight="1">
      <c r="A812" s="305"/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</row>
    <row r="813" spans="1:24" ht="15.75" customHeight="1">
      <c r="A813" s="305"/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</row>
    <row r="814" spans="1:24" ht="15.75" customHeight="1">
      <c r="A814" s="305"/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</row>
    <row r="815" spans="1:24" ht="15.75" customHeight="1">
      <c r="A815" s="305"/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</row>
    <row r="816" spans="1:24" ht="15.75" customHeight="1">
      <c r="A816" s="305"/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</row>
    <row r="817" spans="1:24" ht="15.75" customHeight="1">
      <c r="A817" s="305"/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</row>
    <row r="818" spans="1:24" ht="15.75" customHeight="1">
      <c r="A818" s="305"/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</row>
    <row r="819" spans="1:24" ht="15.75" customHeight="1">
      <c r="A819" s="305"/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</row>
    <row r="820" spans="1:24" ht="15.75" customHeight="1">
      <c r="A820" s="305"/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</row>
    <row r="821" spans="1:24" ht="15.75" customHeight="1">
      <c r="A821" s="305"/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</row>
    <row r="822" spans="1:24" ht="15.75" customHeight="1">
      <c r="A822" s="305"/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</row>
    <row r="823" spans="1:24" ht="15.75" customHeight="1">
      <c r="A823" s="305"/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</row>
    <row r="824" spans="1:24" ht="15.75" customHeight="1">
      <c r="A824" s="305"/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</row>
    <row r="825" spans="1:24" ht="15.75" customHeight="1">
      <c r="A825" s="305"/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</row>
    <row r="826" spans="1:24" ht="15.75" customHeight="1">
      <c r="A826" s="305"/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</row>
    <row r="827" spans="1:24" ht="15.75" customHeight="1">
      <c r="A827" s="305"/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</row>
    <row r="828" spans="1:24" ht="15.75" customHeight="1">
      <c r="A828" s="305"/>
      <c r="B828" s="305"/>
      <c r="C828" s="305"/>
      <c r="D828" s="305"/>
      <c r="E828" s="305"/>
      <c r="F828" s="305"/>
      <c r="G828" s="305"/>
      <c r="H828" s="305"/>
      <c r="I828" s="305"/>
      <c r="J828" s="305"/>
      <c r="K828" s="305"/>
      <c r="L828" s="305"/>
      <c r="M828" s="305"/>
      <c r="N828" s="305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</row>
    <row r="829" spans="1:24" ht="15.75" customHeight="1">
      <c r="A829" s="305"/>
      <c r="B829" s="305"/>
      <c r="C829" s="305"/>
      <c r="D829" s="305"/>
      <c r="E829" s="305"/>
      <c r="F829" s="305"/>
      <c r="G829" s="305"/>
      <c r="H829" s="305"/>
      <c r="I829" s="305"/>
      <c r="J829" s="305"/>
      <c r="K829" s="305"/>
      <c r="L829" s="305"/>
      <c r="M829" s="305"/>
      <c r="N829" s="305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</row>
    <row r="830" spans="1:24" ht="15.75" customHeight="1">
      <c r="A830" s="305"/>
      <c r="B830" s="305"/>
      <c r="C830" s="305"/>
      <c r="D830" s="305"/>
      <c r="E830" s="305"/>
      <c r="F830" s="305"/>
      <c r="G830" s="305"/>
      <c r="H830" s="305"/>
      <c r="I830" s="305"/>
      <c r="J830" s="305"/>
      <c r="K830" s="305"/>
      <c r="L830" s="305"/>
      <c r="M830" s="305"/>
      <c r="N830" s="305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</row>
    <row r="831" spans="1:24" ht="15.75" customHeight="1">
      <c r="A831" s="305"/>
      <c r="B831" s="305"/>
      <c r="C831" s="305"/>
      <c r="D831" s="305"/>
      <c r="E831" s="305"/>
      <c r="F831" s="305"/>
      <c r="G831" s="305"/>
      <c r="H831" s="305"/>
      <c r="I831" s="305"/>
      <c r="J831" s="305"/>
      <c r="K831" s="305"/>
      <c r="L831" s="305"/>
      <c r="M831" s="305"/>
      <c r="N831" s="305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</row>
    <row r="832" spans="1:24" ht="15.75" customHeight="1">
      <c r="A832" s="305"/>
      <c r="B832" s="305"/>
      <c r="C832" s="305"/>
      <c r="D832" s="305"/>
      <c r="E832" s="305"/>
      <c r="F832" s="305"/>
      <c r="G832" s="305"/>
      <c r="H832" s="305"/>
      <c r="I832" s="305"/>
      <c r="J832" s="305"/>
      <c r="K832" s="305"/>
      <c r="L832" s="305"/>
      <c r="M832" s="305"/>
      <c r="N832" s="305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</row>
    <row r="833" spans="1:24" ht="15.75" customHeight="1">
      <c r="A833" s="305"/>
      <c r="B833" s="305"/>
      <c r="C833" s="305"/>
      <c r="D833" s="305"/>
      <c r="E833" s="305"/>
      <c r="F833" s="305"/>
      <c r="G833" s="305"/>
      <c r="H833" s="305"/>
      <c r="I833" s="305"/>
      <c r="J833" s="305"/>
      <c r="K833" s="305"/>
      <c r="L833" s="305"/>
      <c r="M833" s="305"/>
      <c r="N833" s="305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</row>
    <row r="834" spans="1:24" ht="15.75" customHeight="1">
      <c r="A834" s="305"/>
      <c r="B834" s="305"/>
      <c r="C834" s="305"/>
      <c r="D834" s="305"/>
      <c r="E834" s="305"/>
      <c r="F834" s="305"/>
      <c r="G834" s="305"/>
      <c r="H834" s="305"/>
      <c r="I834" s="305"/>
      <c r="J834" s="305"/>
      <c r="K834" s="305"/>
      <c r="L834" s="305"/>
      <c r="M834" s="305"/>
      <c r="N834" s="305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</row>
    <row r="835" spans="1:24" ht="15.75" customHeight="1">
      <c r="A835" s="305"/>
      <c r="B835" s="305"/>
      <c r="C835" s="305"/>
      <c r="D835" s="305"/>
      <c r="E835" s="305"/>
      <c r="F835" s="305"/>
      <c r="G835" s="305"/>
      <c r="H835" s="305"/>
      <c r="I835" s="305"/>
      <c r="J835" s="305"/>
      <c r="K835" s="305"/>
      <c r="L835" s="305"/>
      <c r="M835" s="305"/>
      <c r="N835" s="305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</row>
    <row r="836" spans="1:24" ht="15.75" customHeight="1">
      <c r="A836" s="305"/>
      <c r="B836" s="305"/>
      <c r="C836" s="305"/>
      <c r="D836" s="305"/>
      <c r="E836" s="305"/>
      <c r="F836" s="305"/>
      <c r="G836" s="305"/>
      <c r="H836" s="305"/>
      <c r="I836" s="305"/>
      <c r="J836" s="305"/>
      <c r="K836" s="305"/>
      <c r="L836" s="305"/>
      <c r="M836" s="305"/>
      <c r="N836" s="305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</row>
    <row r="837" spans="1:24" ht="15.75" customHeight="1">
      <c r="A837" s="305"/>
      <c r="B837" s="305"/>
      <c r="C837" s="305"/>
      <c r="D837" s="305"/>
      <c r="E837" s="305"/>
      <c r="F837" s="305"/>
      <c r="G837" s="305"/>
      <c r="H837" s="305"/>
      <c r="I837" s="305"/>
      <c r="J837" s="305"/>
      <c r="K837" s="305"/>
      <c r="L837" s="305"/>
      <c r="M837" s="305"/>
      <c r="N837" s="305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</row>
    <row r="838" spans="1:24" ht="15.75" customHeight="1">
      <c r="A838" s="305"/>
      <c r="B838" s="305"/>
      <c r="C838" s="305"/>
      <c r="D838" s="305"/>
      <c r="E838" s="305"/>
      <c r="F838" s="305"/>
      <c r="G838" s="305"/>
      <c r="H838" s="305"/>
      <c r="I838" s="305"/>
      <c r="J838" s="305"/>
      <c r="K838" s="305"/>
      <c r="L838" s="305"/>
      <c r="M838" s="305"/>
      <c r="N838" s="305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</row>
    <row r="839" spans="1:24" ht="15.75" customHeight="1">
      <c r="A839" s="305"/>
      <c r="B839" s="305"/>
      <c r="C839" s="305"/>
      <c r="D839" s="305"/>
      <c r="E839" s="305"/>
      <c r="F839" s="305"/>
      <c r="G839" s="305"/>
      <c r="H839" s="305"/>
      <c r="I839" s="305"/>
      <c r="J839" s="305"/>
      <c r="K839" s="305"/>
      <c r="L839" s="305"/>
      <c r="M839" s="305"/>
      <c r="N839" s="305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</row>
    <row r="840" spans="1:24" ht="15.75" customHeight="1">
      <c r="A840" s="305"/>
      <c r="B840" s="305"/>
      <c r="C840" s="305"/>
      <c r="D840" s="305"/>
      <c r="E840" s="305"/>
      <c r="F840" s="305"/>
      <c r="G840" s="305"/>
      <c r="H840" s="305"/>
      <c r="I840" s="305"/>
      <c r="J840" s="305"/>
      <c r="K840" s="305"/>
      <c r="L840" s="305"/>
      <c r="M840" s="305"/>
      <c r="N840" s="305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</row>
    <row r="841" spans="1:24" ht="15.75" customHeight="1">
      <c r="A841" s="305"/>
      <c r="B841" s="305"/>
      <c r="C841" s="305"/>
      <c r="D841" s="305"/>
      <c r="E841" s="305"/>
      <c r="F841" s="305"/>
      <c r="G841" s="305"/>
      <c r="H841" s="305"/>
      <c r="I841" s="305"/>
      <c r="J841" s="305"/>
      <c r="K841" s="305"/>
      <c r="L841" s="305"/>
      <c r="M841" s="305"/>
      <c r="N841" s="305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</row>
    <row r="842" spans="1:24" ht="15.75" customHeight="1">
      <c r="A842" s="305"/>
      <c r="B842" s="305"/>
      <c r="C842" s="305"/>
      <c r="D842" s="305"/>
      <c r="E842" s="305"/>
      <c r="F842" s="305"/>
      <c r="G842" s="305"/>
      <c r="H842" s="305"/>
      <c r="I842" s="305"/>
      <c r="J842" s="305"/>
      <c r="K842" s="305"/>
      <c r="L842" s="305"/>
      <c r="M842" s="305"/>
      <c r="N842" s="305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</row>
    <row r="843" spans="1:24" ht="15.75" customHeight="1">
      <c r="A843" s="305"/>
      <c r="B843" s="305"/>
      <c r="C843" s="305"/>
      <c r="D843" s="305"/>
      <c r="E843" s="305"/>
      <c r="F843" s="305"/>
      <c r="G843" s="305"/>
      <c r="H843" s="305"/>
      <c r="I843" s="305"/>
      <c r="J843" s="305"/>
      <c r="K843" s="305"/>
      <c r="L843" s="305"/>
      <c r="M843" s="305"/>
      <c r="N843" s="305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</row>
    <row r="844" spans="1:24" ht="15.75" customHeight="1">
      <c r="A844" s="305"/>
      <c r="B844" s="305"/>
      <c r="C844" s="305"/>
      <c r="D844" s="305"/>
      <c r="E844" s="305"/>
      <c r="F844" s="305"/>
      <c r="G844" s="305"/>
      <c r="H844" s="305"/>
      <c r="I844" s="305"/>
      <c r="J844" s="305"/>
      <c r="K844" s="305"/>
      <c r="L844" s="305"/>
      <c r="M844" s="305"/>
      <c r="N844" s="305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</row>
    <row r="845" spans="1:24" ht="15.75" customHeight="1">
      <c r="A845" s="305"/>
      <c r="B845" s="305"/>
      <c r="C845" s="305"/>
      <c r="D845" s="305"/>
      <c r="E845" s="305"/>
      <c r="F845" s="305"/>
      <c r="G845" s="305"/>
      <c r="H845" s="305"/>
      <c r="I845" s="305"/>
      <c r="J845" s="305"/>
      <c r="K845" s="305"/>
      <c r="L845" s="305"/>
      <c r="M845" s="305"/>
      <c r="N845" s="305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</row>
    <row r="846" spans="1:24" ht="15.75" customHeight="1">
      <c r="A846" s="305"/>
      <c r="B846" s="305"/>
      <c r="C846" s="305"/>
      <c r="D846" s="305"/>
      <c r="E846" s="305"/>
      <c r="F846" s="305"/>
      <c r="G846" s="305"/>
      <c r="H846" s="305"/>
      <c r="I846" s="305"/>
      <c r="J846" s="305"/>
      <c r="K846" s="305"/>
      <c r="L846" s="305"/>
      <c r="M846" s="305"/>
      <c r="N846" s="305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</row>
    <row r="847" spans="1:24" ht="15.75" customHeight="1">
      <c r="A847" s="305"/>
      <c r="B847" s="305"/>
      <c r="C847" s="305"/>
      <c r="D847" s="305"/>
      <c r="E847" s="305"/>
      <c r="F847" s="305"/>
      <c r="G847" s="305"/>
      <c r="H847" s="305"/>
      <c r="I847" s="305"/>
      <c r="J847" s="305"/>
      <c r="K847" s="305"/>
      <c r="L847" s="305"/>
      <c r="M847" s="305"/>
      <c r="N847" s="305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</row>
    <row r="848" spans="1:24" ht="15.75" customHeight="1">
      <c r="A848" s="305"/>
      <c r="B848" s="305"/>
      <c r="C848" s="305"/>
      <c r="D848" s="305"/>
      <c r="E848" s="305"/>
      <c r="F848" s="305"/>
      <c r="G848" s="305"/>
      <c r="H848" s="305"/>
      <c r="I848" s="305"/>
      <c r="J848" s="305"/>
      <c r="K848" s="305"/>
      <c r="L848" s="305"/>
      <c r="M848" s="305"/>
      <c r="N848" s="305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</row>
    <row r="849" spans="1:24" ht="15.75" customHeight="1">
      <c r="A849" s="305"/>
      <c r="B849" s="305"/>
      <c r="C849" s="305"/>
      <c r="D849" s="305"/>
      <c r="E849" s="305"/>
      <c r="F849" s="305"/>
      <c r="G849" s="305"/>
      <c r="H849" s="305"/>
      <c r="I849" s="305"/>
      <c r="J849" s="305"/>
      <c r="K849" s="305"/>
      <c r="L849" s="305"/>
      <c r="M849" s="305"/>
      <c r="N849" s="305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</row>
    <row r="850" spans="1:24" ht="15.75" customHeight="1">
      <c r="A850" s="305"/>
      <c r="B850" s="305"/>
      <c r="C850" s="305"/>
      <c r="D850" s="305"/>
      <c r="E850" s="305"/>
      <c r="F850" s="305"/>
      <c r="G850" s="305"/>
      <c r="H850" s="305"/>
      <c r="I850" s="305"/>
      <c r="J850" s="305"/>
      <c r="K850" s="305"/>
      <c r="L850" s="305"/>
      <c r="M850" s="305"/>
      <c r="N850" s="305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</row>
    <row r="851" spans="1:24" ht="15.75" customHeight="1">
      <c r="A851" s="305"/>
      <c r="B851" s="305"/>
      <c r="C851" s="305"/>
      <c r="D851" s="305"/>
      <c r="E851" s="305"/>
      <c r="F851" s="305"/>
      <c r="G851" s="305"/>
      <c r="H851" s="305"/>
      <c r="I851" s="305"/>
      <c r="J851" s="305"/>
      <c r="K851" s="305"/>
      <c r="L851" s="305"/>
      <c r="M851" s="305"/>
      <c r="N851" s="305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</row>
    <row r="852" spans="1:24" ht="15.75" customHeight="1">
      <c r="A852" s="305"/>
      <c r="B852" s="305"/>
      <c r="C852" s="305"/>
      <c r="D852" s="305"/>
      <c r="E852" s="305"/>
      <c r="F852" s="305"/>
      <c r="G852" s="305"/>
      <c r="H852" s="305"/>
      <c r="I852" s="305"/>
      <c r="J852" s="305"/>
      <c r="K852" s="305"/>
      <c r="L852" s="305"/>
      <c r="M852" s="305"/>
      <c r="N852" s="305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</row>
    <row r="853" spans="1:24" ht="15.75" customHeight="1">
      <c r="A853" s="305"/>
      <c r="B853" s="305"/>
      <c r="C853" s="305"/>
      <c r="D853" s="305"/>
      <c r="E853" s="305"/>
      <c r="F853" s="305"/>
      <c r="G853" s="305"/>
      <c r="H853" s="305"/>
      <c r="I853" s="305"/>
      <c r="J853" s="305"/>
      <c r="K853" s="305"/>
      <c r="L853" s="305"/>
      <c r="M853" s="305"/>
      <c r="N853" s="305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</row>
    <row r="854" spans="1:24" ht="15.75" customHeight="1">
      <c r="A854" s="305"/>
      <c r="B854" s="305"/>
      <c r="C854" s="305"/>
      <c r="D854" s="305"/>
      <c r="E854" s="305"/>
      <c r="F854" s="305"/>
      <c r="G854" s="305"/>
      <c r="H854" s="305"/>
      <c r="I854" s="305"/>
      <c r="J854" s="305"/>
      <c r="K854" s="305"/>
      <c r="L854" s="305"/>
      <c r="M854" s="305"/>
      <c r="N854" s="305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</row>
    <row r="855" spans="1:24" ht="15.75" customHeight="1">
      <c r="A855" s="305"/>
      <c r="B855" s="305"/>
      <c r="C855" s="305"/>
      <c r="D855" s="305"/>
      <c r="E855" s="305"/>
      <c r="F855" s="305"/>
      <c r="G855" s="305"/>
      <c r="H855" s="305"/>
      <c r="I855" s="305"/>
      <c r="J855" s="305"/>
      <c r="K855" s="305"/>
      <c r="L855" s="305"/>
      <c r="M855" s="305"/>
      <c r="N855" s="305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</row>
    <row r="856" spans="1:24" ht="15.75" customHeight="1">
      <c r="A856" s="305"/>
      <c r="B856" s="305"/>
      <c r="C856" s="305"/>
      <c r="D856" s="305"/>
      <c r="E856" s="305"/>
      <c r="F856" s="305"/>
      <c r="G856" s="305"/>
      <c r="H856" s="305"/>
      <c r="I856" s="305"/>
      <c r="J856" s="305"/>
      <c r="K856" s="305"/>
      <c r="L856" s="305"/>
      <c r="M856" s="305"/>
      <c r="N856" s="305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</row>
    <row r="857" spans="1:24" ht="15.75" customHeight="1">
      <c r="A857" s="305"/>
      <c r="B857" s="305"/>
      <c r="C857" s="305"/>
      <c r="D857" s="305"/>
      <c r="E857" s="305"/>
      <c r="F857" s="305"/>
      <c r="G857" s="305"/>
      <c r="H857" s="305"/>
      <c r="I857" s="305"/>
      <c r="J857" s="305"/>
      <c r="K857" s="305"/>
      <c r="L857" s="305"/>
      <c r="M857" s="305"/>
      <c r="N857" s="305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</row>
    <row r="858" spans="1:24" ht="15.75" customHeight="1">
      <c r="A858" s="305"/>
      <c r="B858" s="305"/>
      <c r="C858" s="305"/>
      <c r="D858" s="305"/>
      <c r="E858" s="305"/>
      <c r="F858" s="305"/>
      <c r="G858" s="305"/>
      <c r="H858" s="305"/>
      <c r="I858" s="305"/>
      <c r="J858" s="305"/>
      <c r="K858" s="305"/>
      <c r="L858" s="305"/>
      <c r="M858" s="305"/>
      <c r="N858" s="305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</row>
    <row r="859" spans="1:24" ht="15.75" customHeight="1">
      <c r="A859" s="305"/>
      <c r="B859" s="305"/>
      <c r="C859" s="305"/>
      <c r="D859" s="305"/>
      <c r="E859" s="305"/>
      <c r="F859" s="305"/>
      <c r="G859" s="305"/>
      <c r="H859" s="305"/>
      <c r="I859" s="305"/>
      <c r="J859" s="305"/>
      <c r="K859" s="305"/>
      <c r="L859" s="305"/>
      <c r="M859" s="305"/>
      <c r="N859" s="305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</row>
    <row r="860" spans="1:24" ht="15.75" customHeight="1">
      <c r="A860" s="305"/>
      <c r="B860" s="305"/>
      <c r="C860" s="305"/>
      <c r="D860" s="305"/>
      <c r="E860" s="305"/>
      <c r="F860" s="305"/>
      <c r="G860" s="305"/>
      <c r="H860" s="305"/>
      <c r="I860" s="305"/>
      <c r="J860" s="305"/>
      <c r="K860" s="305"/>
      <c r="L860" s="305"/>
      <c r="M860" s="305"/>
      <c r="N860" s="305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</row>
    <row r="861" spans="1:24" ht="15.75" customHeight="1">
      <c r="A861" s="305"/>
      <c r="B861" s="305"/>
      <c r="C861" s="305"/>
      <c r="D861" s="305"/>
      <c r="E861" s="305"/>
      <c r="F861" s="305"/>
      <c r="G861" s="305"/>
      <c r="H861" s="305"/>
      <c r="I861" s="305"/>
      <c r="J861" s="305"/>
      <c r="K861" s="305"/>
      <c r="L861" s="305"/>
      <c r="M861" s="305"/>
      <c r="N861" s="305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</row>
    <row r="862" spans="1:24" ht="15.75" customHeight="1">
      <c r="A862" s="305"/>
      <c r="B862" s="305"/>
      <c r="C862" s="305"/>
      <c r="D862" s="305"/>
      <c r="E862" s="305"/>
      <c r="F862" s="305"/>
      <c r="G862" s="305"/>
      <c r="H862" s="305"/>
      <c r="I862" s="305"/>
      <c r="J862" s="305"/>
      <c r="K862" s="305"/>
      <c r="L862" s="305"/>
      <c r="M862" s="305"/>
      <c r="N862" s="305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</row>
    <row r="863" spans="1:24" ht="15.75" customHeight="1">
      <c r="A863" s="305"/>
      <c r="B863" s="305"/>
      <c r="C863" s="305"/>
      <c r="D863" s="305"/>
      <c r="E863" s="305"/>
      <c r="F863" s="305"/>
      <c r="G863" s="305"/>
      <c r="H863" s="305"/>
      <c r="I863" s="305"/>
      <c r="J863" s="305"/>
      <c r="K863" s="305"/>
      <c r="L863" s="305"/>
      <c r="M863" s="305"/>
      <c r="N863" s="305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</row>
    <row r="864" spans="1:24" ht="15.75" customHeight="1">
      <c r="A864" s="305"/>
      <c r="B864" s="305"/>
      <c r="C864" s="305"/>
      <c r="D864" s="305"/>
      <c r="E864" s="305"/>
      <c r="F864" s="305"/>
      <c r="G864" s="305"/>
      <c r="H864" s="305"/>
      <c r="I864" s="305"/>
      <c r="J864" s="305"/>
      <c r="K864" s="305"/>
      <c r="L864" s="305"/>
      <c r="M864" s="305"/>
      <c r="N864" s="305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</row>
    <row r="865" spans="1:24" ht="15.75" customHeight="1">
      <c r="A865" s="305"/>
      <c r="B865" s="305"/>
      <c r="C865" s="305"/>
      <c r="D865" s="305"/>
      <c r="E865" s="305"/>
      <c r="F865" s="305"/>
      <c r="G865" s="305"/>
      <c r="H865" s="305"/>
      <c r="I865" s="305"/>
      <c r="J865" s="305"/>
      <c r="K865" s="305"/>
      <c r="L865" s="305"/>
      <c r="M865" s="305"/>
      <c r="N865" s="305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</row>
    <row r="866" spans="1:24" ht="15.75" customHeight="1">
      <c r="A866" s="305"/>
      <c r="B866" s="305"/>
      <c r="C866" s="305"/>
      <c r="D866" s="305"/>
      <c r="E866" s="305"/>
      <c r="F866" s="305"/>
      <c r="G866" s="305"/>
      <c r="H866" s="305"/>
      <c r="I866" s="305"/>
      <c r="J866" s="305"/>
      <c r="K866" s="305"/>
      <c r="L866" s="305"/>
      <c r="M866" s="305"/>
      <c r="N866" s="305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</row>
    <row r="867" spans="1:24" ht="15.75" customHeight="1">
      <c r="A867" s="305"/>
      <c r="B867" s="305"/>
      <c r="C867" s="305"/>
      <c r="D867" s="305"/>
      <c r="E867" s="305"/>
      <c r="F867" s="305"/>
      <c r="G867" s="305"/>
      <c r="H867" s="305"/>
      <c r="I867" s="305"/>
      <c r="J867" s="305"/>
      <c r="K867" s="305"/>
      <c r="L867" s="305"/>
      <c r="M867" s="305"/>
      <c r="N867" s="305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</row>
    <row r="868" spans="1:24" ht="15.75" customHeight="1">
      <c r="A868" s="305"/>
      <c r="B868" s="305"/>
      <c r="C868" s="305"/>
      <c r="D868" s="305"/>
      <c r="E868" s="305"/>
      <c r="F868" s="305"/>
      <c r="G868" s="305"/>
      <c r="H868" s="305"/>
      <c r="I868" s="305"/>
      <c r="J868" s="305"/>
      <c r="K868" s="305"/>
      <c r="L868" s="305"/>
      <c r="M868" s="305"/>
      <c r="N868" s="305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</row>
    <row r="869" spans="1:24" ht="15.75" customHeight="1">
      <c r="A869" s="305"/>
      <c r="B869" s="305"/>
      <c r="C869" s="305"/>
      <c r="D869" s="305"/>
      <c r="E869" s="305"/>
      <c r="F869" s="305"/>
      <c r="G869" s="305"/>
      <c r="H869" s="305"/>
      <c r="I869" s="305"/>
      <c r="J869" s="305"/>
      <c r="K869" s="305"/>
      <c r="L869" s="305"/>
      <c r="M869" s="305"/>
      <c r="N869" s="305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</row>
    <row r="870" spans="1:24" ht="15.75" customHeight="1">
      <c r="A870" s="305"/>
      <c r="B870" s="305"/>
      <c r="C870" s="305"/>
      <c r="D870" s="305"/>
      <c r="E870" s="305"/>
      <c r="F870" s="305"/>
      <c r="G870" s="305"/>
      <c r="H870" s="305"/>
      <c r="I870" s="305"/>
      <c r="J870" s="305"/>
      <c r="K870" s="305"/>
      <c r="L870" s="305"/>
      <c r="M870" s="305"/>
      <c r="N870" s="305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</row>
    <row r="871" spans="1:24" ht="15.75" customHeight="1">
      <c r="A871" s="305"/>
      <c r="B871" s="305"/>
      <c r="C871" s="305"/>
      <c r="D871" s="305"/>
      <c r="E871" s="305"/>
      <c r="F871" s="305"/>
      <c r="G871" s="305"/>
      <c r="H871" s="305"/>
      <c r="I871" s="305"/>
      <c r="J871" s="305"/>
      <c r="K871" s="305"/>
      <c r="L871" s="305"/>
      <c r="M871" s="305"/>
      <c r="N871" s="305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</row>
    <row r="872" spans="1:24" ht="15.75" customHeight="1">
      <c r="A872" s="305"/>
      <c r="B872" s="305"/>
      <c r="C872" s="305"/>
      <c r="D872" s="305"/>
      <c r="E872" s="305"/>
      <c r="F872" s="305"/>
      <c r="G872" s="305"/>
      <c r="H872" s="305"/>
      <c r="I872" s="305"/>
      <c r="J872" s="305"/>
      <c r="K872" s="305"/>
      <c r="L872" s="305"/>
      <c r="M872" s="305"/>
      <c r="N872" s="305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</row>
    <row r="873" spans="1:24" ht="15.75" customHeight="1">
      <c r="A873" s="305"/>
      <c r="B873" s="305"/>
      <c r="C873" s="305"/>
      <c r="D873" s="305"/>
      <c r="E873" s="305"/>
      <c r="F873" s="305"/>
      <c r="G873" s="305"/>
      <c r="H873" s="305"/>
      <c r="I873" s="305"/>
      <c r="J873" s="305"/>
      <c r="K873" s="305"/>
      <c r="L873" s="305"/>
      <c r="M873" s="305"/>
      <c r="N873" s="305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</row>
    <row r="874" spans="1:24" ht="15.75" customHeight="1">
      <c r="A874" s="305"/>
      <c r="B874" s="305"/>
      <c r="C874" s="305"/>
      <c r="D874" s="305"/>
      <c r="E874" s="305"/>
      <c r="F874" s="305"/>
      <c r="G874" s="305"/>
      <c r="H874" s="305"/>
      <c r="I874" s="305"/>
      <c r="J874" s="305"/>
      <c r="K874" s="305"/>
      <c r="L874" s="305"/>
      <c r="M874" s="305"/>
      <c r="N874" s="305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</row>
    <row r="875" spans="1:24" ht="15.75" customHeight="1">
      <c r="A875" s="305"/>
      <c r="B875" s="305"/>
      <c r="C875" s="305"/>
      <c r="D875" s="305"/>
      <c r="E875" s="305"/>
      <c r="F875" s="305"/>
      <c r="G875" s="305"/>
      <c r="H875" s="305"/>
      <c r="I875" s="305"/>
      <c r="J875" s="305"/>
      <c r="K875" s="305"/>
      <c r="L875" s="305"/>
      <c r="M875" s="305"/>
      <c r="N875" s="305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</row>
    <row r="876" spans="1:24" ht="15.75" customHeight="1">
      <c r="A876" s="305"/>
      <c r="B876" s="305"/>
      <c r="C876" s="305"/>
      <c r="D876" s="305"/>
      <c r="E876" s="305"/>
      <c r="F876" s="305"/>
      <c r="G876" s="305"/>
      <c r="H876" s="305"/>
      <c r="I876" s="305"/>
      <c r="J876" s="305"/>
      <c r="K876" s="305"/>
      <c r="L876" s="305"/>
      <c r="M876" s="305"/>
      <c r="N876" s="305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</row>
    <row r="877" spans="1:24" ht="15.75" customHeight="1">
      <c r="A877" s="305"/>
      <c r="B877" s="305"/>
      <c r="C877" s="305"/>
      <c r="D877" s="305"/>
      <c r="E877" s="305"/>
      <c r="F877" s="305"/>
      <c r="G877" s="305"/>
      <c r="H877" s="305"/>
      <c r="I877" s="305"/>
      <c r="J877" s="305"/>
      <c r="K877" s="305"/>
      <c r="L877" s="305"/>
      <c r="M877" s="305"/>
      <c r="N877" s="305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</row>
    <row r="878" spans="1:24" ht="15.75" customHeight="1">
      <c r="A878" s="305"/>
      <c r="B878" s="305"/>
      <c r="C878" s="305"/>
      <c r="D878" s="305"/>
      <c r="E878" s="305"/>
      <c r="F878" s="305"/>
      <c r="G878" s="305"/>
      <c r="H878" s="305"/>
      <c r="I878" s="305"/>
      <c r="J878" s="305"/>
      <c r="K878" s="305"/>
      <c r="L878" s="305"/>
      <c r="M878" s="305"/>
      <c r="N878" s="305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</row>
    <row r="879" spans="1:24" ht="15.75" customHeight="1">
      <c r="A879" s="305"/>
      <c r="B879" s="305"/>
      <c r="C879" s="305"/>
      <c r="D879" s="305"/>
      <c r="E879" s="305"/>
      <c r="F879" s="305"/>
      <c r="G879" s="305"/>
      <c r="H879" s="305"/>
      <c r="I879" s="305"/>
      <c r="J879" s="305"/>
      <c r="K879" s="305"/>
      <c r="L879" s="305"/>
      <c r="M879" s="305"/>
      <c r="N879" s="305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</row>
    <row r="880" spans="1:24" ht="15.75" customHeight="1">
      <c r="A880" s="305"/>
      <c r="B880" s="305"/>
      <c r="C880" s="305"/>
      <c r="D880" s="305"/>
      <c r="E880" s="305"/>
      <c r="F880" s="305"/>
      <c r="G880" s="305"/>
      <c r="H880" s="305"/>
      <c r="I880" s="305"/>
      <c r="J880" s="305"/>
      <c r="K880" s="305"/>
      <c r="L880" s="305"/>
      <c r="M880" s="305"/>
      <c r="N880" s="305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</row>
    <row r="881" spans="1:24" ht="15.75" customHeight="1">
      <c r="A881" s="305"/>
      <c r="B881" s="305"/>
      <c r="C881" s="305"/>
      <c r="D881" s="305"/>
      <c r="E881" s="305"/>
      <c r="F881" s="305"/>
      <c r="G881" s="305"/>
      <c r="H881" s="305"/>
      <c r="I881" s="305"/>
      <c r="J881" s="305"/>
      <c r="K881" s="305"/>
      <c r="L881" s="305"/>
      <c r="M881" s="305"/>
      <c r="N881" s="305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</row>
    <row r="882" spans="1:24" ht="15.75" customHeight="1">
      <c r="A882" s="305"/>
      <c r="B882" s="305"/>
      <c r="C882" s="305"/>
      <c r="D882" s="305"/>
      <c r="E882" s="305"/>
      <c r="F882" s="305"/>
      <c r="G882" s="305"/>
      <c r="H882" s="305"/>
      <c r="I882" s="305"/>
      <c r="J882" s="305"/>
      <c r="K882" s="305"/>
      <c r="L882" s="305"/>
      <c r="M882" s="305"/>
      <c r="N882" s="305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</row>
    <row r="883" spans="1:24" ht="15.75" customHeight="1">
      <c r="A883" s="305"/>
      <c r="B883" s="305"/>
      <c r="C883" s="305"/>
      <c r="D883" s="305"/>
      <c r="E883" s="305"/>
      <c r="F883" s="305"/>
      <c r="G883" s="305"/>
      <c r="H883" s="305"/>
      <c r="I883" s="305"/>
      <c r="J883" s="305"/>
      <c r="K883" s="305"/>
      <c r="L883" s="305"/>
      <c r="M883" s="305"/>
      <c r="N883" s="305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</row>
    <row r="884" spans="1:24" ht="15.75" customHeight="1">
      <c r="A884" s="305"/>
      <c r="B884" s="305"/>
      <c r="C884" s="305"/>
      <c r="D884" s="305"/>
      <c r="E884" s="305"/>
      <c r="F884" s="305"/>
      <c r="G884" s="305"/>
      <c r="H884" s="305"/>
      <c r="I884" s="305"/>
      <c r="J884" s="305"/>
      <c r="K884" s="305"/>
      <c r="L884" s="305"/>
      <c r="M884" s="305"/>
      <c r="N884" s="305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</row>
    <row r="885" spans="1:24" ht="15.75" customHeight="1">
      <c r="A885" s="305"/>
      <c r="B885" s="305"/>
      <c r="C885" s="305"/>
      <c r="D885" s="305"/>
      <c r="E885" s="305"/>
      <c r="F885" s="305"/>
      <c r="G885" s="305"/>
      <c r="H885" s="305"/>
      <c r="I885" s="305"/>
      <c r="J885" s="305"/>
      <c r="K885" s="305"/>
      <c r="L885" s="305"/>
      <c r="M885" s="305"/>
      <c r="N885" s="305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</row>
    <row r="886" spans="1:24" ht="15.75" customHeight="1">
      <c r="A886" s="305"/>
      <c r="B886" s="305"/>
      <c r="C886" s="305"/>
      <c r="D886" s="305"/>
      <c r="E886" s="305"/>
      <c r="F886" s="305"/>
      <c r="G886" s="305"/>
      <c r="H886" s="305"/>
      <c r="I886" s="305"/>
      <c r="J886" s="305"/>
      <c r="K886" s="305"/>
      <c r="L886" s="305"/>
      <c r="M886" s="305"/>
      <c r="N886" s="305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</row>
    <row r="887" spans="1:24" ht="15.75" customHeight="1">
      <c r="A887" s="305"/>
      <c r="B887" s="305"/>
      <c r="C887" s="305"/>
      <c r="D887" s="305"/>
      <c r="E887" s="305"/>
      <c r="F887" s="305"/>
      <c r="G887" s="305"/>
      <c r="H887" s="305"/>
      <c r="I887" s="305"/>
      <c r="J887" s="305"/>
      <c r="K887" s="305"/>
      <c r="L887" s="305"/>
      <c r="M887" s="305"/>
      <c r="N887" s="305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</row>
    <row r="888" spans="1:24" ht="15.75" customHeight="1">
      <c r="A888" s="305"/>
      <c r="B888" s="305"/>
      <c r="C888" s="305"/>
      <c r="D888" s="305"/>
      <c r="E888" s="305"/>
      <c r="F888" s="305"/>
      <c r="G888" s="305"/>
      <c r="H888" s="305"/>
      <c r="I888" s="305"/>
      <c r="J888" s="305"/>
      <c r="K888" s="305"/>
      <c r="L888" s="305"/>
      <c r="M888" s="305"/>
      <c r="N888" s="305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</row>
    <row r="889" spans="1:24" ht="15.75" customHeight="1">
      <c r="A889" s="305"/>
      <c r="B889" s="305"/>
      <c r="C889" s="305"/>
      <c r="D889" s="305"/>
      <c r="E889" s="305"/>
      <c r="F889" s="305"/>
      <c r="G889" s="305"/>
      <c r="H889" s="305"/>
      <c r="I889" s="305"/>
      <c r="J889" s="305"/>
      <c r="K889" s="305"/>
      <c r="L889" s="305"/>
      <c r="M889" s="305"/>
      <c r="N889" s="305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</row>
    <row r="890" spans="1:24" ht="15.75" customHeight="1">
      <c r="A890" s="305"/>
      <c r="B890" s="305"/>
      <c r="C890" s="305"/>
      <c r="D890" s="305"/>
      <c r="E890" s="305"/>
      <c r="F890" s="305"/>
      <c r="G890" s="305"/>
      <c r="H890" s="305"/>
      <c r="I890" s="305"/>
      <c r="J890" s="305"/>
      <c r="K890" s="305"/>
      <c r="L890" s="305"/>
      <c r="M890" s="305"/>
      <c r="N890" s="305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</row>
    <row r="891" spans="1:24" ht="15.75" customHeight="1">
      <c r="A891" s="305"/>
      <c r="B891" s="305"/>
      <c r="C891" s="305"/>
      <c r="D891" s="305"/>
      <c r="E891" s="305"/>
      <c r="F891" s="305"/>
      <c r="G891" s="305"/>
      <c r="H891" s="305"/>
      <c r="I891" s="305"/>
      <c r="J891" s="305"/>
      <c r="K891" s="305"/>
      <c r="L891" s="305"/>
      <c r="M891" s="305"/>
      <c r="N891" s="305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</row>
    <row r="892" spans="1:24" ht="15.75" customHeight="1">
      <c r="A892" s="305"/>
      <c r="B892" s="305"/>
      <c r="C892" s="305"/>
      <c r="D892" s="305"/>
      <c r="E892" s="305"/>
      <c r="F892" s="305"/>
      <c r="G892" s="305"/>
      <c r="H892" s="305"/>
      <c r="I892" s="305"/>
      <c r="J892" s="305"/>
      <c r="K892" s="305"/>
      <c r="L892" s="305"/>
      <c r="M892" s="305"/>
      <c r="N892" s="305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</row>
    <row r="893" spans="1:24" ht="15.75" customHeight="1">
      <c r="A893" s="305"/>
      <c r="B893" s="305"/>
      <c r="C893" s="305"/>
      <c r="D893" s="305"/>
      <c r="E893" s="305"/>
      <c r="F893" s="305"/>
      <c r="G893" s="305"/>
      <c r="H893" s="305"/>
      <c r="I893" s="305"/>
      <c r="J893" s="305"/>
      <c r="K893" s="305"/>
      <c r="L893" s="305"/>
      <c r="M893" s="305"/>
      <c r="N893" s="305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</row>
    <row r="894" spans="1:24" ht="15.75" customHeight="1">
      <c r="A894" s="305"/>
      <c r="B894" s="305"/>
      <c r="C894" s="305"/>
      <c r="D894" s="305"/>
      <c r="E894" s="305"/>
      <c r="F894" s="305"/>
      <c r="G894" s="305"/>
      <c r="H894" s="305"/>
      <c r="I894" s="305"/>
      <c r="J894" s="305"/>
      <c r="K894" s="305"/>
      <c r="L894" s="305"/>
      <c r="M894" s="305"/>
      <c r="N894" s="305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</row>
    <row r="895" spans="1:24" ht="15.75" customHeight="1">
      <c r="A895" s="305"/>
      <c r="B895" s="305"/>
      <c r="C895" s="305"/>
      <c r="D895" s="305"/>
      <c r="E895" s="305"/>
      <c r="F895" s="305"/>
      <c r="G895" s="305"/>
      <c r="H895" s="305"/>
      <c r="I895" s="305"/>
      <c r="J895" s="305"/>
      <c r="K895" s="305"/>
      <c r="L895" s="305"/>
      <c r="M895" s="305"/>
      <c r="N895" s="305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</row>
    <row r="896" spans="1:24" ht="15.75" customHeight="1">
      <c r="A896" s="305"/>
      <c r="B896" s="305"/>
      <c r="C896" s="305"/>
      <c r="D896" s="305"/>
      <c r="E896" s="305"/>
      <c r="F896" s="305"/>
      <c r="G896" s="305"/>
      <c r="H896" s="305"/>
      <c r="I896" s="305"/>
      <c r="J896" s="305"/>
      <c r="K896" s="305"/>
      <c r="L896" s="305"/>
      <c r="M896" s="305"/>
      <c r="N896" s="305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</row>
    <row r="897" spans="1:24" ht="15.75" customHeight="1">
      <c r="A897" s="305"/>
      <c r="B897" s="305"/>
      <c r="C897" s="305"/>
      <c r="D897" s="305"/>
      <c r="E897" s="305"/>
      <c r="F897" s="305"/>
      <c r="G897" s="305"/>
      <c r="H897" s="305"/>
      <c r="I897" s="305"/>
      <c r="J897" s="305"/>
      <c r="K897" s="305"/>
      <c r="L897" s="305"/>
      <c r="M897" s="305"/>
      <c r="N897" s="305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</row>
    <row r="898" spans="1:24" ht="15.75" customHeight="1">
      <c r="A898" s="305"/>
      <c r="B898" s="305"/>
      <c r="C898" s="305"/>
      <c r="D898" s="305"/>
      <c r="E898" s="305"/>
      <c r="F898" s="305"/>
      <c r="G898" s="305"/>
      <c r="H898" s="305"/>
      <c r="I898" s="305"/>
      <c r="J898" s="305"/>
      <c r="K898" s="305"/>
      <c r="L898" s="305"/>
      <c r="M898" s="305"/>
      <c r="N898" s="305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</row>
    <row r="899" spans="1:24" ht="15.75" customHeight="1">
      <c r="A899" s="305"/>
      <c r="B899" s="305"/>
      <c r="C899" s="305"/>
      <c r="D899" s="305"/>
      <c r="E899" s="305"/>
      <c r="F899" s="305"/>
      <c r="G899" s="305"/>
      <c r="H899" s="305"/>
      <c r="I899" s="305"/>
      <c r="J899" s="305"/>
      <c r="K899" s="305"/>
      <c r="L899" s="305"/>
      <c r="M899" s="305"/>
      <c r="N899" s="305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</row>
    <row r="900" spans="1:24" ht="15.75" customHeight="1">
      <c r="A900" s="305"/>
      <c r="B900" s="305"/>
      <c r="C900" s="305"/>
      <c r="D900" s="305"/>
      <c r="E900" s="305"/>
      <c r="F900" s="305"/>
      <c r="G900" s="305"/>
      <c r="H900" s="305"/>
      <c r="I900" s="305"/>
      <c r="J900" s="305"/>
      <c r="K900" s="305"/>
      <c r="L900" s="305"/>
      <c r="M900" s="305"/>
      <c r="N900" s="305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</row>
    <row r="901" spans="1:24" ht="15.75" customHeight="1">
      <c r="A901" s="305"/>
      <c r="B901" s="305"/>
      <c r="C901" s="305"/>
      <c r="D901" s="305"/>
      <c r="E901" s="305"/>
      <c r="F901" s="305"/>
      <c r="G901" s="305"/>
      <c r="H901" s="305"/>
      <c r="I901" s="305"/>
      <c r="J901" s="305"/>
      <c r="K901" s="305"/>
      <c r="L901" s="305"/>
      <c r="M901" s="305"/>
      <c r="N901" s="305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</row>
    <row r="902" spans="1:24" ht="15.75" customHeight="1">
      <c r="A902" s="305"/>
      <c r="B902" s="305"/>
      <c r="C902" s="305"/>
      <c r="D902" s="305"/>
      <c r="E902" s="305"/>
      <c r="F902" s="305"/>
      <c r="G902" s="305"/>
      <c r="H902" s="305"/>
      <c r="I902" s="305"/>
      <c r="J902" s="305"/>
      <c r="K902" s="305"/>
      <c r="L902" s="305"/>
      <c r="M902" s="305"/>
      <c r="N902" s="305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</row>
    <row r="903" spans="1:24" ht="15.75" customHeight="1">
      <c r="A903" s="305"/>
      <c r="B903" s="305"/>
      <c r="C903" s="305"/>
      <c r="D903" s="305"/>
      <c r="E903" s="305"/>
      <c r="F903" s="305"/>
      <c r="G903" s="305"/>
      <c r="H903" s="305"/>
      <c r="I903" s="305"/>
      <c r="J903" s="305"/>
      <c r="K903" s="305"/>
      <c r="L903" s="305"/>
      <c r="M903" s="305"/>
      <c r="N903" s="305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</row>
    <row r="904" spans="1:24" ht="15.75" customHeight="1">
      <c r="A904" s="305"/>
      <c r="B904" s="305"/>
      <c r="C904" s="305"/>
      <c r="D904" s="305"/>
      <c r="E904" s="305"/>
      <c r="F904" s="305"/>
      <c r="G904" s="305"/>
      <c r="H904" s="305"/>
      <c r="I904" s="305"/>
      <c r="J904" s="305"/>
      <c r="K904" s="305"/>
      <c r="L904" s="305"/>
      <c r="M904" s="305"/>
      <c r="N904" s="305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</row>
    <row r="905" spans="1:24" ht="15.75" customHeight="1">
      <c r="A905" s="305"/>
      <c r="B905" s="305"/>
      <c r="C905" s="305"/>
      <c r="D905" s="305"/>
      <c r="E905" s="305"/>
      <c r="F905" s="305"/>
      <c r="G905" s="305"/>
      <c r="H905" s="305"/>
      <c r="I905" s="305"/>
      <c r="J905" s="305"/>
      <c r="K905" s="305"/>
      <c r="L905" s="305"/>
      <c r="M905" s="305"/>
      <c r="N905" s="305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</row>
    <row r="906" spans="1:24" ht="15.75" customHeight="1">
      <c r="A906" s="305"/>
      <c r="B906" s="305"/>
      <c r="C906" s="305"/>
      <c r="D906" s="305"/>
      <c r="E906" s="305"/>
      <c r="F906" s="305"/>
      <c r="G906" s="305"/>
      <c r="H906" s="305"/>
      <c r="I906" s="305"/>
      <c r="J906" s="305"/>
      <c r="K906" s="305"/>
      <c r="L906" s="305"/>
      <c r="M906" s="305"/>
      <c r="N906" s="305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</row>
    <row r="907" spans="1:24" ht="15.75" customHeight="1">
      <c r="A907" s="305"/>
      <c r="B907" s="305"/>
      <c r="C907" s="305"/>
      <c r="D907" s="305"/>
      <c r="E907" s="305"/>
      <c r="F907" s="305"/>
      <c r="G907" s="305"/>
      <c r="H907" s="305"/>
      <c r="I907" s="305"/>
      <c r="J907" s="305"/>
      <c r="K907" s="305"/>
      <c r="L907" s="305"/>
      <c r="M907" s="305"/>
      <c r="N907" s="305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</row>
    <row r="908" spans="1:24" ht="15.75" customHeight="1">
      <c r="A908" s="305"/>
      <c r="B908" s="305"/>
      <c r="C908" s="305"/>
      <c r="D908" s="305"/>
      <c r="E908" s="305"/>
      <c r="F908" s="305"/>
      <c r="G908" s="305"/>
      <c r="H908" s="305"/>
      <c r="I908" s="305"/>
      <c r="J908" s="305"/>
      <c r="K908" s="305"/>
      <c r="L908" s="305"/>
      <c r="M908" s="305"/>
      <c r="N908" s="305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</row>
    <row r="909" spans="1:24" ht="15.75" customHeight="1">
      <c r="A909" s="305"/>
      <c r="B909" s="305"/>
      <c r="C909" s="305"/>
      <c r="D909" s="305"/>
      <c r="E909" s="305"/>
      <c r="F909" s="305"/>
      <c r="G909" s="305"/>
      <c r="H909" s="305"/>
      <c r="I909" s="305"/>
      <c r="J909" s="305"/>
      <c r="K909" s="305"/>
      <c r="L909" s="305"/>
      <c r="M909" s="305"/>
      <c r="N909" s="305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</row>
    <row r="910" spans="1:24" ht="15.75" customHeight="1">
      <c r="A910" s="305"/>
      <c r="B910" s="305"/>
      <c r="C910" s="305"/>
      <c r="D910" s="305"/>
      <c r="E910" s="305"/>
      <c r="F910" s="305"/>
      <c r="G910" s="305"/>
      <c r="H910" s="305"/>
      <c r="I910" s="305"/>
      <c r="J910" s="305"/>
      <c r="K910" s="305"/>
      <c r="L910" s="305"/>
      <c r="M910" s="305"/>
      <c r="N910" s="305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</row>
    <row r="911" spans="1:24" ht="15.75" customHeight="1">
      <c r="A911" s="305"/>
      <c r="B911" s="305"/>
      <c r="C911" s="305"/>
      <c r="D911" s="305"/>
      <c r="E911" s="305"/>
      <c r="F911" s="305"/>
      <c r="G911" s="305"/>
      <c r="H911" s="305"/>
      <c r="I911" s="305"/>
      <c r="J911" s="305"/>
      <c r="K911" s="305"/>
      <c r="L911" s="305"/>
      <c r="M911" s="305"/>
      <c r="N911" s="305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</row>
    <row r="912" spans="1:24" ht="15.75" customHeight="1">
      <c r="A912" s="305"/>
      <c r="B912" s="305"/>
      <c r="C912" s="305"/>
      <c r="D912" s="305"/>
      <c r="E912" s="305"/>
      <c r="F912" s="305"/>
      <c r="G912" s="305"/>
      <c r="H912" s="305"/>
      <c r="I912" s="305"/>
      <c r="J912" s="305"/>
      <c r="K912" s="305"/>
      <c r="L912" s="305"/>
      <c r="M912" s="305"/>
      <c r="N912" s="305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</row>
    <row r="913" spans="1:24" ht="15.75" customHeight="1">
      <c r="A913" s="305"/>
      <c r="B913" s="305"/>
      <c r="C913" s="305"/>
      <c r="D913" s="305"/>
      <c r="E913" s="305"/>
      <c r="F913" s="305"/>
      <c r="G913" s="305"/>
      <c r="H913" s="305"/>
      <c r="I913" s="305"/>
      <c r="J913" s="305"/>
      <c r="K913" s="305"/>
      <c r="L913" s="305"/>
      <c r="M913" s="305"/>
      <c r="N913" s="305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</row>
    <row r="914" spans="1:24" ht="15.75" customHeight="1">
      <c r="A914" s="305"/>
      <c r="B914" s="305"/>
      <c r="C914" s="305"/>
      <c r="D914" s="305"/>
      <c r="E914" s="305"/>
      <c r="F914" s="305"/>
      <c r="G914" s="305"/>
      <c r="H914" s="305"/>
      <c r="I914" s="305"/>
      <c r="J914" s="305"/>
      <c r="K914" s="305"/>
      <c r="L914" s="305"/>
      <c r="M914" s="305"/>
      <c r="N914" s="305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</row>
    <row r="915" spans="1:24" ht="15.75" customHeight="1">
      <c r="A915" s="305"/>
      <c r="B915" s="305"/>
      <c r="C915" s="305"/>
      <c r="D915" s="305"/>
      <c r="E915" s="305"/>
      <c r="F915" s="305"/>
      <c r="G915" s="305"/>
      <c r="H915" s="305"/>
      <c r="I915" s="305"/>
      <c r="J915" s="305"/>
      <c r="K915" s="305"/>
      <c r="L915" s="305"/>
      <c r="M915" s="305"/>
      <c r="N915" s="305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</row>
    <row r="916" spans="1:24" ht="15.75" customHeight="1">
      <c r="A916" s="305"/>
      <c r="B916" s="305"/>
      <c r="C916" s="305"/>
      <c r="D916" s="305"/>
      <c r="E916" s="305"/>
      <c r="F916" s="305"/>
      <c r="G916" s="305"/>
      <c r="H916" s="305"/>
      <c r="I916" s="305"/>
      <c r="J916" s="305"/>
      <c r="K916" s="305"/>
      <c r="L916" s="305"/>
      <c r="M916" s="305"/>
      <c r="N916" s="305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</row>
    <row r="917" spans="1:24" ht="15.75" customHeight="1">
      <c r="A917" s="305"/>
      <c r="B917" s="305"/>
      <c r="C917" s="305"/>
      <c r="D917" s="305"/>
      <c r="E917" s="305"/>
      <c r="F917" s="305"/>
      <c r="G917" s="305"/>
      <c r="H917" s="305"/>
      <c r="I917" s="305"/>
      <c r="J917" s="305"/>
      <c r="K917" s="305"/>
      <c r="L917" s="305"/>
      <c r="M917" s="305"/>
      <c r="N917" s="305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</row>
    <row r="918" spans="1:24" ht="15.75" customHeight="1">
      <c r="A918" s="305"/>
      <c r="B918" s="305"/>
      <c r="C918" s="305"/>
      <c r="D918" s="305"/>
      <c r="E918" s="305"/>
      <c r="F918" s="305"/>
      <c r="G918" s="305"/>
      <c r="H918" s="305"/>
      <c r="I918" s="305"/>
      <c r="J918" s="305"/>
      <c r="K918" s="305"/>
      <c r="L918" s="305"/>
      <c r="M918" s="305"/>
      <c r="N918" s="305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</row>
    <row r="919" spans="1:24" ht="15.75" customHeight="1">
      <c r="A919" s="305"/>
      <c r="B919" s="305"/>
      <c r="C919" s="305"/>
      <c r="D919" s="305"/>
      <c r="E919" s="305"/>
      <c r="F919" s="305"/>
      <c r="G919" s="305"/>
      <c r="H919" s="305"/>
      <c r="I919" s="305"/>
      <c r="J919" s="305"/>
      <c r="K919" s="305"/>
      <c r="L919" s="305"/>
      <c r="M919" s="305"/>
      <c r="N919" s="305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</row>
    <row r="920" spans="1:24" ht="15.75" customHeight="1">
      <c r="A920" s="305"/>
      <c r="B920" s="305"/>
      <c r="C920" s="305"/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</row>
    <row r="921" spans="1:24" ht="15.75" customHeight="1">
      <c r="A921" s="305"/>
      <c r="B921" s="305"/>
      <c r="C921" s="305"/>
      <c r="D921" s="305"/>
      <c r="E921" s="305"/>
      <c r="F921" s="305"/>
      <c r="G921" s="305"/>
      <c r="H921" s="305"/>
      <c r="I921" s="305"/>
      <c r="J921" s="305"/>
      <c r="K921" s="305"/>
      <c r="L921" s="305"/>
      <c r="M921" s="305"/>
      <c r="N921" s="305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</row>
    <row r="922" spans="1:24" ht="15.75" customHeight="1">
      <c r="A922" s="305"/>
      <c r="B922" s="305"/>
      <c r="C922" s="305"/>
      <c r="D922" s="305"/>
      <c r="E922" s="305"/>
      <c r="F922" s="305"/>
      <c r="G922" s="305"/>
      <c r="H922" s="305"/>
      <c r="I922" s="305"/>
      <c r="J922" s="305"/>
      <c r="K922" s="305"/>
      <c r="L922" s="305"/>
      <c r="M922" s="305"/>
      <c r="N922" s="305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</row>
    <row r="923" spans="1:24" ht="15.75" customHeight="1">
      <c r="A923" s="305"/>
      <c r="B923" s="305"/>
      <c r="C923" s="305"/>
      <c r="D923" s="305"/>
      <c r="E923" s="305"/>
      <c r="F923" s="305"/>
      <c r="G923" s="305"/>
      <c r="H923" s="305"/>
      <c r="I923" s="305"/>
      <c r="J923" s="305"/>
      <c r="K923" s="305"/>
      <c r="L923" s="305"/>
      <c r="M923" s="305"/>
      <c r="N923" s="305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</row>
    <row r="924" spans="1:24" ht="15.75" customHeight="1">
      <c r="A924" s="305"/>
      <c r="B924" s="305"/>
      <c r="C924" s="305"/>
      <c r="D924" s="305"/>
      <c r="E924" s="305"/>
      <c r="F924" s="305"/>
      <c r="G924" s="305"/>
      <c r="H924" s="305"/>
      <c r="I924" s="305"/>
      <c r="J924" s="305"/>
      <c r="K924" s="305"/>
      <c r="L924" s="305"/>
      <c r="M924" s="305"/>
      <c r="N924" s="305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</row>
    <row r="925" spans="1:24" ht="15.75" customHeight="1">
      <c r="A925" s="305"/>
      <c r="B925" s="305"/>
      <c r="C925" s="305"/>
      <c r="D925" s="305"/>
      <c r="E925" s="305"/>
      <c r="F925" s="305"/>
      <c r="G925" s="305"/>
      <c r="H925" s="305"/>
      <c r="I925" s="305"/>
      <c r="J925" s="305"/>
      <c r="K925" s="305"/>
      <c r="L925" s="305"/>
      <c r="M925" s="305"/>
      <c r="N925" s="305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</row>
    <row r="926" spans="1:24" ht="15.75" customHeight="1">
      <c r="A926" s="305"/>
      <c r="B926" s="305"/>
      <c r="C926" s="305"/>
      <c r="D926" s="305"/>
      <c r="E926" s="305"/>
      <c r="F926" s="305"/>
      <c r="G926" s="305"/>
      <c r="H926" s="305"/>
      <c r="I926" s="305"/>
      <c r="J926" s="305"/>
      <c r="K926" s="305"/>
      <c r="L926" s="305"/>
      <c r="M926" s="305"/>
      <c r="N926" s="305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</row>
    <row r="927" spans="1:24" ht="15.75" customHeight="1">
      <c r="A927" s="305"/>
      <c r="B927" s="305"/>
      <c r="C927" s="305"/>
      <c r="D927" s="305"/>
      <c r="E927" s="305"/>
      <c r="F927" s="305"/>
      <c r="G927" s="305"/>
      <c r="H927" s="305"/>
      <c r="I927" s="305"/>
      <c r="J927" s="305"/>
      <c r="K927" s="305"/>
      <c r="L927" s="305"/>
      <c r="M927" s="305"/>
      <c r="N927" s="305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</row>
    <row r="928" spans="1:24" ht="15.75" customHeight="1">
      <c r="A928" s="305"/>
      <c r="B928" s="305"/>
      <c r="C928" s="305"/>
      <c r="D928" s="305"/>
      <c r="E928" s="305"/>
      <c r="F928" s="305"/>
      <c r="G928" s="305"/>
      <c r="H928" s="305"/>
      <c r="I928" s="305"/>
      <c r="J928" s="305"/>
      <c r="K928" s="305"/>
      <c r="L928" s="305"/>
      <c r="M928" s="305"/>
      <c r="N928" s="305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</row>
    <row r="929" spans="1:24" ht="15.75" customHeight="1">
      <c r="A929" s="305"/>
      <c r="B929" s="305"/>
      <c r="C929" s="305"/>
      <c r="D929" s="305"/>
      <c r="E929" s="305"/>
      <c r="F929" s="305"/>
      <c r="G929" s="305"/>
      <c r="H929" s="305"/>
      <c r="I929" s="305"/>
      <c r="J929" s="305"/>
      <c r="K929" s="305"/>
      <c r="L929" s="305"/>
      <c r="M929" s="305"/>
      <c r="N929" s="305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</row>
    <row r="930" spans="1:24" ht="15.75" customHeight="1">
      <c r="A930" s="305"/>
      <c r="B930" s="305"/>
      <c r="C930" s="305"/>
      <c r="D930" s="305"/>
      <c r="E930" s="305"/>
      <c r="F930" s="305"/>
      <c r="G930" s="305"/>
      <c r="H930" s="305"/>
      <c r="I930" s="305"/>
      <c r="J930" s="305"/>
      <c r="K930" s="305"/>
      <c r="L930" s="305"/>
      <c r="M930" s="305"/>
      <c r="N930" s="305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</row>
    <row r="931" spans="1:24" ht="15.75" customHeight="1">
      <c r="A931" s="305"/>
      <c r="B931" s="305"/>
      <c r="C931" s="305"/>
      <c r="D931" s="305"/>
      <c r="E931" s="305"/>
      <c r="F931" s="305"/>
      <c r="G931" s="305"/>
      <c r="H931" s="305"/>
      <c r="I931" s="305"/>
      <c r="J931" s="305"/>
      <c r="K931" s="305"/>
      <c r="L931" s="305"/>
      <c r="M931" s="305"/>
      <c r="N931" s="305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</row>
    <row r="932" spans="1:24" ht="15.75" customHeight="1">
      <c r="A932" s="305"/>
      <c r="B932" s="305"/>
      <c r="C932" s="305"/>
      <c r="D932" s="305"/>
      <c r="E932" s="305"/>
      <c r="F932" s="305"/>
      <c r="G932" s="305"/>
      <c r="H932" s="305"/>
      <c r="I932" s="305"/>
      <c r="J932" s="305"/>
      <c r="K932" s="305"/>
      <c r="L932" s="305"/>
      <c r="M932" s="305"/>
      <c r="N932" s="305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</row>
    <row r="933" spans="1:24" ht="15.75" customHeight="1">
      <c r="A933" s="305"/>
      <c r="B933" s="305"/>
      <c r="C933" s="305"/>
      <c r="D933" s="305"/>
      <c r="E933" s="305"/>
      <c r="F933" s="305"/>
      <c r="G933" s="305"/>
      <c r="H933" s="305"/>
      <c r="I933" s="305"/>
      <c r="J933" s="305"/>
      <c r="K933" s="305"/>
      <c r="L933" s="305"/>
      <c r="M933" s="305"/>
      <c r="N933" s="305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</row>
    <row r="934" spans="1:24" ht="15.75" customHeight="1">
      <c r="A934" s="305"/>
      <c r="B934" s="305"/>
      <c r="C934" s="305"/>
      <c r="D934" s="305"/>
      <c r="E934" s="305"/>
      <c r="F934" s="305"/>
      <c r="G934" s="305"/>
      <c r="H934" s="305"/>
      <c r="I934" s="305"/>
      <c r="J934" s="305"/>
      <c r="K934" s="305"/>
      <c r="L934" s="305"/>
      <c r="M934" s="305"/>
      <c r="N934" s="305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</row>
    <row r="935" spans="1:24" ht="15.75" customHeight="1">
      <c r="A935" s="305"/>
      <c r="B935" s="305"/>
      <c r="C935" s="305"/>
      <c r="D935" s="305"/>
      <c r="E935" s="305"/>
      <c r="F935" s="305"/>
      <c r="G935" s="305"/>
      <c r="H935" s="305"/>
      <c r="I935" s="305"/>
      <c r="J935" s="305"/>
      <c r="K935" s="305"/>
      <c r="L935" s="305"/>
      <c r="M935" s="305"/>
      <c r="N935" s="305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</row>
    <row r="936" spans="1:24" ht="15.75" customHeight="1">
      <c r="A936" s="305"/>
      <c r="B936" s="305"/>
      <c r="C936" s="305"/>
      <c r="D936" s="305"/>
      <c r="E936" s="305"/>
      <c r="F936" s="305"/>
      <c r="G936" s="305"/>
      <c r="H936" s="305"/>
      <c r="I936" s="305"/>
      <c r="J936" s="305"/>
      <c r="K936" s="305"/>
      <c r="L936" s="305"/>
      <c r="M936" s="305"/>
      <c r="N936" s="305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</row>
    <row r="937" spans="1:24" ht="15.75" customHeight="1">
      <c r="A937" s="305"/>
      <c r="B937" s="305"/>
      <c r="C937" s="305"/>
      <c r="D937" s="305"/>
      <c r="E937" s="305"/>
      <c r="F937" s="305"/>
      <c r="G937" s="305"/>
      <c r="H937" s="305"/>
      <c r="I937" s="305"/>
      <c r="J937" s="305"/>
      <c r="K937" s="305"/>
      <c r="L937" s="305"/>
      <c r="M937" s="305"/>
      <c r="N937" s="305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</row>
    <row r="938" spans="1:24" ht="15.75" customHeight="1">
      <c r="A938" s="305"/>
      <c r="B938" s="305"/>
      <c r="C938" s="305"/>
      <c r="D938" s="305"/>
      <c r="E938" s="305"/>
      <c r="F938" s="305"/>
      <c r="G938" s="305"/>
      <c r="H938" s="305"/>
      <c r="I938" s="305"/>
      <c r="J938" s="305"/>
      <c r="K938" s="305"/>
      <c r="L938" s="305"/>
      <c r="M938" s="305"/>
      <c r="N938" s="305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</row>
    <row r="939" spans="1:24" ht="15.75" customHeight="1">
      <c r="A939" s="305"/>
      <c r="B939" s="305"/>
      <c r="C939" s="305"/>
      <c r="D939" s="305"/>
      <c r="E939" s="305"/>
      <c r="F939" s="305"/>
      <c r="G939" s="305"/>
      <c r="H939" s="305"/>
      <c r="I939" s="305"/>
      <c r="J939" s="305"/>
      <c r="K939" s="305"/>
      <c r="L939" s="305"/>
      <c r="M939" s="305"/>
      <c r="N939" s="305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</row>
    <row r="940" spans="1:24" ht="15.75" customHeight="1">
      <c r="A940" s="305"/>
      <c r="B940" s="305"/>
      <c r="C940" s="305"/>
      <c r="D940" s="305"/>
      <c r="E940" s="305"/>
      <c r="F940" s="305"/>
      <c r="G940" s="305"/>
      <c r="H940" s="305"/>
      <c r="I940" s="305"/>
      <c r="J940" s="305"/>
      <c r="K940" s="305"/>
      <c r="L940" s="305"/>
      <c r="M940" s="305"/>
      <c r="N940" s="305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</row>
    <row r="941" spans="1:24" ht="15.75" customHeight="1">
      <c r="A941" s="305"/>
      <c r="B941" s="305"/>
      <c r="C941" s="305"/>
      <c r="D941" s="305"/>
      <c r="E941" s="305"/>
      <c r="F941" s="305"/>
      <c r="G941" s="305"/>
      <c r="H941" s="305"/>
      <c r="I941" s="305"/>
      <c r="J941" s="305"/>
      <c r="K941" s="305"/>
      <c r="L941" s="305"/>
      <c r="M941" s="305"/>
      <c r="N941" s="305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</row>
    <row r="942" spans="1:24" ht="15.75" customHeight="1">
      <c r="A942" s="305"/>
      <c r="B942" s="305"/>
      <c r="C942" s="305"/>
      <c r="D942" s="305"/>
      <c r="E942" s="305"/>
      <c r="F942" s="305"/>
      <c r="G942" s="305"/>
      <c r="H942" s="305"/>
      <c r="I942" s="305"/>
      <c r="J942" s="305"/>
      <c r="K942" s="305"/>
      <c r="L942" s="305"/>
      <c r="M942" s="305"/>
      <c r="N942" s="305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</row>
    <row r="943" spans="1:24" ht="15.75" customHeight="1">
      <c r="A943" s="305"/>
      <c r="B943" s="305"/>
      <c r="C943" s="305"/>
      <c r="D943" s="305"/>
      <c r="E943" s="305"/>
      <c r="F943" s="305"/>
      <c r="G943" s="305"/>
      <c r="H943" s="305"/>
      <c r="I943" s="305"/>
      <c r="J943" s="305"/>
      <c r="K943" s="305"/>
      <c r="L943" s="305"/>
      <c r="M943" s="305"/>
      <c r="N943" s="305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</row>
    <row r="944" spans="1:24" ht="15.75" customHeight="1">
      <c r="A944" s="305"/>
      <c r="B944" s="305"/>
      <c r="C944" s="305"/>
      <c r="D944" s="305"/>
      <c r="E944" s="305"/>
      <c r="F944" s="305"/>
      <c r="G944" s="305"/>
      <c r="H944" s="305"/>
      <c r="I944" s="305"/>
      <c r="J944" s="305"/>
      <c r="K944" s="305"/>
      <c r="L944" s="305"/>
      <c r="M944" s="305"/>
      <c r="N944" s="305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</row>
    <row r="945" spans="1:24" ht="15.75" customHeight="1">
      <c r="A945" s="305"/>
      <c r="B945" s="305"/>
      <c r="C945" s="305"/>
      <c r="D945" s="305"/>
      <c r="E945" s="305"/>
      <c r="F945" s="305"/>
      <c r="G945" s="305"/>
      <c r="H945" s="305"/>
      <c r="I945" s="305"/>
      <c r="J945" s="305"/>
      <c r="K945" s="305"/>
      <c r="L945" s="305"/>
      <c r="M945" s="305"/>
      <c r="N945" s="305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</row>
    <row r="946" spans="1:24" ht="15.75" customHeight="1">
      <c r="A946" s="305"/>
      <c r="B946" s="305"/>
      <c r="C946" s="305"/>
      <c r="D946" s="305"/>
      <c r="E946" s="305"/>
      <c r="F946" s="305"/>
      <c r="G946" s="305"/>
      <c r="H946" s="305"/>
      <c r="I946" s="305"/>
      <c r="J946" s="305"/>
      <c r="K946" s="305"/>
      <c r="L946" s="305"/>
      <c r="M946" s="305"/>
      <c r="N946" s="305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</row>
    <row r="947" spans="1:24" ht="15.75" customHeight="1">
      <c r="A947" s="305"/>
      <c r="B947" s="305"/>
      <c r="C947" s="305"/>
      <c r="D947" s="305"/>
      <c r="E947" s="305"/>
      <c r="F947" s="305"/>
      <c r="G947" s="305"/>
      <c r="H947" s="305"/>
      <c r="I947" s="305"/>
      <c r="J947" s="305"/>
      <c r="K947" s="305"/>
      <c r="L947" s="305"/>
      <c r="M947" s="305"/>
      <c r="N947" s="305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</row>
    <row r="948" spans="1:24" ht="15.75" customHeight="1">
      <c r="A948" s="305"/>
      <c r="B948" s="305"/>
      <c r="C948" s="305"/>
      <c r="D948" s="305"/>
      <c r="E948" s="305"/>
      <c r="F948" s="305"/>
      <c r="G948" s="305"/>
      <c r="H948" s="305"/>
      <c r="I948" s="305"/>
      <c r="J948" s="305"/>
      <c r="K948" s="305"/>
      <c r="L948" s="305"/>
      <c r="M948" s="305"/>
      <c r="N948" s="305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</row>
    <row r="949" spans="1:24" ht="15.75" customHeight="1">
      <c r="A949" s="305"/>
      <c r="B949" s="305"/>
      <c r="C949" s="305"/>
      <c r="D949" s="305"/>
      <c r="E949" s="305"/>
      <c r="F949" s="305"/>
      <c r="G949" s="305"/>
      <c r="H949" s="305"/>
      <c r="I949" s="305"/>
      <c r="J949" s="305"/>
      <c r="K949" s="305"/>
      <c r="L949" s="305"/>
      <c r="M949" s="305"/>
      <c r="N949" s="305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</row>
    <row r="950" spans="1:24" ht="15.75" customHeight="1">
      <c r="A950" s="305"/>
      <c r="B950" s="305"/>
      <c r="C950" s="305"/>
      <c r="D950" s="305"/>
      <c r="E950" s="305"/>
      <c r="F950" s="305"/>
      <c r="G950" s="305"/>
      <c r="H950" s="305"/>
      <c r="I950" s="305"/>
      <c r="J950" s="305"/>
      <c r="K950" s="305"/>
      <c r="L950" s="305"/>
      <c r="M950" s="305"/>
      <c r="N950" s="305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</row>
    <row r="951" spans="1:24" ht="15.75" customHeight="1">
      <c r="A951" s="305"/>
      <c r="B951" s="305"/>
      <c r="C951" s="305"/>
      <c r="D951" s="305"/>
      <c r="E951" s="305"/>
      <c r="F951" s="305"/>
      <c r="G951" s="305"/>
      <c r="H951" s="305"/>
      <c r="I951" s="305"/>
      <c r="J951" s="305"/>
      <c r="K951" s="305"/>
      <c r="L951" s="305"/>
      <c r="M951" s="305"/>
      <c r="N951" s="305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</row>
    <row r="952" spans="1:24" ht="15.75" customHeight="1">
      <c r="A952" s="305"/>
      <c r="B952" s="305"/>
      <c r="C952" s="305"/>
      <c r="D952" s="305"/>
      <c r="E952" s="305"/>
      <c r="F952" s="305"/>
      <c r="G952" s="305"/>
      <c r="H952" s="305"/>
      <c r="I952" s="305"/>
      <c r="J952" s="305"/>
      <c r="K952" s="305"/>
      <c r="L952" s="305"/>
      <c r="M952" s="305"/>
      <c r="N952" s="305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</row>
    <row r="953" spans="1:24" ht="15.75" customHeight="1">
      <c r="A953" s="305"/>
      <c r="B953" s="305"/>
      <c r="C953" s="305"/>
      <c r="D953" s="305"/>
      <c r="E953" s="305"/>
      <c r="F953" s="305"/>
      <c r="G953" s="305"/>
      <c r="H953" s="305"/>
      <c r="I953" s="305"/>
      <c r="J953" s="305"/>
      <c r="K953" s="305"/>
      <c r="L953" s="305"/>
      <c r="M953" s="305"/>
      <c r="N953" s="305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</row>
    <row r="954" spans="1:24" ht="15.75" customHeight="1">
      <c r="A954" s="305"/>
      <c r="B954" s="305"/>
      <c r="C954" s="305"/>
      <c r="D954" s="305"/>
      <c r="E954" s="305"/>
      <c r="F954" s="305"/>
      <c r="G954" s="305"/>
      <c r="H954" s="305"/>
      <c r="I954" s="305"/>
      <c r="J954" s="305"/>
      <c r="K954" s="305"/>
      <c r="L954" s="305"/>
      <c r="M954" s="305"/>
      <c r="N954" s="305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</row>
    <row r="955" spans="1:24" ht="15.75" customHeight="1">
      <c r="A955" s="305"/>
      <c r="B955" s="305"/>
      <c r="C955" s="305"/>
      <c r="D955" s="305"/>
      <c r="E955" s="305"/>
      <c r="F955" s="305"/>
      <c r="G955" s="305"/>
      <c r="H955" s="305"/>
      <c r="I955" s="305"/>
      <c r="J955" s="305"/>
      <c r="K955" s="305"/>
      <c r="L955" s="305"/>
      <c r="M955" s="305"/>
      <c r="N955" s="305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</row>
    <row r="956" spans="1:24" ht="15.75" customHeight="1">
      <c r="A956" s="305"/>
      <c r="B956" s="305"/>
      <c r="C956" s="305"/>
      <c r="D956" s="305"/>
      <c r="E956" s="305"/>
      <c r="F956" s="305"/>
      <c r="G956" s="305"/>
      <c r="H956" s="305"/>
      <c r="I956" s="305"/>
      <c r="J956" s="305"/>
      <c r="K956" s="305"/>
      <c r="L956" s="305"/>
      <c r="M956" s="305"/>
      <c r="N956" s="305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</row>
    <row r="957" spans="1:24" ht="15.75" customHeight="1">
      <c r="A957" s="305"/>
      <c r="B957" s="305"/>
      <c r="C957" s="305"/>
      <c r="D957" s="305"/>
      <c r="E957" s="305"/>
      <c r="F957" s="305"/>
      <c r="G957" s="305"/>
      <c r="H957" s="305"/>
      <c r="I957" s="305"/>
      <c r="J957" s="305"/>
      <c r="K957" s="305"/>
      <c r="L957" s="305"/>
      <c r="M957" s="305"/>
      <c r="N957" s="305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</row>
    <row r="958" spans="1:24" ht="15.75" customHeight="1">
      <c r="A958" s="305"/>
      <c r="B958" s="305"/>
      <c r="C958" s="305"/>
      <c r="D958" s="305"/>
      <c r="E958" s="305"/>
      <c r="F958" s="305"/>
      <c r="G958" s="305"/>
      <c r="H958" s="305"/>
      <c r="I958" s="305"/>
      <c r="J958" s="305"/>
      <c r="K958" s="305"/>
      <c r="L958" s="305"/>
      <c r="M958" s="305"/>
      <c r="N958" s="305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</row>
    <row r="959" spans="1:24" ht="15.75" customHeight="1">
      <c r="A959" s="305"/>
      <c r="B959" s="305"/>
      <c r="C959" s="305"/>
      <c r="D959" s="305"/>
      <c r="E959" s="305"/>
      <c r="F959" s="305"/>
      <c r="G959" s="305"/>
      <c r="H959" s="305"/>
      <c r="I959" s="305"/>
      <c r="J959" s="305"/>
      <c r="K959" s="305"/>
      <c r="L959" s="305"/>
      <c r="M959" s="305"/>
      <c r="N959" s="305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</row>
    <row r="960" spans="1:24" ht="15.75" customHeight="1">
      <c r="A960" s="305"/>
      <c r="B960" s="305"/>
      <c r="C960" s="305"/>
      <c r="D960" s="305"/>
      <c r="E960" s="305"/>
      <c r="F960" s="305"/>
      <c r="G960" s="305"/>
      <c r="H960" s="305"/>
      <c r="I960" s="305"/>
      <c r="J960" s="305"/>
      <c r="K960" s="305"/>
      <c r="L960" s="305"/>
      <c r="M960" s="305"/>
      <c r="N960" s="305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</row>
    <row r="961" spans="1:24" ht="15.75" customHeight="1">
      <c r="A961" s="305"/>
      <c r="B961" s="305"/>
      <c r="C961" s="305"/>
      <c r="D961" s="305"/>
      <c r="E961" s="305"/>
      <c r="F961" s="305"/>
      <c r="G961" s="305"/>
      <c r="H961" s="305"/>
      <c r="I961" s="305"/>
      <c r="J961" s="305"/>
      <c r="K961" s="305"/>
      <c r="L961" s="305"/>
      <c r="M961" s="305"/>
      <c r="N961" s="305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</row>
    <row r="962" spans="1:24" ht="15.75" customHeight="1">
      <c r="A962" s="305"/>
      <c r="B962" s="305"/>
      <c r="C962" s="305"/>
      <c r="D962" s="305"/>
      <c r="E962" s="305"/>
      <c r="F962" s="305"/>
      <c r="G962" s="305"/>
      <c r="H962" s="305"/>
      <c r="I962" s="305"/>
      <c r="J962" s="305"/>
      <c r="K962" s="305"/>
      <c r="L962" s="305"/>
      <c r="M962" s="305"/>
      <c r="N962" s="305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</row>
    <row r="963" spans="1:24" ht="15.75" customHeight="1">
      <c r="A963" s="305"/>
      <c r="B963" s="305"/>
      <c r="C963" s="305"/>
      <c r="D963" s="305"/>
      <c r="E963" s="305"/>
      <c r="F963" s="305"/>
      <c r="G963" s="305"/>
      <c r="H963" s="305"/>
      <c r="I963" s="305"/>
      <c r="J963" s="305"/>
      <c r="K963" s="305"/>
      <c r="L963" s="305"/>
      <c r="M963" s="305"/>
      <c r="N963" s="305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</row>
    <row r="964" spans="1:24" ht="15.75" customHeight="1">
      <c r="A964" s="305"/>
      <c r="B964" s="305"/>
      <c r="C964" s="305"/>
      <c r="D964" s="305"/>
      <c r="E964" s="305"/>
      <c r="F964" s="305"/>
      <c r="G964" s="305"/>
      <c r="H964" s="305"/>
      <c r="I964" s="305"/>
      <c r="J964" s="305"/>
      <c r="K964" s="305"/>
      <c r="L964" s="305"/>
      <c r="M964" s="305"/>
      <c r="N964" s="305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</row>
    <row r="965" spans="1:24" ht="15.75" customHeight="1">
      <c r="A965" s="305"/>
      <c r="B965" s="305"/>
      <c r="C965" s="305"/>
      <c r="D965" s="305"/>
      <c r="E965" s="305"/>
      <c r="F965" s="305"/>
      <c r="G965" s="305"/>
      <c r="H965" s="305"/>
      <c r="I965" s="305"/>
      <c r="J965" s="305"/>
      <c r="K965" s="305"/>
      <c r="L965" s="305"/>
      <c r="M965" s="305"/>
      <c r="N965" s="305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</row>
    <row r="966" spans="1:24" ht="15.75" customHeight="1">
      <c r="A966" s="305"/>
      <c r="B966" s="305"/>
      <c r="C966" s="305"/>
      <c r="D966" s="305"/>
      <c r="E966" s="305"/>
      <c r="F966" s="305"/>
      <c r="G966" s="305"/>
      <c r="H966" s="305"/>
      <c r="I966" s="305"/>
      <c r="J966" s="305"/>
      <c r="K966" s="305"/>
      <c r="L966" s="305"/>
      <c r="M966" s="305"/>
      <c r="N966" s="305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</row>
    <row r="967" spans="1:24" ht="15.75" customHeight="1">
      <c r="A967" s="305"/>
      <c r="B967" s="305"/>
      <c r="C967" s="305"/>
      <c r="D967" s="305"/>
      <c r="E967" s="305"/>
      <c r="F967" s="305"/>
      <c r="G967" s="305"/>
      <c r="H967" s="305"/>
      <c r="I967" s="305"/>
      <c r="J967" s="305"/>
      <c r="K967" s="305"/>
      <c r="L967" s="305"/>
      <c r="M967" s="305"/>
      <c r="N967" s="305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</row>
    <row r="968" spans="1:24" ht="15.75" customHeight="1">
      <c r="A968" s="305"/>
      <c r="B968" s="305"/>
      <c r="C968" s="305"/>
      <c r="D968" s="305"/>
      <c r="E968" s="305"/>
      <c r="F968" s="305"/>
      <c r="G968" s="305"/>
      <c r="H968" s="305"/>
      <c r="I968" s="305"/>
      <c r="J968" s="305"/>
      <c r="K968" s="305"/>
      <c r="L968" s="305"/>
      <c r="M968" s="305"/>
      <c r="N968" s="305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</row>
    <row r="969" spans="1:24" ht="15.75" customHeight="1">
      <c r="A969" s="305"/>
      <c r="B969" s="305"/>
      <c r="C969" s="305"/>
      <c r="D969" s="305"/>
      <c r="E969" s="305"/>
      <c r="F969" s="305"/>
      <c r="G969" s="305"/>
      <c r="H969" s="305"/>
      <c r="I969" s="305"/>
      <c r="J969" s="305"/>
      <c r="K969" s="305"/>
      <c r="L969" s="305"/>
      <c r="M969" s="305"/>
      <c r="N969" s="305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</row>
    <row r="970" spans="1:24" ht="15.75" customHeight="1">
      <c r="A970" s="305"/>
      <c r="B970" s="305"/>
      <c r="C970" s="305"/>
      <c r="D970" s="305"/>
      <c r="E970" s="305"/>
      <c r="F970" s="305"/>
      <c r="G970" s="305"/>
      <c r="H970" s="305"/>
      <c r="I970" s="305"/>
      <c r="J970" s="305"/>
      <c r="K970" s="305"/>
      <c r="L970" s="305"/>
      <c r="M970" s="305"/>
      <c r="N970" s="305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</row>
    <row r="971" spans="1:24" ht="15.75" customHeight="1">
      <c r="A971" s="305"/>
      <c r="B971" s="305"/>
      <c r="C971" s="305"/>
      <c r="D971" s="305"/>
      <c r="E971" s="305"/>
      <c r="F971" s="305"/>
      <c r="G971" s="305"/>
      <c r="H971" s="305"/>
      <c r="I971" s="305"/>
      <c r="J971" s="305"/>
      <c r="K971" s="305"/>
      <c r="L971" s="305"/>
      <c r="M971" s="305"/>
      <c r="N971" s="305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</row>
    <row r="972" spans="1:24" ht="15.75" customHeight="1">
      <c r="A972" s="305"/>
      <c r="B972" s="305"/>
      <c r="C972" s="305"/>
      <c r="D972" s="305"/>
      <c r="E972" s="305"/>
      <c r="F972" s="305"/>
      <c r="G972" s="305"/>
      <c r="H972" s="305"/>
      <c r="I972" s="305"/>
      <c r="J972" s="305"/>
      <c r="K972" s="305"/>
      <c r="L972" s="305"/>
      <c r="M972" s="305"/>
      <c r="N972" s="305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</row>
    <row r="973" spans="1:24" ht="15.75" customHeight="1">
      <c r="A973" s="305"/>
      <c r="B973" s="305"/>
      <c r="C973" s="305"/>
      <c r="D973" s="305"/>
      <c r="E973" s="305"/>
      <c r="F973" s="305"/>
      <c r="G973" s="305"/>
      <c r="H973" s="305"/>
      <c r="I973" s="305"/>
      <c r="J973" s="305"/>
      <c r="K973" s="305"/>
      <c r="L973" s="305"/>
      <c r="M973" s="305"/>
      <c r="N973" s="305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</row>
    <row r="974" spans="1:24" ht="15.75" customHeight="1">
      <c r="A974" s="305"/>
      <c r="B974" s="305"/>
      <c r="C974" s="305"/>
      <c r="D974" s="305"/>
      <c r="E974" s="305"/>
      <c r="F974" s="305"/>
      <c r="G974" s="305"/>
      <c r="H974" s="305"/>
      <c r="I974" s="305"/>
      <c r="J974" s="305"/>
      <c r="K974" s="305"/>
      <c r="L974" s="305"/>
      <c r="M974" s="305"/>
      <c r="N974" s="305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</row>
    <row r="975" spans="1:24" ht="15.75" customHeight="1">
      <c r="A975" s="305"/>
      <c r="B975" s="305"/>
      <c r="C975" s="305"/>
      <c r="D975" s="305"/>
      <c r="E975" s="305"/>
      <c r="F975" s="305"/>
      <c r="G975" s="305"/>
      <c r="H975" s="305"/>
      <c r="I975" s="305"/>
      <c r="J975" s="305"/>
      <c r="K975" s="305"/>
      <c r="L975" s="305"/>
      <c r="M975" s="305"/>
      <c r="N975" s="305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</row>
    <row r="976" spans="1:24" ht="15.75" customHeight="1">
      <c r="A976" s="305"/>
      <c r="B976" s="305"/>
      <c r="C976" s="305"/>
      <c r="D976" s="305"/>
      <c r="E976" s="305"/>
      <c r="F976" s="305"/>
      <c r="G976" s="305"/>
      <c r="H976" s="305"/>
      <c r="I976" s="305"/>
      <c r="J976" s="305"/>
      <c r="K976" s="305"/>
      <c r="L976" s="305"/>
      <c r="M976" s="305"/>
      <c r="N976" s="305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</row>
    <row r="977" spans="1:24" ht="15.75" customHeight="1">
      <c r="A977" s="305"/>
      <c r="B977" s="305"/>
      <c r="C977" s="305"/>
      <c r="D977" s="305"/>
      <c r="E977" s="305"/>
      <c r="F977" s="305"/>
      <c r="G977" s="305"/>
      <c r="H977" s="305"/>
      <c r="I977" s="305"/>
      <c r="J977" s="305"/>
      <c r="K977" s="305"/>
      <c r="L977" s="305"/>
      <c r="M977" s="305"/>
      <c r="N977" s="305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</row>
    <row r="978" spans="1:24" ht="15.75" customHeight="1">
      <c r="A978" s="305"/>
      <c r="B978" s="305"/>
      <c r="C978" s="305"/>
      <c r="D978" s="305"/>
      <c r="E978" s="305"/>
      <c r="F978" s="305"/>
      <c r="G978" s="305"/>
      <c r="H978" s="305"/>
      <c r="I978" s="305"/>
      <c r="J978" s="305"/>
      <c r="K978" s="305"/>
      <c r="L978" s="305"/>
      <c r="M978" s="305"/>
      <c r="N978" s="305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</row>
    <row r="979" spans="1:24" ht="15.75" customHeight="1">
      <c r="A979" s="305"/>
      <c r="B979" s="305"/>
      <c r="C979" s="305"/>
      <c r="D979" s="305"/>
      <c r="E979" s="305"/>
      <c r="F979" s="305"/>
      <c r="G979" s="305"/>
      <c r="H979" s="305"/>
      <c r="I979" s="305"/>
      <c r="J979" s="305"/>
      <c r="K979" s="305"/>
      <c r="L979" s="305"/>
      <c r="M979" s="305"/>
      <c r="N979" s="305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</row>
    <row r="980" spans="1:24" ht="15.75" customHeight="1">
      <c r="A980" s="305"/>
      <c r="B980" s="305"/>
      <c r="C980" s="305"/>
      <c r="D980" s="305"/>
      <c r="E980" s="305"/>
      <c r="F980" s="305"/>
      <c r="G980" s="305"/>
      <c r="H980" s="305"/>
      <c r="I980" s="305"/>
      <c r="J980" s="305"/>
      <c r="K980" s="305"/>
      <c r="L980" s="305"/>
      <c r="M980" s="305"/>
      <c r="N980" s="305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</row>
    <row r="981" spans="1:24" ht="15.75" customHeight="1">
      <c r="A981" s="305"/>
      <c r="B981" s="305"/>
      <c r="C981" s="305"/>
      <c r="D981" s="305"/>
      <c r="E981" s="305"/>
      <c r="F981" s="305"/>
      <c r="G981" s="305"/>
      <c r="H981" s="305"/>
      <c r="I981" s="305"/>
      <c r="J981" s="305"/>
      <c r="K981" s="305"/>
      <c r="L981" s="305"/>
      <c r="M981" s="305"/>
      <c r="N981" s="305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</row>
    <row r="982" spans="1:24" ht="15.75" customHeight="1">
      <c r="A982" s="305"/>
      <c r="B982" s="305"/>
      <c r="C982" s="305"/>
      <c r="D982" s="305"/>
      <c r="E982" s="305"/>
      <c r="F982" s="305"/>
      <c r="G982" s="305"/>
      <c r="H982" s="305"/>
      <c r="I982" s="305"/>
      <c r="J982" s="305"/>
      <c r="K982" s="305"/>
      <c r="L982" s="305"/>
      <c r="M982" s="305"/>
      <c r="N982" s="305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</row>
    <row r="983" spans="1:24" ht="15.75" customHeight="1">
      <c r="A983" s="305"/>
      <c r="B983" s="305"/>
      <c r="C983" s="305"/>
      <c r="D983" s="305"/>
      <c r="E983" s="305"/>
      <c r="F983" s="305"/>
      <c r="G983" s="305"/>
      <c r="H983" s="305"/>
      <c r="I983" s="305"/>
      <c r="J983" s="305"/>
      <c r="K983" s="305"/>
      <c r="L983" s="305"/>
      <c r="M983" s="305"/>
      <c r="N983" s="305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</row>
    <row r="984" spans="1:24" ht="15.75" customHeight="1">
      <c r="A984" s="305"/>
      <c r="B984" s="305"/>
      <c r="C984" s="305"/>
      <c r="D984" s="305"/>
      <c r="E984" s="305"/>
      <c r="F984" s="305"/>
      <c r="G984" s="305"/>
      <c r="H984" s="305"/>
      <c r="I984" s="305"/>
      <c r="J984" s="305"/>
      <c r="K984" s="305"/>
      <c r="L984" s="305"/>
      <c r="M984" s="305"/>
      <c r="N984" s="305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</row>
    <row r="985" spans="1:24" ht="15.75" customHeight="1">
      <c r="A985" s="305"/>
      <c r="B985" s="305"/>
      <c r="C985" s="305"/>
      <c r="D985" s="305"/>
      <c r="E985" s="305"/>
      <c r="F985" s="305"/>
      <c r="G985" s="305"/>
      <c r="H985" s="305"/>
      <c r="I985" s="305"/>
      <c r="J985" s="305"/>
      <c r="K985" s="305"/>
      <c r="L985" s="305"/>
      <c r="M985" s="305"/>
      <c r="N985" s="305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</row>
    <row r="986" spans="1:24" ht="15.75" customHeight="1">
      <c r="A986" s="305"/>
      <c r="B986" s="305"/>
      <c r="C986" s="305"/>
      <c r="D986" s="305"/>
      <c r="E986" s="305"/>
      <c r="F986" s="305"/>
      <c r="G986" s="305"/>
      <c r="H986" s="305"/>
      <c r="I986" s="305"/>
      <c r="J986" s="305"/>
      <c r="K986" s="305"/>
      <c r="L986" s="305"/>
      <c r="M986" s="305"/>
      <c r="N986" s="305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</row>
    <row r="987" spans="1:24" ht="15.75" customHeight="1">
      <c r="A987" s="305"/>
      <c r="B987" s="305"/>
      <c r="C987" s="305"/>
      <c r="D987" s="305"/>
      <c r="E987" s="305"/>
      <c r="F987" s="305"/>
      <c r="G987" s="305"/>
      <c r="H987" s="305"/>
      <c r="I987" s="305"/>
      <c r="J987" s="305"/>
      <c r="K987" s="305"/>
      <c r="L987" s="305"/>
      <c r="M987" s="305"/>
      <c r="N987" s="305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</row>
    <row r="988" spans="1:24" ht="15.75" customHeight="1">
      <c r="A988" s="305"/>
      <c r="B988" s="305"/>
      <c r="C988" s="305"/>
      <c r="D988" s="305"/>
      <c r="E988" s="305"/>
      <c r="F988" s="305"/>
      <c r="G988" s="305"/>
      <c r="H988" s="305"/>
      <c r="I988" s="305"/>
      <c r="J988" s="305"/>
      <c r="K988" s="305"/>
      <c r="L988" s="305"/>
      <c r="M988" s="305"/>
      <c r="N988" s="305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</row>
    <row r="989" spans="1:24" ht="15.75" customHeight="1">
      <c r="A989" s="305"/>
      <c r="B989" s="305"/>
      <c r="C989" s="305"/>
      <c r="D989" s="305"/>
      <c r="E989" s="305"/>
      <c r="F989" s="305"/>
      <c r="G989" s="305"/>
      <c r="H989" s="305"/>
      <c r="I989" s="305"/>
      <c r="J989" s="305"/>
      <c r="K989" s="305"/>
      <c r="L989" s="305"/>
      <c r="M989" s="305"/>
      <c r="N989" s="305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</row>
    <row r="990" spans="1:24" ht="15.75" customHeight="1">
      <c r="A990" s="305"/>
      <c r="B990" s="305"/>
      <c r="C990" s="305"/>
      <c r="D990" s="305"/>
      <c r="E990" s="305"/>
      <c r="F990" s="305"/>
      <c r="G990" s="305"/>
      <c r="H990" s="305"/>
      <c r="I990" s="305"/>
      <c r="J990" s="305"/>
      <c r="K990" s="305"/>
      <c r="L990" s="305"/>
      <c r="M990" s="305"/>
      <c r="N990" s="305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</row>
    <row r="991" spans="1:24" ht="15.75" customHeight="1">
      <c r="A991" s="305"/>
      <c r="B991" s="305"/>
      <c r="C991" s="305"/>
      <c r="D991" s="305"/>
      <c r="E991" s="305"/>
      <c r="F991" s="305"/>
      <c r="G991" s="305"/>
      <c r="H991" s="305"/>
      <c r="I991" s="305"/>
      <c r="J991" s="305"/>
      <c r="K991" s="305"/>
      <c r="L991" s="305"/>
      <c r="M991" s="305"/>
      <c r="N991" s="305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</row>
    <row r="992" spans="1:24" ht="15.75" customHeight="1">
      <c r="A992" s="305"/>
      <c r="B992" s="305"/>
      <c r="C992" s="305"/>
      <c r="D992" s="305"/>
      <c r="E992" s="305"/>
      <c r="F992" s="305"/>
      <c r="G992" s="305"/>
      <c r="H992" s="305"/>
      <c r="I992" s="305"/>
      <c r="J992" s="305"/>
      <c r="K992" s="305"/>
      <c r="L992" s="305"/>
      <c r="M992" s="305"/>
      <c r="N992" s="305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</row>
    <row r="993" spans="1:24" ht="15.75" customHeight="1">
      <c r="A993" s="305"/>
      <c r="B993" s="305"/>
      <c r="C993" s="305"/>
      <c r="D993" s="305"/>
      <c r="E993" s="305"/>
      <c r="F993" s="305"/>
      <c r="G993" s="305"/>
      <c r="H993" s="305"/>
      <c r="I993" s="305"/>
      <c r="J993" s="305"/>
      <c r="K993" s="305"/>
      <c r="L993" s="305"/>
      <c r="M993" s="305"/>
      <c r="N993" s="305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</row>
    <row r="994" spans="1:24" ht="15.75" customHeight="1">
      <c r="A994" s="305"/>
      <c r="B994" s="305"/>
      <c r="C994" s="305"/>
      <c r="D994" s="305"/>
      <c r="E994" s="305"/>
      <c r="F994" s="305"/>
      <c r="G994" s="305"/>
      <c r="H994" s="305"/>
      <c r="I994" s="305"/>
      <c r="J994" s="305"/>
      <c r="K994" s="305"/>
      <c r="L994" s="305"/>
      <c r="M994" s="305"/>
      <c r="N994" s="305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</row>
    <row r="995" spans="1:24" ht="15.75" customHeight="1">
      <c r="A995" s="305"/>
      <c r="B995" s="305"/>
      <c r="C995" s="305"/>
      <c r="D995" s="305"/>
      <c r="E995" s="305"/>
      <c r="F995" s="305"/>
      <c r="G995" s="305"/>
      <c r="H995" s="305"/>
      <c r="I995" s="305"/>
      <c r="J995" s="305"/>
      <c r="K995" s="305"/>
      <c r="L995" s="305"/>
      <c r="M995" s="305"/>
      <c r="N995" s="305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</row>
    <row r="996" spans="1:24" ht="15.75" customHeight="1">
      <c r="A996" s="305"/>
      <c r="B996" s="305"/>
      <c r="C996" s="305"/>
      <c r="D996" s="305"/>
      <c r="E996" s="305"/>
      <c r="F996" s="305"/>
      <c r="G996" s="305"/>
      <c r="H996" s="305"/>
      <c r="I996" s="305"/>
      <c r="J996" s="305"/>
      <c r="K996" s="305"/>
      <c r="L996" s="305"/>
      <c r="M996" s="305"/>
      <c r="N996" s="305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</row>
    <row r="997" spans="1:24" ht="15.75" customHeight="1">
      <c r="A997" s="305"/>
      <c r="B997" s="305"/>
      <c r="C997" s="305"/>
      <c r="D997" s="305"/>
      <c r="E997" s="305"/>
      <c r="F997" s="305"/>
      <c r="G997" s="305"/>
      <c r="H997" s="305"/>
      <c r="I997" s="305"/>
      <c r="J997" s="305"/>
      <c r="K997" s="305"/>
      <c r="L997" s="305"/>
      <c r="M997" s="305"/>
      <c r="N997" s="305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</row>
    <row r="998" spans="1:24" ht="15.75" customHeight="1">
      <c r="A998" s="305"/>
      <c r="B998" s="305"/>
      <c r="C998" s="305"/>
      <c r="D998" s="305"/>
      <c r="E998" s="305"/>
      <c r="F998" s="305"/>
      <c r="G998" s="305"/>
      <c r="H998" s="305"/>
      <c r="I998" s="305"/>
      <c r="J998" s="305"/>
      <c r="K998" s="305"/>
      <c r="L998" s="305"/>
      <c r="M998" s="305"/>
      <c r="N998" s="305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</row>
    <row r="999" spans="1:24" ht="15.75" customHeight="1">
      <c r="A999" s="305"/>
      <c r="B999" s="305"/>
      <c r="C999" s="305"/>
      <c r="D999" s="305"/>
      <c r="E999" s="305"/>
      <c r="F999" s="305"/>
      <c r="G999" s="305"/>
      <c r="H999" s="305"/>
      <c r="I999" s="305"/>
      <c r="J999" s="305"/>
      <c r="K999" s="305"/>
      <c r="L999" s="305"/>
      <c r="M999" s="305"/>
      <c r="N999" s="305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</row>
    <row r="1000" spans="1:24" ht="15.75" customHeight="1">
      <c r="A1000" s="305"/>
      <c r="B1000" s="305"/>
      <c r="C1000" s="305"/>
      <c r="D1000" s="305"/>
      <c r="E1000" s="305"/>
      <c r="F1000" s="305"/>
      <c r="G1000" s="305"/>
      <c r="H1000" s="305"/>
      <c r="I1000" s="305"/>
      <c r="J1000" s="305"/>
      <c r="K1000" s="305"/>
      <c r="L1000" s="305"/>
      <c r="M1000" s="305"/>
      <c r="N1000" s="305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</row>
    <row r="1001" spans="1:24" ht="15.75" customHeight="1">
      <c r="A1001" s="305"/>
      <c r="B1001" s="305"/>
      <c r="C1001" s="305"/>
      <c r="D1001" s="305"/>
      <c r="E1001" s="305"/>
      <c r="F1001" s="305"/>
      <c r="G1001" s="305"/>
      <c r="H1001" s="305"/>
      <c r="I1001" s="305"/>
      <c r="J1001" s="305"/>
      <c r="K1001" s="305"/>
      <c r="L1001" s="305"/>
      <c r="M1001" s="305"/>
      <c r="N1001" s="305"/>
      <c r="O1001" s="305"/>
      <c r="P1001" s="305"/>
      <c r="Q1001" s="305"/>
      <c r="R1001" s="305"/>
      <c r="S1001" s="305"/>
      <c r="T1001" s="305"/>
      <c r="U1001" s="305"/>
      <c r="V1001" s="305"/>
      <c r="W1001" s="305"/>
      <c r="X1001" s="305"/>
    </row>
    <row r="1002" spans="1:24" ht="15.75" customHeight="1">
      <c r="A1002" s="305"/>
      <c r="B1002" s="305"/>
      <c r="C1002" s="305"/>
      <c r="D1002" s="305"/>
      <c r="E1002" s="305"/>
      <c r="F1002" s="305"/>
      <c r="G1002" s="305"/>
      <c r="H1002" s="305"/>
      <c r="I1002" s="305"/>
      <c r="J1002" s="305"/>
      <c r="K1002" s="305"/>
      <c r="L1002" s="305"/>
      <c r="M1002" s="305"/>
      <c r="N1002" s="305"/>
      <c r="O1002" s="305"/>
      <c r="P1002" s="305"/>
      <c r="Q1002" s="305"/>
      <c r="R1002" s="305"/>
      <c r="S1002" s="305"/>
      <c r="T1002" s="305"/>
      <c r="U1002" s="305"/>
      <c r="V1002" s="305"/>
      <c r="W1002" s="305"/>
      <c r="X1002" s="305"/>
    </row>
    <row r="1003" spans="1:24" ht="15.75" customHeight="1">
      <c r="A1003" s="305"/>
      <c r="B1003" s="305"/>
      <c r="C1003" s="305"/>
      <c r="D1003" s="305"/>
      <c r="E1003" s="305"/>
      <c r="F1003" s="305"/>
      <c r="G1003" s="305"/>
      <c r="H1003" s="305"/>
      <c r="I1003" s="305"/>
      <c r="J1003" s="305"/>
      <c r="K1003" s="305"/>
      <c r="L1003" s="305"/>
      <c r="M1003" s="305"/>
      <c r="N1003" s="305"/>
      <c r="O1003" s="305"/>
      <c r="P1003" s="305"/>
      <c r="Q1003" s="305"/>
      <c r="R1003" s="305"/>
      <c r="S1003" s="305"/>
      <c r="T1003" s="305"/>
      <c r="U1003" s="305"/>
      <c r="V1003" s="305"/>
      <c r="W1003" s="305"/>
      <c r="X1003" s="305"/>
    </row>
  </sheetData>
  <mergeCells count="76">
    <mergeCell ref="A117:A118"/>
    <mergeCell ref="A119:A120"/>
    <mergeCell ref="A97:A104"/>
    <mergeCell ref="A105:E105"/>
    <mergeCell ref="G105:I105"/>
    <mergeCell ref="A106:A107"/>
    <mergeCell ref="A108:A109"/>
    <mergeCell ref="A110:A111"/>
    <mergeCell ref="A112:A113"/>
    <mergeCell ref="A41:A43"/>
    <mergeCell ref="A44:E44"/>
    <mergeCell ref="G44:I44"/>
    <mergeCell ref="A45:A46"/>
    <mergeCell ref="A115:E115"/>
    <mergeCell ref="G115:I115"/>
    <mergeCell ref="A86:A90"/>
    <mergeCell ref="A91:E91"/>
    <mergeCell ref="G91:I91"/>
    <mergeCell ref="A92:A95"/>
    <mergeCell ref="A96:B96"/>
    <mergeCell ref="A75:A78"/>
    <mergeCell ref="A79:E79"/>
    <mergeCell ref="G79:I79"/>
    <mergeCell ref="A80:A84"/>
    <mergeCell ref="A85:E85"/>
    <mergeCell ref="A34:A35"/>
    <mergeCell ref="A36:E36"/>
    <mergeCell ref="G36:I36"/>
    <mergeCell ref="A37:A39"/>
    <mergeCell ref="A40:E40"/>
    <mergeCell ref="G40:I40"/>
    <mergeCell ref="A27:E27"/>
    <mergeCell ref="G27:I27"/>
    <mergeCell ref="A23:A26"/>
    <mergeCell ref="A28:A32"/>
    <mergeCell ref="A33:E33"/>
    <mergeCell ref="G33:I33"/>
    <mergeCell ref="A13:A15"/>
    <mergeCell ref="A16:E16"/>
    <mergeCell ref="G16:I16"/>
    <mergeCell ref="A17:A21"/>
    <mergeCell ref="A22:E22"/>
    <mergeCell ref="G22:I22"/>
    <mergeCell ref="A5:A8"/>
    <mergeCell ref="A9:E9"/>
    <mergeCell ref="G9:I9"/>
    <mergeCell ref="A10:A11"/>
    <mergeCell ref="A12:E12"/>
    <mergeCell ref="G12:I12"/>
    <mergeCell ref="K2:M2"/>
    <mergeCell ref="M3:M4"/>
    <mergeCell ref="A1:M1"/>
    <mergeCell ref="B2:E2"/>
    <mergeCell ref="G2:I2"/>
    <mergeCell ref="A3:A4"/>
    <mergeCell ref="B3:B4"/>
    <mergeCell ref="E3:E4"/>
    <mergeCell ref="I3:I4"/>
    <mergeCell ref="G85:I85"/>
    <mergeCell ref="A63:A67"/>
    <mergeCell ref="A68:E68"/>
    <mergeCell ref="G68:I68"/>
    <mergeCell ref="A69:A73"/>
    <mergeCell ref="A74:E74"/>
    <mergeCell ref="G74:I74"/>
    <mergeCell ref="A56:E56"/>
    <mergeCell ref="G56:I56"/>
    <mergeCell ref="A53:A55"/>
    <mergeCell ref="A57:A61"/>
    <mergeCell ref="A62:E62"/>
    <mergeCell ref="G62:I62"/>
    <mergeCell ref="A47:E47"/>
    <mergeCell ref="G47:I47"/>
    <mergeCell ref="A48:A51"/>
    <mergeCell ref="A52:E52"/>
    <mergeCell ref="G52:I52"/>
  </mergeCells>
  <printOptions horizontalCentered="1" gridLines="1"/>
  <pageMargins left="0.7" right="0.7" top="0.75" bottom="0.75" header="0" footer="0"/>
  <pageSetup paperSize="9" pageOrder="overThenDown" orientation="landscape" cellComments="atEnd"/>
  <rowBreaks count="4" manualBreakCount="4">
    <brk man="1"/>
    <brk id="85" man="1"/>
    <brk id="123" man="1"/>
    <brk id="44" man="1"/>
  </rowBreaks>
  <colBreaks count="2" manualBreakCount="2">
    <brk man="1"/>
    <brk id="1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topLeftCell="A2" workbookViewId="0">
      <selection activeCell="H5" sqref="H5"/>
    </sheetView>
  </sheetViews>
  <sheetFormatPr defaultColWidth="12.625" defaultRowHeight="15" customHeight="1"/>
  <cols>
    <col min="1" max="1" width="19.875" customWidth="1"/>
    <col min="2" max="2" width="13" customWidth="1"/>
    <col min="3" max="3" width="11.875" customWidth="1"/>
    <col min="4" max="4" width="10.625" customWidth="1"/>
    <col min="5" max="5" width="11.625" customWidth="1"/>
    <col min="6" max="6" width="1.25" customWidth="1"/>
    <col min="7" max="7" width="11.875" customWidth="1"/>
    <col min="8" max="8" width="11.25" customWidth="1"/>
    <col min="9" max="9" width="11.625" customWidth="1"/>
    <col min="10" max="10" width="1.25" customWidth="1"/>
    <col min="11" max="11" width="11.875" customWidth="1"/>
    <col min="12" max="12" width="10.875" customWidth="1"/>
    <col min="13" max="13" width="11.75" customWidth="1"/>
    <col min="14" max="14" width="9.875" customWidth="1"/>
    <col min="15" max="15" width="7.875" customWidth="1"/>
    <col min="16" max="16" width="0.375" customWidth="1"/>
    <col min="17" max="24" width="7.875" customWidth="1"/>
  </cols>
  <sheetData>
    <row r="1" spans="1:26" ht="15.75" customHeight="1">
      <c r="A1" s="1008" t="s">
        <v>191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55"/>
      <c r="N1" s="610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158"/>
      <c r="Z1" s="158"/>
    </row>
    <row r="2" spans="1:26" ht="16.5" customHeight="1">
      <c r="A2" s="306"/>
      <c r="B2" s="992" t="s">
        <v>156</v>
      </c>
      <c r="C2" s="928"/>
      <c r="D2" s="928"/>
      <c r="E2" s="955"/>
      <c r="F2" s="307"/>
      <c r="G2" s="993" t="s">
        <v>4</v>
      </c>
      <c r="H2" s="928"/>
      <c r="I2" s="928"/>
      <c r="J2" s="308"/>
      <c r="K2" s="1004" t="s">
        <v>1</v>
      </c>
      <c r="L2" s="928"/>
      <c r="M2" s="95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158"/>
      <c r="Z2" s="158"/>
    </row>
    <row r="3" spans="1:26" ht="48" customHeight="1">
      <c r="A3" s="994" t="s">
        <v>129</v>
      </c>
      <c r="B3" s="994" t="s">
        <v>7</v>
      </c>
      <c r="C3" s="311" t="str">
        <f>K3</f>
        <v xml:space="preserve">RG 2021-22 </v>
      </c>
      <c r="D3" s="312" t="str">
        <f t="shared" ref="D3:E3" si="0">H3</f>
        <v>Actual Exp. up to Dec -2021</v>
      </c>
      <c r="E3" s="995" t="str">
        <f t="shared" si="0"/>
        <v>%age utilization of fund on RG</v>
      </c>
      <c r="F3" s="314"/>
      <c r="G3" s="313" t="str">
        <f>K3</f>
        <v xml:space="preserve">RG 2021-22 </v>
      </c>
      <c r="H3" s="567" t="s">
        <v>189</v>
      </c>
      <c r="I3" s="995" t="str">
        <f>M3</f>
        <v>%age utilization of fund on RG</v>
      </c>
      <c r="J3" s="316"/>
      <c r="K3" s="627" t="s">
        <v>192</v>
      </c>
      <c r="L3" s="315" t="str">
        <f>H3</f>
        <v>Actual Exp. up to Dec -2021</v>
      </c>
      <c r="M3" s="989" t="s">
        <v>193</v>
      </c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158"/>
      <c r="Z3" s="158"/>
    </row>
    <row r="4" spans="1:26" ht="17.25" customHeight="1">
      <c r="A4" s="949"/>
      <c r="B4" s="949"/>
      <c r="C4" s="318" t="s">
        <v>19</v>
      </c>
      <c r="D4" s="319" t="s">
        <v>19</v>
      </c>
      <c r="E4" s="957"/>
      <c r="F4" s="316"/>
      <c r="G4" s="320" t="s">
        <v>19</v>
      </c>
      <c r="H4" s="319"/>
      <c r="I4" s="957"/>
      <c r="J4" s="316"/>
      <c r="K4" s="488" t="s">
        <v>19</v>
      </c>
      <c r="L4" s="322" t="s">
        <v>19</v>
      </c>
      <c r="M4" s="990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158"/>
      <c r="Z4" s="158"/>
    </row>
    <row r="5" spans="1:26" ht="15.75" customHeight="1">
      <c r="A5" s="996" t="s">
        <v>97</v>
      </c>
      <c r="B5" s="323" t="s">
        <v>21</v>
      </c>
      <c r="C5" s="331">
        <v>1</v>
      </c>
      <c r="D5" s="568">
        <v>1106</v>
      </c>
      <c r="E5" s="326">
        <f>D5/C5</f>
        <v>1106</v>
      </c>
      <c r="F5" s="327"/>
      <c r="G5" s="569"/>
      <c r="H5" s="569"/>
      <c r="I5" s="570"/>
      <c r="J5" s="330"/>
      <c r="K5" s="331">
        <v>1</v>
      </c>
      <c r="L5" s="571">
        <v>1106</v>
      </c>
      <c r="M5" s="381">
        <f>L5/K5</f>
        <v>1106</v>
      </c>
      <c r="N5" s="305"/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158"/>
      <c r="Z5" s="158"/>
    </row>
    <row r="6" spans="1:26" ht="15.75" customHeight="1">
      <c r="A6" s="952"/>
      <c r="B6" s="334" t="s">
        <v>22</v>
      </c>
      <c r="C6" s="339">
        <v>10000</v>
      </c>
      <c r="D6" s="339">
        <v>0</v>
      </c>
      <c r="E6" s="337">
        <v>0</v>
      </c>
      <c r="F6" s="327"/>
      <c r="G6" s="572"/>
      <c r="H6" s="572"/>
      <c r="I6" s="570"/>
      <c r="J6" s="330"/>
      <c r="K6" s="339">
        <v>10000</v>
      </c>
      <c r="L6" s="490">
        <v>0</v>
      </c>
      <c r="M6" s="383">
        <v>0</v>
      </c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158"/>
      <c r="Z6" s="158"/>
    </row>
    <row r="7" spans="1:26" ht="15.75" customHeight="1">
      <c r="A7" s="952"/>
      <c r="B7" s="334" t="s">
        <v>40</v>
      </c>
      <c r="C7" s="628">
        <v>635</v>
      </c>
      <c r="D7" s="339">
        <v>469</v>
      </c>
      <c r="E7" s="337">
        <f t="shared" ref="E7:E8" si="1">D7/C7</f>
        <v>0.73858267716535431</v>
      </c>
      <c r="F7" s="327"/>
      <c r="G7" s="572"/>
      <c r="H7" s="572"/>
      <c r="I7" s="570"/>
      <c r="J7" s="330"/>
      <c r="K7" s="628">
        <v>635</v>
      </c>
      <c r="L7" s="490">
        <v>469</v>
      </c>
      <c r="M7" s="383">
        <f t="shared" ref="M7:M8" si="2">L7/K7</f>
        <v>0.73858267716535431</v>
      </c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158"/>
      <c r="Z7" s="158"/>
    </row>
    <row r="8" spans="1:26" ht="15.75" customHeight="1">
      <c r="A8" s="997"/>
      <c r="B8" s="201" t="s">
        <v>25</v>
      </c>
      <c r="C8" s="357">
        <f t="shared" ref="C8:D8" si="3">SUM(C5:C7)</f>
        <v>10636</v>
      </c>
      <c r="D8" s="357">
        <f t="shared" si="3"/>
        <v>1575</v>
      </c>
      <c r="E8" s="342">
        <f t="shared" si="1"/>
        <v>0.14808198570891312</v>
      </c>
      <c r="F8" s="343"/>
      <c r="G8" s="573"/>
      <c r="H8" s="574"/>
      <c r="I8" s="575"/>
      <c r="J8" s="330"/>
      <c r="K8" s="357">
        <f t="shared" ref="K8:L8" si="4">SUM(K5:K7)</f>
        <v>10636</v>
      </c>
      <c r="L8" s="184">
        <f t="shared" si="4"/>
        <v>1575</v>
      </c>
      <c r="M8" s="384">
        <f t="shared" si="2"/>
        <v>0.14808198570891312</v>
      </c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158"/>
      <c r="Z8" s="158"/>
    </row>
    <row r="9" spans="1:26" ht="6.75" customHeight="1">
      <c r="A9" s="985"/>
      <c r="B9" s="928"/>
      <c r="C9" s="928"/>
      <c r="D9" s="928"/>
      <c r="E9" s="928"/>
      <c r="F9" s="312"/>
      <c r="G9" s="986"/>
      <c r="H9" s="928"/>
      <c r="I9" s="928"/>
      <c r="J9" s="312"/>
      <c r="K9" s="491"/>
      <c r="L9" s="348"/>
      <c r="M9" s="349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158"/>
      <c r="Z9" s="158"/>
    </row>
    <row r="10" spans="1:26" ht="15.75" customHeight="1">
      <c r="A10" s="998" t="s">
        <v>26</v>
      </c>
      <c r="B10" s="350" t="s">
        <v>21</v>
      </c>
      <c r="C10" s="629">
        <v>3000000</v>
      </c>
      <c r="D10" s="576">
        <v>2118731</v>
      </c>
      <c r="E10" s="352">
        <f t="shared" ref="E10:E11" si="5">D10/C10</f>
        <v>0.70624366666666671</v>
      </c>
      <c r="F10" s="327"/>
      <c r="G10" s="577"/>
      <c r="H10" s="577"/>
      <c r="I10" s="578"/>
      <c r="J10" s="327"/>
      <c r="K10" s="630">
        <v>3000000</v>
      </c>
      <c r="L10" s="616">
        <v>2118731</v>
      </c>
      <c r="M10" s="356">
        <f t="shared" ref="M10:M11" si="6">L10/K10</f>
        <v>0.70624366666666671</v>
      </c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158"/>
      <c r="Z10" s="158"/>
    </row>
    <row r="11" spans="1:26" ht="15.75" customHeight="1">
      <c r="A11" s="953"/>
      <c r="B11" s="357" t="s">
        <v>25</v>
      </c>
      <c r="C11" s="357">
        <f t="shared" ref="C11:D11" si="7">SUM(C10)</f>
        <v>3000000</v>
      </c>
      <c r="D11" s="358">
        <f t="shared" si="7"/>
        <v>2118731</v>
      </c>
      <c r="E11" s="359">
        <f t="shared" si="5"/>
        <v>0.70624366666666671</v>
      </c>
      <c r="F11" s="343"/>
      <c r="G11" s="580"/>
      <c r="H11" s="581"/>
      <c r="I11" s="582"/>
      <c r="J11" s="327"/>
      <c r="K11" s="617">
        <f>SUM(K10)</f>
        <v>3000000</v>
      </c>
      <c r="L11" s="618">
        <f>L10</f>
        <v>2118731</v>
      </c>
      <c r="M11" s="619">
        <f t="shared" si="6"/>
        <v>0.70624366666666671</v>
      </c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158"/>
      <c r="Z11" s="158"/>
    </row>
    <row r="12" spans="1:26" ht="6.75" customHeight="1">
      <c r="A12" s="985"/>
      <c r="B12" s="928"/>
      <c r="C12" s="928"/>
      <c r="D12" s="928"/>
      <c r="E12" s="928"/>
      <c r="F12" s="312"/>
      <c r="G12" s="986"/>
      <c r="H12" s="928"/>
      <c r="I12" s="928"/>
      <c r="J12" s="312"/>
      <c r="K12" s="491"/>
      <c r="L12" s="620"/>
      <c r="M12" s="349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158"/>
      <c r="Z12" s="158"/>
    </row>
    <row r="13" spans="1:26" ht="15.75" customHeight="1">
      <c r="A13" s="987" t="s">
        <v>190</v>
      </c>
      <c r="B13" s="386" t="s">
        <v>21</v>
      </c>
      <c r="C13" s="631">
        <v>1099436</v>
      </c>
      <c r="D13" s="583">
        <f>154259</f>
        <v>154259</v>
      </c>
      <c r="E13" s="326">
        <f t="shared" ref="E13:E15" si="8">D13/C13</f>
        <v>0.14030739397290976</v>
      </c>
      <c r="F13" s="327"/>
      <c r="G13" s="338">
        <f t="shared" ref="G13:H13" si="9">K13-C13</f>
        <v>155000</v>
      </c>
      <c r="H13" s="338">
        <f t="shared" si="9"/>
        <v>69834</v>
      </c>
      <c r="I13" s="337">
        <f>H13/G13</f>
        <v>0.45054193548387095</v>
      </c>
      <c r="J13" s="327"/>
      <c r="K13" s="631">
        <v>1254436</v>
      </c>
      <c r="L13" s="583">
        <v>224093</v>
      </c>
      <c r="M13" s="368">
        <f t="shared" ref="M13:M15" si="10">L13/K13</f>
        <v>0.17864044080367592</v>
      </c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158"/>
      <c r="Z13" s="158"/>
    </row>
    <row r="14" spans="1:26" ht="15.75" customHeight="1">
      <c r="A14" s="949"/>
      <c r="B14" s="334" t="s">
        <v>158</v>
      </c>
      <c r="C14" s="632">
        <v>8245564</v>
      </c>
      <c r="D14" s="576">
        <v>6979400</v>
      </c>
      <c r="E14" s="326">
        <f t="shared" si="8"/>
        <v>0.84644300862863964</v>
      </c>
      <c r="F14" s="327"/>
      <c r="G14" s="338">
        <f t="shared" ref="G14:H14" si="11">K14-C14</f>
        <v>0</v>
      </c>
      <c r="H14" s="338">
        <f t="shared" si="11"/>
        <v>0</v>
      </c>
      <c r="I14" s="337">
        <v>0</v>
      </c>
      <c r="J14" s="327"/>
      <c r="K14" s="632">
        <v>8245564</v>
      </c>
      <c r="L14" s="576">
        <v>6979400</v>
      </c>
      <c r="M14" s="368">
        <f t="shared" si="10"/>
        <v>0.84644300862863964</v>
      </c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158"/>
      <c r="Z14" s="158"/>
    </row>
    <row r="15" spans="1:26" ht="15.75" customHeight="1">
      <c r="A15" s="950"/>
      <c r="B15" s="357" t="s">
        <v>25</v>
      </c>
      <c r="C15" s="369">
        <f t="shared" ref="C15:D15" si="12">SUM(C13:C14)</f>
        <v>9345000</v>
      </c>
      <c r="D15" s="369">
        <f t="shared" si="12"/>
        <v>7133659</v>
      </c>
      <c r="E15" s="359">
        <f t="shared" si="8"/>
        <v>0.76336639914392723</v>
      </c>
      <c r="F15" s="343"/>
      <c r="G15" s="370">
        <f t="shared" ref="G15:H15" si="13">SUM(G13)</f>
        <v>155000</v>
      </c>
      <c r="H15" s="369">
        <f t="shared" si="13"/>
        <v>69834</v>
      </c>
      <c r="I15" s="337">
        <f>H15/G15</f>
        <v>0.45054193548387095</v>
      </c>
      <c r="J15" s="327"/>
      <c r="K15" s="362">
        <f t="shared" ref="K15:L15" si="14">SUM(K13:K14)</f>
        <v>9500000</v>
      </c>
      <c r="L15" s="371">
        <f t="shared" si="14"/>
        <v>7203493</v>
      </c>
      <c r="M15" s="363">
        <f t="shared" si="10"/>
        <v>0.75826242105263153</v>
      </c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158"/>
      <c r="Z15" s="158"/>
    </row>
    <row r="16" spans="1:26" ht="6.75" customHeight="1">
      <c r="A16" s="985"/>
      <c r="B16" s="928"/>
      <c r="C16" s="928"/>
      <c r="D16" s="928"/>
      <c r="E16" s="928"/>
      <c r="F16" s="312"/>
      <c r="G16" s="986"/>
      <c r="H16" s="928"/>
      <c r="I16" s="928"/>
      <c r="J16" s="312"/>
      <c r="K16" s="491"/>
      <c r="L16" s="348"/>
      <c r="M16" s="349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158"/>
      <c r="Z16" s="158"/>
    </row>
    <row r="17" spans="1:26" ht="15.75" customHeight="1">
      <c r="A17" s="987" t="s">
        <v>30</v>
      </c>
      <c r="B17" s="323" t="s">
        <v>21</v>
      </c>
      <c r="C17" s="631">
        <f>485686+10000</f>
        <v>495686</v>
      </c>
      <c r="D17" s="583">
        <f>219000+3446</f>
        <v>222446</v>
      </c>
      <c r="E17" s="326">
        <f>D17/C17</f>
        <v>0.44876393523319197</v>
      </c>
      <c r="F17" s="327"/>
      <c r="G17" s="338">
        <f t="shared" ref="G17:H17" si="15">K17-C17</f>
        <v>304314</v>
      </c>
      <c r="H17" s="338">
        <f t="shared" si="15"/>
        <v>100715</v>
      </c>
      <c r="I17" s="337">
        <f>H17/G17</f>
        <v>0.33095749784761791</v>
      </c>
      <c r="J17" s="327"/>
      <c r="K17" s="584">
        <v>800000</v>
      </c>
      <c r="L17" s="584">
        <v>323161</v>
      </c>
      <c r="M17" s="368">
        <f>L17/K17</f>
        <v>0.40395124999999998</v>
      </c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158"/>
      <c r="Z17" s="158"/>
    </row>
    <row r="18" spans="1:26" ht="15.75" customHeight="1">
      <c r="A18" s="949"/>
      <c r="B18" s="334" t="s">
        <v>28</v>
      </c>
      <c r="C18" s="372">
        <v>0</v>
      </c>
      <c r="D18" s="585">
        <v>0</v>
      </c>
      <c r="E18" s="337">
        <v>0</v>
      </c>
      <c r="F18" s="327"/>
      <c r="G18" s="338">
        <f t="shared" ref="G18:H18" si="16">K18-C18</f>
        <v>256</v>
      </c>
      <c r="H18" s="338">
        <f t="shared" si="16"/>
        <v>256</v>
      </c>
      <c r="I18" s="586">
        <v>0</v>
      </c>
      <c r="J18" s="327"/>
      <c r="K18" s="587">
        <v>256</v>
      </c>
      <c r="L18" s="375">
        <v>256</v>
      </c>
      <c r="M18" s="376">
        <v>0</v>
      </c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158"/>
      <c r="Z18" s="158"/>
    </row>
    <row r="19" spans="1:26" ht="15.75" customHeight="1">
      <c r="A19" s="949"/>
      <c r="B19" s="334" t="s">
        <v>31</v>
      </c>
      <c r="C19" s="633">
        <f>50000+75000</f>
        <v>125000</v>
      </c>
      <c r="D19" s="585">
        <f>40147+75110</f>
        <v>115257</v>
      </c>
      <c r="E19" s="337">
        <f t="shared" ref="E19:E21" si="17">D19/C19</f>
        <v>0.92205599999999999</v>
      </c>
      <c r="F19" s="327"/>
      <c r="G19" s="338">
        <f t="shared" ref="G19:H19" si="18">K19-C19</f>
        <v>50000</v>
      </c>
      <c r="H19" s="338">
        <f t="shared" si="18"/>
        <v>47873</v>
      </c>
      <c r="I19" s="337">
        <f t="shared" ref="I19:I21" si="19">H19/G19</f>
        <v>0.95745999999999998</v>
      </c>
      <c r="J19" s="327"/>
      <c r="K19" s="587">
        <v>175000</v>
      </c>
      <c r="L19" s="587">
        <v>163130</v>
      </c>
      <c r="M19" s="376">
        <f t="shared" ref="M19:M21" si="20">L19/K19</f>
        <v>0.93217142857142854</v>
      </c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158"/>
      <c r="Z19" s="158"/>
    </row>
    <row r="20" spans="1:26" ht="15.75" customHeight="1">
      <c r="A20" s="949"/>
      <c r="B20" s="377" t="s">
        <v>32</v>
      </c>
      <c r="C20" s="634">
        <f>94329+130000</f>
        <v>224329</v>
      </c>
      <c r="D20" s="585">
        <f>25+52222</f>
        <v>52247</v>
      </c>
      <c r="E20" s="495">
        <f t="shared" si="17"/>
        <v>0.2329034587592331</v>
      </c>
      <c r="F20" s="327"/>
      <c r="G20" s="338">
        <f t="shared" ref="G20:H20" si="21">K20-C20</f>
        <v>94204</v>
      </c>
      <c r="H20" s="338">
        <f t="shared" si="21"/>
        <v>18151</v>
      </c>
      <c r="I20" s="337">
        <f t="shared" si="19"/>
        <v>0.19267759330813977</v>
      </c>
      <c r="J20" s="327"/>
      <c r="K20" s="635">
        <v>318533</v>
      </c>
      <c r="L20" s="587">
        <v>70398</v>
      </c>
      <c r="M20" s="376">
        <f t="shared" si="20"/>
        <v>0.22100692863847701</v>
      </c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158"/>
      <c r="Z20" s="158"/>
    </row>
    <row r="21" spans="1:26" ht="15.75" customHeight="1">
      <c r="A21" s="950"/>
      <c r="B21" s="357" t="s">
        <v>25</v>
      </c>
      <c r="C21" s="369">
        <f t="shared" ref="C21:D21" si="22">SUM(C17:C20)</f>
        <v>845015</v>
      </c>
      <c r="D21" s="358">
        <f t="shared" si="22"/>
        <v>389950</v>
      </c>
      <c r="E21" s="359">
        <f t="shared" si="17"/>
        <v>0.46147109814618675</v>
      </c>
      <c r="F21" s="343"/>
      <c r="G21" s="370">
        <f t="shared" ref="G21:H21" si="23">SUM(G17:G20)</f>
        <v>448774</v>
      </c>
      <c r="H21" s="369">
        <f t="shared" si="23"/>
        <v>166995</v>
      </c>
      <c r="I21" s="380">
        <f t="shared" si="19"/>
        <v>0.37211380338433153</v>
      </c>
      <c r="J21" s="327"/>
      <c r="K21" s="362">
        <f t="shared" ref="K21:L21" si="24">SUM(K17:K20)</f>
        <v>1293789</v>
      </c>
      <c r="L21" s="362">
        <f t="shared" si="24"/>
        <v>556945</v>
      </c>
      <c r="M21" s="416">
        <f t="shared" si="20"/>
        <v>0.43047591222370879</v>
      </c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158"/>
      <c r="Z21" s="158"/>
    </row>
    <row r="22" spans="1:26" ht="6.75" customHeight="1">
      <c r="A22" s="985"/>
      <c r="B22" s="928"/>
      <c r="C22" s="928"/>
      <c r="D22" s="928"/>
      <c r="E22" s="928"/>
      <c r="F22" s="312"/>
      <c r="G22" s="986"/>
      <c r="H22" s="928"/>
      <c r="I22" s="928"/>
      <c r="J22" s="312"/>
      <c r="K22" s="491"/>
      <c r="L22" s="348"/>
      <c r="M22" s="349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158"/>
      <c r="Z22" s="158"/>
    </row>
    <row r="23" spans="1:26" ht="15.75" customHeight="1">
      <c r="A23" s="987" t="s">
        <v>34</v>
      </c>
      <c r="B23" s="323" t="s">
        <v>21</v>
      </c>
      <c r="C23" s="364">
        <v>0</v>
      </c>
      <c r="D23" s="365">
        <v>0</v>
      </c>
      <c r="E23" s="326">
        <v>0</v>
      </c>
      <c r="F23" s="327"/>
      <c r="G23" s="338">
        <f t="shared" ref="G23:H23" si="25">K23-C23</f>
        <v>5100</v>
      </c>
      <c r="H23" s="338">
        <f t="shared" si="25"/>
        <v>0</v>
      </c>
      <c r="I23" s="337">
        <f t="shared" ref="I23:I26" si="26">H23/G23</f>
        <v>0</v>
      </c>
      <c r="J23" s="327"/>
      <c r="K23" s="584">
        <v>5100</v>
      </c>
      <c r="L23" s="367">
        <v>0</v>
      </c>
      <c r="M23" s="368">
        <f t="shared" ref="M23:M26" si="27">L23/K23</f>
        <v>0</v>
      </c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158"/>
      <c r="Z23" s="158"/>
    </row>
    <row r="24" spans="1:26" ht="15.75" customHeight="1">
      <c r="A24" s="949"/>
      <c r="B24" s="334" t="s">
        <v>28</v>
      </c>
      <c r="C24" s="372">
        <v>0</v>
      </c>
      <c r="D24" s="373">
        <v>0</v>
      </c>
      <c r="E24" s="337">
        <v>0</v>
      </c>
      <c r="F24" s="327"/>
      <c r="G24" s="338">
        <f t="shared" ref="G24:H24" si="28">K24-C24</f>
        <v>2000</v>
      </c>
      <c r="H24" s="338">
        <f t="shared" si="28"/>
        <v>1745</v>
      </c>
      <c r="I24" s="337">
        <f t="shared" si="26"/>
        <v>0.87250000000000005</v>
      </c>
      <c r="J24" s="327"/>
      <c r="K24" s="587">
        <v>2000</v>
      </c>
      <c r="L24" s="587">
        <v>1745</v>
      </c>
      <c r="M24" s="376">
        <f t="shared" si="27"/>
        <v>0.87250000000000005</v>
      </c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158"/>
      <c r="Z24" s="158"/>
    </row>
    <row r="25" spans="1:26" ht="15.75" customHeight="1">
      <c r="A25" s="949"/>
      <c r="B25" s="334" t="s">
        <v>31</v>
      </c>
      <c r="C25" s="372">
        <v>0</v>
      </c>
      <c r="D25" s="373">
        <v>0</v>
      </c>
      <c r="E25" s="337">
        <v>0</v>
      </c>
      <c r="F25" s="327"/>
      <c r="G25" s="338">
        <f t="shared" ref="G25:H25" si="29">K25-C25</f>
        <v>3558</v>
      </c>
      <c r="H25" s="338">
        <f t="shared" si="29"/>
        <v>1805</v>
      </c>
      <c r="I25" s="337">
        <f t="shared" si="26"/>
        <v>0.50730747611017424</v>
      </c>
      <c r="J25" s="327"/>
      <c r="K25" s="587">
        <v>3558</v>
      </c>
      <c r="L25" s="587">
        <v>1805</v>
      </c>
      <c r="M25" s="376">
        <f t="shared" si="27"/>
        <v>0.50730747611017424</v>
      </c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158"/>
      <c r="Z25" s="158"/>
    </row>
    <row r="26" spans="1:26" ht="15.75" customHeight="1">
      <c r="A26" s="950"/>
      <c r="B26" s="357" t="s">
        <v>25</v>
      </c>
      <c r="C26" s="369">
        <f t="shared" ref="C26:D26" si="30">SUM(C23:C25)</f>
        <v>0</v>
      </c>
      <c r="D26" s="358">
        <f t="shared" si="30"/>
        <v>0</v>
      </c>
      <c r="E26" s="359">
        <v>0</v>
      </c>
      <c r="F26" s="343"/>
      <c r="G26" s="370">
        <f t="shared" ref="G26:H26" si="31">SUM(G23:G25)</f>
        <v>10658</v>
      </c>
      <c r="H26" s="369">
        <f t="shared" si="31"/>
        <v>3550</v>
      </c>
      <c r="I26" s="380">
        <f t="shared" si="26"/>
        <v>0.33308313004316009</v>
      </c>
      <c r="J26" s="327"/>
      <c r="K26" s="362">
        <f t="shared" ref="K26:L26" si="32">SUM(K23:K25)</f>
        <v>10658</v>
      </c>
      <c r="L26" s="362">
        <f t="shared" si="32"/>
        <v>3550</v>
      </c>
      <c r="M26" s="363">
        <f t="shared" si="27"/>
        <v>0.33308313004316009</v>
      </c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  <c r="Y26" s="158"/>
      <c r="Z26" s="158"/>
    </row>
    <row r="27" spans="1:26" ht="7.5" customHeight="1">
      <c r="A27" s="985"/>
      <c r="B27" s="928"/>
      <c r="C27" s="928"/>
      <c r="D27" s="928"/>
      <c r="E27" s="928"/>
      <c r="F27" s="312"/>
      <c r="G27" s="986"/>
      <c r="H27" s="928"/>
      <c r="I27" s="928"/>
      <c r="J27" s="312"/>
      <c r="K27" s="491"/>
      <c r="L27" s="348"/>
      <c r="M27" s="349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158"/>
      <c r="Z27" s="158"/>
    </row>
    <row r="28" spans="1:26" ht="15.75" customHeight="1">
      <c r="A28" s="987" t="s">
        <v>159</v>
      </c>
      <c r="B28" s="323" t="s">
        <v>21</v>
      </c>
      <c r="C28" s="364">
        <v>0</v>
      </c>
      <c r="D28" s="365">
        <v>0</v>
      </c>
      <c r="E28" s="381">
        <v>0</v>
      </c>
      <c r="F28" s="382"/>
      <c r="G28" s="338">
        <f t="shared" ref="G28:H28" si="33">K28-C28</f>
        <v>21193</v>
      </c>
      <c r="H28" s="338">
        <f t="shared" si="33"/>
        <v>42853</v>
      </c>
      <c r="I28" s="337">
        <f>H28/G28</f>
        <v>2.0220355777851178</v>
      </c>
      <c r="J28" s="327"/>
      <c r="K28" s="584">
        <v>21193</v>
      </c>
      <c r="L28" s="584">
        <v>42853</v>
      </c>
      <c r="M28" s="368">
        <f>L28/K28</f>
        <v>2.0220355777851178</v>
      </c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158"/>
      <c r="Z28" s="158"/>
    </row>
    <row r="29" spans="1:26" ht="15.75" customHeight="1">
      <c r="A29" s="949"/>
      <c r="B29" s="334" t="s">
        <v>28</v>
      </c>
      <c r="C29" s="372">
        <v>0</v>
      </c>
      <c r="D29" s="373">
        <v>0</v>
      </c>
      <c r="E29" s="383">
        <v>0</v>
      </c>
      <c r="F29" s="382"/>
      <c r="G29" s="338">
        <f t="shared" ref="G29:H29" si="34">K29-C29</f>
        <v>0</v>
      </c>
      <c r="H29" s="338">
        <f t="shared" si="34"/>
        <v>544</v>
      </c>
      <c r="I29" s="586">
        <v>0</v>
      </c>
      <c r="J29" s="327"/>
      <c r="K29" s="375">
        <v>0</v>
      </c>
      <c r="L29" s="587">
        <v>544</v>
      </c>
      <c r="M29" s="376">
        <v>0</v>
      </c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158"/>
      <c r="Z29" s="158"/>
    </row>
    <row r="30" spans="1:26" ht="15.75" customHeight="1">
      <c r="A30" s="949"/>
      <c r="B30" s="334" t="s">
        <v>31</v>
      </c>
      <c r="C30" s="372">
        <v>0</v>
      </c>
      <c r="D30" s="373">
        <v>0</v>
      </c>
      <c r="E30" s="383">
        <v>0</v>
      </c>
      <c r="F30" s="382"/>
      <c r="G30" s="338">
        <f t="shared" ref="G30:H30" si="35">K30-C30</f>
        <v>162</v>
      </c>
      <c r="H30" s="338">
        <f t="shared" si="35"/>
        <v>158</v>
      </c>
      <c r="I30" s="337">
        <f t="shared" ref="I30:I32" si="36">H30/G30</f>
        <v>0.97530864197530864</v>
      </c>
      <c r="J30" s="327"/>
      <c r="K30" s="587">
        <v>162</v>
      </c>
      <c r="L30" s="587">
        <v>158</v>
      </c>
      <c r="M30" s="376">
        <f t="shared" ref="M30:M32" si="37">L30/K30</f>
        <v>0.97530864197530864</v>
      </c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158"/>
      <c r="Z30" s="158"/>
    </row>
    <row r="31" spans="1:26" ht="15.75" customHeight="1">
      <c r="A31" s="949"/>
      <c r="B31" s="377" t="s">
        <v>32</v>
      </c>
      <c r="C31" s="378">
        <v>0</v>
      </c>
      <c r="D31" s="373">
        <v>0</v>
      </c>
      <c r="E31" s="383">
        <v>0</v>
      </c>
      <c r="F31" s="382"/>
      <c r="G31" s="338">
        <f t="shared" ref="G31:H31" si="38">K31-C31</f>
        <v>83975</v>
      </c>
      <c r="H31" s="338">
        <f t="shared" si="38"/>
        <v>56317</v>
      </c>
      <c r="I31" s="337">
        <f t="shared" si="36"/>
        <v>0.67064007144983628</v>
      </c>
      <c r="J31" s="327"/>
      <c r="K31" s="635">
        <v>83975</v>
      </c>
      <c r="L31" s="587">
        <v>56317</v>
      </c>
      <c r="M31" s="376">
        <f t="shared" si="37"/>
        <v>0.67064007144983628</v>
      </c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158"/>
      <c r="Z31" s="158"/>
    </row>
    <row r="32" spans="1:26" ht="15.75" customHeight="1">
      <c r="A32" s="950"/>
      <c r="B32" s="357" t="s">
        <v>25</v>
      </c>
      <c r="C32" s="369">
        <f t="shared" ref="C32:D32" si="39">SUM(C28:C31)</f>
        <v>0</v>
      </c>
      <c r="D32" s="358">
        <f t="shared" si="39"/>
        <v>0</v>
      </c>
      <c r="E32" s="384">
        <v>0</v>
      </c>
      <c r="F32" s="385"/>
      <c r="G32" s="370">
        <f t="shared" ref="G32:H32" si="40">SUM(G28:G31)</f>
        <v>105330</v>
      </c>
      <c r="H32" s="369">
        <f t="shared" si="40"/>
        <v>99872</v>
      </c>
      <c r="I32" s="380">
        <f t="shared" si="36"/>
        <v>0.94818190449064843</v>
      </c>
      <c r="J32" s="327"/>
      <c r="K32" s="362">
        <f t="shared" ref="K32:L32" si="41">SUM(K28:K31)</f>
        <v>105330</v>
      </c>
      <c r="L32" s="362">
        <f t="shared" si="41"/>
        <v>99872</v>
      </c>
      <c r="M32" s="363">
        <f t="shared" si="37"/>
        <v>0.94818190449064843</v>
      </c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158"/>
      <c r="Z32" s="158"/>
    </row>
    <row r="33" spans="1:26" ht="7.5" customHeight="1">
      <c r="A33" s="985"/>
      <c r="B33" s="928"/>
      <c r="C33" s="928"/>
      <c r="D33" s="928"/>
      <c r="E33" s="928"/>
      <c r="F33" s="312"/>
      <c r="G33" s="986"/>
      <c r="H33" s="928"/>
      <c r="I33" s="928"/>
      <c r="J33" s="312"/>
      <c r="K33" s="491"/>
      <c r="L33" s="348"/>
      <c r="M33" s="349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158"/>
      <c r="Z33" s="158"/>
    </row>
    <row r="34" spans="1:26" ht="18.75" customHeight="1">
      <c r="A34" s="987" t="s">
        <v>160</v>
      </c>
      <c r="B34" s="323" t="s">
        <v>21</v>
      </c>
      <c r="C34" s="364">
        <v>0</v>
      </c>
      <c r="D34" s="365">
        <v>0</v>
      </c>
      <c r="E34" s="326">
        <v>0</v>
      </c>
      <c r="F34" s="327"/>
      <c r="G34" s="338">
        <f t="shared" ref="G34:H34" si="42">K34-C34</f>
        <v>6197264</v>
      </c>
      <c r="H34" s="338">
        <f t="shared" si="42"/>
        <v>6053188</v>
      </c>
      <c r="I34" s="337">
        <f t="shared" ref="I34:I35" si="43">H34/G34</f>
        <v>0.97675167622357217</v>
      </c>
      <c r="J34" s="327"/>
      <c r="K34" s="584">
        <v>6197264</v>
      </c>
      <c r="L34" s="584">
        <v>6053188</v>
      </c>
      <c r="M34" s="368">
        <f t="shared" ref="M34:M35" si="44">L34/K34</f>
        <v>0.97675167622357217</v>
      </c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158"/>
      <c r="Z34" s="158"/>
    </row>
    <row r="35" spans="1:26" ht="27" customHeight="1">
      <c r="A35" s="950"/>
      <c r="B35" s="357" t="s">
        <v>25</v>
      </c>
      <c r="C35" s="369">
        <f t="shared" ref="C35:D35" si="45">SUM(C34)</f>
        <v>0</v>
      </c>
      <c r="D35" s="358">
        <f t="shared" si="45"/>
        <v>0</v>
      </c>
      <c r="E35" s="359">
        <v>0</v>
      </c>
      <c r="F35" s="343"/>
      <c r="G35" s="370">
        <f t="shared" ref="G35:H35" si="46">SUM(G34)</f>
        <v>6197264</v>
      </c>
      <c r="H35" s="369">
        <f t="shared" si="46"/>
        <v>6053188</v>
      </c>
      <c r="I35" s="380">
        <f t="shared" si="43"/>
        <v>0.97675167622357217</v>
      </c>
      <c r="J35" s="327"/>
      <c r="K35" s="362">
        <f t="shared" ref="K35:L35" si="47">SUM(K34)</f>
        <v>6197264</v>
      </c>
      <c r="L35" s="362">
        <f t="shared" si="47"/>
        <v>6053188</v>
      </c>
      <c r="M35" s="363">
        <f t="shared" si="44"/>
        <v>0.97675167622357217</v>
      </c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158"/>
      <c r="Z35" s="158"/>
    </row>
    <row r="36" spans="1:26" ht="9" customHeight="1">
      <c r="A36" s="985"/>
      <c r="B36" s="928"/>
      <c r="C36" s="928"/>
      <c r="D36" s="928"/>
      <c r="E36" s="928"/>
      <c r="F36" s="312"/>
      <c r="G36" s="986"/>
      <c r="H36" s="928"/>
      <c r="I36" s="928"/>
      <c r="J36" s="312"/>
      <c r="K36" s="491"/>
      <c r="L36" s="348"/>
      <c r="M36" s="349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158"/>
      <c r="Z36" s="158"/>
    </row>
    <row r="37" spans="1:26" ht="15.75" customHeight="1">
      <c r="A37" s="987" t="s">
        <v>161</v>
      </c>
      <c r="B37" s="386" t="s">
        <v>40</v>
      </c>
      <c r="C37" s="636">
        <v>0</v>
      </c>
      <c r="D37" s="387">
        <v>0</v>
      </c>
      <c r="E37" s="637">
        <v>0</v>
      </c>
      <c r="F37" s="327"/>
      <c r="G37" s="338">
        <f t="shared" ref="G37:H37" si="48">K37-C37</f>
        <v>98449</v>
      </c>
      <c r="H37" s="338">
        <f t="shared" si="48"/>
        <v>18572</v>
      </c>
      <c r="I37" s="337">
        <f>H37/G37</f>
        <v>0.18864589787605765</v>
      </c>
      <c r="J37" s="327"/>
      <c r="K37" s="638">
        <v>98449</v>
      </c>
      <c r="L37" s="588">
        <v>18572</v>
      </c>
      <c r="M37" s="368">
        <f>L37/K37</f>
        <v>0.18864589787605765</v>
      </c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158"/>
      <c r="Z37" s="158"/>
    </row>
    <row r="38" spans="1:26" ht="15.75" customHeight="1">
      <c r="A38" s="949"/>
      <c r="B38" s="377" t="s">
        <v>32</v>
      </c>
      <c r="C38" s="377">
        <v>0</v>
      </c>
      <c r="D38" s="373">
        <v>0</v>
      </c>
      <c r="E38" s="337">
        <v>0</v>
      </c>
      <c r="F38" s="327"/>
      <c r="G38" s="338">
        <f t="shared" ref="G38:H38" si="49">K38-C38</f>
        <v>0</v>
      </c>
      <c r="H38" s="338">
        <f t="shared" si="49"/>
        <v>1593</v>
      </c>
      <c r="I38" s="337">
        <v>0</v>
      </c>
      <c r="J38" s="327"/>
      <c r="K38" s="499">
        <v>0</v>
      </c>
      <c r="L38" s="587">
        <v>1593</v>
      </c>
      <c r="M38" s="376">
        <v>0</v>
      </c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158"/>
      <c r="Z38" s="158"/>
    </row>
    <row r="39" spans="1:26" ht="15.75" customHeight="1">
      <c r="A39" s="950"/>
      <c r="B39" s="357" t="s">
        <v>25</v>
      </c>
      <c r="C39" s="357">
        <f>SUM(C37:C38)</f>
        <v>0</v>
      </c>
      <c r="D39" s="358">
        <f>SUM(D38)</f>
        <v>0</v>
      </c>
      <c r="E39" s="359">
        <v>0</v>
      </c>
      <c r="F39" s="343"/>
      <c r="G39" s="360">
        <f t="shared" ref="G39:H39" si="50">SUM(G37:G38)</f>
        <v>98449</v>
      </c>
      <c r="H39" s="357">
        <f t="shared" si="50"/>
        <v>20165</v>
      </c>
      <c r="I39" s="380">
        <f>H39/G39</f>
        <v>0.20482686467104796</v>
      </c>
      <c r="J39" s="327"/>
      <c r="K39" s="346">
        <f t="shared" ref="K39:L39" si="51">SUM(K37:K38)</f>
        <v>98449</v>
      </c>
      <c r="L39" s="362">
        <f t="shared" si="51"/>
        <v>20165</v>
      </c>
      <c r="M39" s="363">
        <f>L39/K39</f>
        <v>0.20482686467104796</v>
      </c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158"/>
      <c r="Z39" s="158"/>
    </row>
    <row r="40" spans="1:26" ht="6" customHeight="1">
      <c r="A40" s="985"/>
      <c r="B40" s="928"/>
      <c r="C40" s="928"/>
      <c r="D40" s="928"/>
      <c r="E40" s="928"/>
      <c r="F40" s="312"/>
      <c r="G40" s="986"/>
      <c r="H40" s="928"/>
      <c r="I40" s="928"/>
      <c r="J40" s="312"/>
      <c r="K40" s="491"/>
      <c r="L40" s="348"/>
      <c r="M40" s="349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158"/>
      <c r="Z40" s="158"/>
    </row>
    <row r="41" spans="1:26" ht="14.25" customHeight="1">
      <c r="A41" s="987" t="s">
        <v>162</v>
      </c>
      <c r="B41" s="323" t="s">
        <v>40</v>
      </c>
      <c r="C41" s="631">
        <v>807903</v>
      </c>
      <c r="D41" s="583">
        <v>521097</v>
      </c>
      <c r="E41" s="326">
        <f t="shared" ref="E41:E43" si="52">D41/C41</f>
        <v>0.64499946156902499</v>
      </c>
      <c r="F41" s="327"/>
      <c r="G41" s="338">
        <f t="shared" ref="G41:H41" si="53">K41-C41</f>
        <v>1192097</v>
      </c>
      <c r="H41" s="338">
        <f t="shared" si="53"/>
        <v>263867</v>
      </c>
      <c r="I41" s="337">
        <f t="shared" ref="I41:I43" si="54">H41/G41</f>
        <v>0.22134692059454894</v>
      </c>
      <c r="J41" s="327"/>
      <c r="K41" s="584">
        <v>2000000</v>
      </c>
      <c r="L41" s="584">
        <v>784964</v>
      </c>
      <c r="M41" s="368">
        <f t="shared" ref="M41:M43" si="55">L41/K41</f>
        <v>0.392482</v>
      </c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158"/>
      <c r="Z41" s="158"/>
    </row>
    <row r="42" spans="1:26" ht="15.75" customHeight="1">
      <c r="A42" s="949"/>
      <c r="B42" s="377" t="s">
        <v>32</v>
      </c>
      <c r="C42" s="634">
        <v>100000</v>
      </c>
      <c r="D42" s="585">
        <v>40434</v>
      </c>
      <c r="E42" s="337">
        <f t="shared" si="52"/>
        <v>0.40433999999999998</v>
      </c>
      <c r="F42" s="327"/>
      <c r="G42" s="338">
        <f t="shared" ref="G42:H42" si="56">K42-C42</f>
        <v>706735</v>
      </c>
      <c r="H42" s="338">
        <f t="shared" si="56"/>
        <v>647912</v>
      </c>
      <c r="I42" s="337">
        <f t="shared" si="54"/>
        <v>0.91676795404217992</v>
      </c>
      <c r="J42" s="327"/>
      <c r="K42" s="635">
        <v>806735</v>
      </c>
      <c r="L42" s="587">
        <v>688346</v>
      </c>
      <c r="M42" s="376">
        <f t="shared" si="55"/>
        <v>0.85324920822822858</v>
      </c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  <c r="Y42" s="158"/>
      <c r="Z42" s="158"/>
    </row>
    <row r="43" spans="1:26" ht="15.75" customHeight="1">
      <c r="A43" s="950"/>
      <c r="B43" s="357" t="s">
        <v>25</v>
      </c>
      <c r="C43" s="369">
        <f t="shared" ref="C43:D43" si="57">SUM(C41:C42)</f>
        <v>907903</v>
      </c>
      <c r="D43" s="369">
        <f t="shared" si="57"/>
        <v>561531</v>
      </c>
      <c r="E43" s="359">
        <f t="shared" si="52"/>
        <v>0.61849228386732946</v>
      </c>
      <c r="F43" s="343"/>
      <c r="G43" s="370">
        <f t="shared" ref="G43:H43" si="58">SUM(G41:G42)</f>
        <v>1898832</v>
      </c>
      <c r="H43" s="369">
        <f t="shared" si="58"/>
        <v>911779</v>
      </c>
      <c r="I43" s="380">
        <f t="shared" si="54"/>
        <v>0.48017886785139496</v>
      </c>
      <c r="J43" s="327"/>
      <c r="K43" s="362">
        <f t="shared" ref="K43:L43" si="59">SUM(K41:K42)</f>
        <v>2806735</v>
      </c>
      <c r="L43" s="362">
        <f t="shared" si="59"/>
        <v>1473310</v>
      </c>
      <c r="M43" s="363">
        <f t="shared" si="55"/>
        <v>0.52491952393083063</v>
      </c>
      <c r="N43" s="305"/>
      <c r="O43" s="305"/>
      <c r="P43" s="305"/>
      <c r="Q43" s="305"/>
      <c r="R43" s="305"/>
      <c r="S43" s="305"/>
      <c r="T43" s="305"/>
      <c r="U43" s="305"/>
      <c r="V43" s="305"/>
      <c r="W43" s="305"/>
      <c r="X43" s="305"/>
      <c r="Y43" s="158"/>
      <c r="Z43" s="158"/>
    </row>
    <row r="44" spans="1:26" ht="6.75" customHeight="1">
      <c r="A44" s="985"/>
      <c r="B44" s="928"/>
      <c r="C44" s="928"/>
      <c r="D44" s="928"/>
      <c r="E44" s="928"/>
      <c r="F44" s="312"/>
      <c r="G44" s="986"/>
      <c r="H44" s="928"/>
      <c r="I44" s="928"/>
      <c r="J44" s="312"/>
      <c r="K44" s="491"/>
      <c r="L44" s="348"/>
      <c r="M44" s="349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158"/>
      <c r="Z44" s="158"/>
    </row>
    <row r="45" spans="1:26" ht="15.75" customHeight="1">
      <c r="A45" s="987" t="s">
        <v>163</v>
      </c>
      <c r="B45" s="391" t="s">
        <v>32</v>
      </c>
      <c r="C45" s="392">
        <v>0</v>
      </c>
      <c r="D45" s="365">
        <v>0</v>
      </c>
      <c r="E45" s="326">
        <v>0</v>
      </c>
      <c r="F45" s="327"/>
      <c r="G45" s="338">
        <f t="shared" ref="G45:H45" si="60">K45-C45</f>
        <v>8298800</v>
      </c>
      <c r="H45" s="338">
        <f t="shared" si="60"/>
        <v>6405737</v>
      </c>
      <c r="I45" s="337">
        <f t="shared" ref="I45:I46" si="61">H45/G45</f>
        <v>0.77188714030944228</v>
      </c>
      <c r="J45" s="327"/>
      <c r="K45" s="639">
        <v>8298800</v>
      </c>
      <c r="L45" s="584">
        <v>6405737</v>
      </c>
      <c r="M45" s="368">
        <f t="shared" ref="M45:M46" si="62">L45/K45</f>
        <v>0.77188714030944228</v>
      </c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158"/>
      <c r="Z45" s="158"/>
    </row>
    <row r="46" spans="1:26" ht="15.75" customHeight="1">
      <c r="A46" s="950"/>
      <c r="B46" s="357" t="s">
        <v>25</v>
      </c>
      <c r="C46" s="369">
        <f t="shared" ref="C46:D46" si="63">SUM(C45)</f>
        <v>0</v>
      </c>
      <c r="D46" s="358">
        <f t="shared" si="63"/>
        <v>0</v>
      </c>
      <c r="E46" s="359">
        <v>0</v>
      </c>
      <c r="F46" s="343"/>
      <c r="G46" s="370">
        <f t="shared" ref="G46:H46" si="64">SUM(G45)</f>
        <v>8298800</v>
      </c>
      <c r="H46" s="369">
        <f t="shared" si="64"/>
        <v>6405737</v>
      </c>
      <c r="I46" s="380">
        <f t="shared" si="61"/>
        <v>0.77188714030944228</v>
      </c>
      <c r="J46" s="327"/>
      <c r="K46" s="362">
        <f t="shared" ref="K46:L46" si="65">SUM(K45)</f>
        <v>8298800</v>
      </c>
      <c r="L46" s="362">
        <f t="shared" si="65"/>
        <v>6405737</v>
      </c>
      <c r="M46" s="363">
        <f t="shared" si="62"/>
        <v>0.77188714030944228</v>
      </c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158"/>
      <c r="Z46" s="158"/>
    </row>
    <row r="47" spans="1:26" ht="6.75" customHeight="1">
      <c r="A47" s="985"/>
      <c r="B47" s="928"/>
      <c r="C47" s="928"/>
      <c r="D47" s="928"/>
      <c r="E47" s="928"/>
      <c r="F47" s="312"/>
      <c r="G47" s="986"/>
      <c r="H47" s="928"/>
      <c r="I47" s="928"/>
      <c r="J47" s="312"/>
      <c r="K47" s="491"/>
      <c r="L47" s="348"/>
      <c r="M47" s="349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158"/>
      <c r="Z47" s="158"/>
    </row>
    <row r="48" spans="1:26" ht="15.75" customHeight="1">
      <c r="A48" s="987" t="s">
        <v>164</v>
      </c>
      <c r="B48" s="323" t="s">
        <v>21</v>
      </c>
      <c r="C48" s="364">
        <v>0</v>
      </c>
      <c r="D48" s="365">
        <v>0</v>
      </c>
      <c r="E48" s="326">
        <v>0</v>
      </c>
      <c r="F48" s="327"/>
      <c r="G48" s="338">
        <f t="shared" ref="G48:H48" si="66">K48-C48</f>
        <v>4500</v>
      </c>
      <c r="H48" s="338">
        <f t="shared" si="66"/>
        <v>0</v>
      </c>
      <c r="I48" s="337">
        <f>H48/G48</f>
        <v>0</v>
      </c>
      <c r="J48" s="327"/>
      <c r="K48" s="367">
        <v>4500</v>
      </c>
      <c r="L48" s="367">
        <v>0</v>
      </c>
      <c r="M48" s="376">
        <f t="shared" ref="M48:M51" si="67">L48/K48</f>
        <v>0</v>
      </c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158"/>
      <c r="Z48" s="158"/>
    </row>
    <row r="49" spans="1:26" ht="15.75" customHeight="1">
      <c r="A49" s="949"/>
      <c r="B49" s="334" t="s">
        <v>28</v>
      </c>
      <c r="C49" s="372">
        <v>0</v>
      </c>
      <c r="D49" s="373">
        <v>0</v>
      </c>
      <c r="E49" s="337">
        <v>0</v>
      </c>
      <c r="F49" s="327"/>
      <c r="G49" s="338">
        <f t="shared" ref="G49:H49" si="68">K49-C49</f>
        <v>5963</v>
      </c>
      <c r="H49" s="338">
        <f t="shared" si="68"/>
        <v>6156</v>
      </c>
      <c r="I49" s="337">
        <v>0</v>
      </c>
      <c r="J49" s="327"/>
      <c r="K49" s="587">
        <v>5963</v>
      </c>
      <c r="L49" s="587">
        <v>6156</v>
      </c>
      <c r="M49" s="376">
        <f t="shared" si="67"/>
        <v>1.0323662585946671</v>
      </c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158"/>
      <c r="Z49" s="158"/>
    </row>
    <row r="50" spans="1:26" ht="15.75" customHeight="1">
      <c r="A50" s="949"/>
      <c r="B50" s="377" t="s">
        <v>32</v>
      </c>
      <c r="C50" s="378">
        <v>2</v>
      </c>
      <c r="D50" s="373">
        <v>0</v>
      </c>
      <c r="E50" s="337">
        <f t="shared" ref="E50:E51" si="69">D50/C50</f>
        <v>0</v>
      </c>
      <c r="F50" s="327"/>
      <c r="G50" s="338">
        <f t="shared" ref="G50:H50" si="70">K50-C50</f>
        <v>445498</v>
      </c>
      <c r="H50" s="338">
        <f t="shared" si="70"/>
        <v>97513</v>
      </c>
      <c r="I50" s="337">
        <f t="shared" ref="I50:I51" si="71">H50/G50</f>
        <v>0.21888538220149137</v>
      </c>
      <c r="J50" s="327"/>
      <c r="K50" s="635">
        <v>445500</v>
      </c>
      <c r="L50" s="587">
        <v>97513</v>
      </c>
      <c r="M50" s="376">
        <f t="shared" si="67"/>
        <v>0.21888439955106623</v>
      </c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158"/>
      <c r="Z50" s="158"/>
    </row>
    <row r="51" spans="1:26" ht="15.75" customHeight="1">
      <c r="A51" s="950"/>
      <c r="B51" s="357" t="s">
        <v>25</v>
      </c>
      <c r="C51" s="369">
        <f t="shared" ref="C51:D51" si="72">SUM(C48:C50)</f>
        <v>2</v>
      </c>
      <c r="D51" s="358">
        <f t="shared" si="72"/>
        <v>0</v>
      </c>
      <c r="E51" s="359">
        <f t="shared" si="69"/>
        <v>0</v>
      </c>
      <c r="F51" s="343"/>
      <c r="G51" s="370">
        <f t="shared" ref="G51:H51" si="73">SUM(G48:G50)</f>
        <v>455961</v>
      </c>
      <c r="H51" s="369">
        <f t="shared" si="73"/>
        <v>103669</v>
      </c>
      <c r="I51" s="380">
        <f t="shared" si="71"/>
        <v>0.22736374382896782</v>
      </c>
      <c r="J51" s="327"/>
      <c r="K51" s="362">
        <f t="shared" ref="K51:L51" si="74">SUM(K48:K50)</f>
        <v>455963</v>
      </c>
      <c r="L51" s="362">
        <f t="shared" si="74"/>
        <v>103669</v>
      </c>
      <c r="M51" s="363">
        <f t="shared" si="67"/>
        <v>0.22736274653864458</v>
      </c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158"/>
      <c r="Z51" s="158"/>
    </row>
    <row r="52" spans="1:26" ht="6.75" customHeight="1">
      <c r="A52" s="985"/>
      <c r="B52" s="928"/>
      <c r="C52" s="928"/>
      <c r="D52" s="928"/>
      <c r="E52" s="928"/>
      <c r="F52" s="312"/>
      <c r="G52" s="986"/>
      <c r="H52" s="928"/>
      <c r="I52" s="928"/>
      <c r="J52" s="312"/>
      <c r="K52" s="491"/>
      <c r="L52" s="348"/>
      <c r="M52" s="349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158"/>
      <c r="Z52" s="158"/>
    </row>
    <row r="53" spans="1:26" ht="15.75" customHeight="1">
      <c r="A53" s="987" t="s">
        <v>165</v>
      </c>
      <c r="B53" s="323" t="s">
        <v>21</v>
      </c>
      <c r="C53" s="631">
        <v>324097</v>
      </c>
      <c r="D53" s="589">
        <f>0+187428</f>
        <v>187428</v>
      </c>
      <c r="E53" s="329">
        <f t="shared" ref="E53:E55" si="75">D53/C53</f>
        <v>0.5783083459581545</v>
      </c>
      <c r="F53" s="327"/>
      <c r="G53" s="338">
        <f t="shared" ref="G53:H53" si="76">K53-C53</f>
        <v>98387</v>
      </c>
      <c r="H53" s="338">
        <f t="shared" si="76"/>
        <v>32887</v>
      </c>
      <c r="I53" s="337">
        <f t="shared" ref="I53:I55" si="77">H53/G53</f>
        <v>0.33426164025735106</v>
      </c>
      <c r="J53" s="327"/>
      <c r="K53" s="584">
        <v>422484</v>
      </c>
      <c r="L53" s="584">
        <v>220315</v>
      </c>
      <c r="M53" s="368">
        <f t="shared" ref="M53:M55" si="78">L53/K53</f>
        <v>0.52147536948144779</v>
      </c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158"/>
      <c r="Z53" s="158"/>
    </row>
    <row r="54" spans="1:26" ht="15.75" customHeight="1">
      <c r="A54" s="949"/>
      <c r="B54" s="377" t="s">
        <v>32</v>
      </c>
      <c r="C54" s="378">
        <f>34928+1155103</f>
        <v>1190031</v>
      </c>
      <c r="D54" s="590">
        <f>16168+739292</f>
        <v>755460</v>
      </c>
      <c r="E54" s="329">
        <f t="shared" si="75"/>
        <v>0.63482379870776473</v>
      </c>
      <c r="F54" s="327"/>
      <c r="G54" s="338">
        <f t="shared" ref="G54:H54" si="79">K54-C54</f>
        <v>1572569</v>
      </c>
      <c r="H54" s="338">
        <f t="shared" si="79"/>
        <v>724073</v>
      </c>
      <c r="I54" s="337">
        <f t="shared" si="77"/>
        <v>0.46043957371663818</v>
      </c>
      <c r="J54" s="327"/>
      <c r="K54" s="635">
        <v>2762600</v>
      </c>
      <c r="L54" s="587">
        <v>1479533</v>
      </c>
      <c r="M54" s="376">
        <f t="shared" si="78"/>
        <v>0.53555816984000582</v>
      </c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  <c r="Y54" s="158"/>
      <c r="Z54" s="158"/>
    </row>
    <row r="55" spans="1:26" ht="15.75" customHeight="1">
      <c r="A55" s="950"/>
      <c r="B55" s="357" t="s">
        <v>25</v>
      </c>
      <c r="C55" s="369">
        <f t="shared" ref="C55:D55" si="80">SUM(C53:C54)</f>
        <v>1514128</v>
      </c>
      <c r="D55" s="357">
        <f t="shared" si="80"/>
        <v>942888</v>
      </c>
      <c r="E55" s="397">
        <f t="shared" si="75"/>
        <v>0.62272674437035702</v>
      </c>
      <c r="F55" s="343"/>
      <c r="G55" s="370">
        <f t="shared" ref="G55:H55" si="81">SUM(G53:G54)</f>
        <v>1670956</v>
      </c>
      <c r="H55" s="369">
        <f t="shared" si="81"/>
        <v>756960</v>
      </c>
      <c r="I55" s="380">
        <f t="shared" si="77"/>
        <v>0.45301013312139876</v>
      </c>
      <c r="J55" s="327"/>
      <c r="K55" s="362">
        <f t="shared" ref="K55:L55" si="82">SUM(K53:K54)</f>
        <v>3185084</v>
      </c>
      <c r="L55" s="362">
        <f t="shared" si="82"/>
        <v>1699848</v>
      </c>
      <c r="M55" s="363">
        <f t="shared" si="78"/>
        <v>0.53369016327355889</v>
      </c>
      <c r="N55" s="305"/>
      <c r="O55" s="305"/>
      <c r="P55" s="305"/>
      <c r="Q55" s="305"/>
      <c r="R55" s="305"/>
      <c r="S55" s="305"/>
      <c r="T55" s="305"/>
      <c r="U55" s="305"/>
      <c r="V55" s="305"/>
      <c r="W55" s="305"/>
      <c r="X55" s="305"/>
      <c r="Y55" s="158"/>
      <c r="Z55" s="158"/>
    </row>
    <row r="56" spans="1:26" ht="6.75" customHeight="1">
      <c r="A56" s="985"/>
      <c r="B56" s="928"/>
      <c r="C56" s="928"/>
      <c r="D56" s="928"/>
      <c r="E56" s="928"/>
      <c r="F56" s="312"/>
      <c r="G56" s="986"/>
      <c r="H56" s="928"/>
      <c r="I56" s="928"/>
      <c r="J56" s="312"/>
      <c r="K56" s="491"/>
      <c r="L56" s="348"/>
      <c r="M56" s="349"/>
      <c r="N56" s="305"/>
      <c r="O56" s="305"/>
      <c r="P56" s="305"/>
      <c r="Q56" s="305"/>
      <c r="R56" s="305"/>
      <c r="S56" s="305"/>
      <c r="T56" s="305"/>
      <c r="U56" s="305"/>
      <c r="V56" s="305"/>
      <c r="W56" s="305"/>
      <c r="X56" s="305"/>
      <c r="Y56" s="158"/>
      <c r="Z56" s="158"/>
    </row>
    <row r="57" spans="1:26" ht="15.75" customHeight="1">
      <c r="A57" s="987" t="s">
        <v>166</v>
      </c>
      <c r="B57" s="323" t="s">
        <v>21</v>
      </c>
      <c r="C57" s="631">
        <v>386000</v>
      </c>
      <c r="D57" s="583">
        <v>101184</v>
      </c>
      <c r="E57" s="326">
        <f>D57/C57</f>
        <v>0.26213471502590674</v>
      </c>
      <c r="F57" s="327"/>
      <c r="G57" s="338">
        <f t="shared" ref="G57:H57" si="83">K57-C57</f>
        <v>1825</v>
      </c>
      <c r="H57" s="338">
        <f t="shared" si="83"/>
        <v>12277</v>
      </c>
      <c r="I57" s="337">
        <f t="shared" ref="I57:I61" si="84">H57/G57</f>
        <v>6.7271232876712332</v>
      </c>
      <c r="J57" s="327"/>
      <c r="K57" s="584">
        <v>387825</v>
      </c>
      <c r="L57" s="584">
        <v>113461</v>
      </c>
      <c r="M57" s="368">
        <f t="shared" ref="M57:M61" si="85">L57/K57</f>
        <v>0.2925572100818668</v>
      </c>
      <c r="N57" s="305"/>
      <c r="O57" s="305"/>
      <c r="P57" s="305"/>
      <c r="Q57" s="305"/>
      <c r="R57" s="305"/>
      <c r="S57" s="305"/>
      <c r="T57" s="305"/>
      <c r="U57" s="305"/>
      <c r="V57" s="305"/>
      <c r="W57" s="305"/>
      <c r="X57" s="305"/>
      <c r="Y57" s="158"/>
      <c r="Z57" s="158"/>
    </row>
    <row r="58" spans="1:26" ht="15.75" customHeight="1">
      <c r="A58" s="949"/>
      <c r="B58" s="334" t="s">
        <v>28</v>
      </c>
      <c r="C58" s="372">
        <v>0</v>
      </c>
      <c r="D58" s="373">
        <v>0</v>
      </c>
      <c r="E58" s="337">
        <v>0</v>
      </c>
      <c r="F58" s="327"/>
      <c r="G58" s="338">
        <f t="shared" ref="G58:H58" si="86">K58-C58</f>
        <v>6000</v>
      </c>
      <c r="H58" s="338">
        <f t="shared" si="86"/>
        <v>2841</v>
      </c>
      <c r="I58" s="337">
        <f t="shared" si="84"/>
        <v>0.47349999999999998</v>
      </c>
      <c r="J58" s="327"/>
      <c r="K58" s="587">
        <v>6000</v>
      </c>
      <c r="L58" s="587">
        <v>2841</v>
      </c>
      <c r="M58" s="376">
        <f t="shared" si="85"/>
        <v>0.47349999999999998</v>
      </c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158"/>
      <c r="Z58" s="158"/>
    </row>
    <row r="59" spans="1:26" ht="15.75" customHeight="1">
      <c r="A59" s="949"/>
      <c r="B59" s="334" t="s">
        <v>31</v>
      </c>
      <c r="C59" s="633">
        <v>80600</v>
      </c>
      <c r="D59" s="373">
        <v>72911</v>
      </c>
      <c r="E59" s="337">
        <f t="shared" ref="E59:E61" si="87">D59/C59</f>
        <v>0.90460297766749376</v>
      </c>
      <c r="F59" s="327"/>
      <c r="G59" s="338">
        <f t="shared" ref="G59:H59" si="88">K59-C59</f>
        <v>11400</v>
      </c>
      <c r="H59" s="338">
        <f t="shared" si="88"/>
        <v>9444</v>
      </c>
      <c r="I59" s="337">
        <f t="shared" si="84"/>
        <v>0.82842105263157895</v>
      </c>
      <c r="J59" s="327"/>
      <c r="K59" s="587">
        <v>92000</v>
      </c>
      <c r="L59" s="587">
        <v>82355</v>
      </c>
      <c r="M59" s="376">
        <f t="shared" si="85"/>
        <v>0.89516304347826092</v>
      </c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158"/>
      <c r="Z59" s="158"/>
    </row>
    <row r="60" spans="1:26" ht="15.75" customHeight="1">
      <c r="A60" s="949"/>
      <c r="B60" s="377" t="s">
        <v>32</v>
      </c>
      <c r="C60" s="634">
        <v>104155</v>
      </c>
      <c r="D60" s="585">
        <v>35039</v>
      </c>
      <c r="E60" s="337">
        <f t="shared" si="87"/>
        <v>0.33641207815275309</v>
      </c>
      <c r="F60" s="327"/>
      <c r="G60" s="338">
        <f t="shared" ref="G60:H60" si="89">K60-C60</f>
        <v>294297</v>
      </c>
      <c r="H60" s="338">
        <f t="shared" si="89"/>
        <v>152550</v>
      </c>
      <c r="I60" s="337">
        <f t="shared" si="84"/>
        <v>0.5183539077870315</v>
      </c>
      <c r="J60" s="327"/>
      <c r="K60" s="635">
        <v>398452</v>
      </c>
      <c r="L60" s="587">
        <v>187589</v>
      </c>
      <c r="M60" s="376">
        <f t="shared" si="85"/>
        <v>0.47079447461676688</v>
      </c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158"/>
      <c r="Z60" s="158"/>
    </row>
    <row r="61" spans="1:26" ht="15.75" customHeight="1">
      <c r="A61" s="950"/>
      <c r="B61" s="357" t="s">
        <v>25</v>
      </c>
      <c r="C61" s="369">
        <f t="shared" ref="C61:D61" si="90">SUM(C57:C60)</f>
        <v>570755</v>
      </c>
      <c r="D61" s="369">
        <f t="shared" si="90"/>
        <v>209134</v>
      </c>
      <c r="E61" s="359">
        <f t="shared" si="87"/>
        <v>0.36641641334723307</v>
      </c>
      <c r="F61" s="343"/>
      <c r="G61" s="370">
        <f t="shared" ref="G61:H61" si="91">SUM(G57:G60)</f>
        <v>313522</v>
      </c>
      <c r="H61" s="369">
        <f t="shared" si="91"/>
        <v>177112</v>
      </c>
      <c r="I61" s="380">
        <f t="shared" si="84"/>
        <v>0.56491091534246396</v>
      </c>
      <c r="J61" s="327"/>
      <c r="K61" s="362">
        <f t="shared" ref="K61:L61" si="92">SUM(K57:K60)</f>
        <v>884277</v>
      </c>
      <c r="L61" s="362">
        <f t="shared" si="92"/>
        <v>386246</v>
      </c>
      <c r="M61" s="363">
        <f t="shared" si="85"/>
        <v>0.43679299585989456</v>
      </c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158"/>
      <c r="Z61" s="158"/>
    </row>
    <row r="62" spans="1:26" ht="7.5" customHeight="1">
      <c r="A62" s="985"/>
      <c r="B62" s="928"/>
      <c r="C62" s="928"/>
      <c r="D62" s="928"/>
      <c r="E62" s="928"/>
      <c r="F62" s="312"/>
      <c r="G62" s="986"/>
      <c r="H62" s="928"/>
      <c r="I62" s="928"/>
      <c r="J62" s="312"/>
      <c r="K62" s="491"/>
      <c r="L62" s="348"/>
      <c r="M62" s="349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158"/>
      <c r="Z62" s="158"/>
    </row>
    <row r="63" spans="1:26" ht="15.75" customHeight="1">
      <c r="A63" s="987" t="s">
        <v>167</v>
      </c>
      <c r="B63" s="323" t="s">
        <v>21</v>
      </c>
      <c r="C63" s="364">
        <v>0</v>
      </c>
      <c r="D63" s="365">
        <v>0</v>
      </c>
      <c r="E63" s="381">
        <v>0</v>
      </c>
      <c r="F63" s="382"/>
      <c r="G63" s="338">
        <f t="shared" ref="G63:H63" si="93">K63-C63</f>
        <v>100000</v>
      </c>
      <c r="H63" s="338">
        <f t="shared" si="93"/>
        <v>74961</v>
      </c>
      <c r="I63" s="337">
        <f t="shared" ref="I63:I67" si="94">H63/G63</f>
        <v>0.74961</v>
      </c>
      <c r="J63" s="327"/>
      <c r="K63" s="584">
        <v>100000</v>
      </c>
      <c r="L63" s="584">
        <v>74961</v>
      </c>
      <c r="M63" s="368">
        <f t="shared" ref="M63:M67" si="95">L63/K63</f>
        <v>0.74961</v>
      </c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158"/>
      <c r="Z63" s="158"/>
    </row>
    <row r="64" spans="1:26" ht="15.75" customHeight="1">
      <c r="A64" s="949"/>
      <c r="B64" s="334" t="s">
        <v>28</v>
      </c>
      <c r="C64" s="372">
        <v>0</v>
      </c>
      <c r="D64" s="373">
        <v>0</v>
      </c>
      <c r="E64" s="383">
        <v>0</v>
      </c>
      <c r="F64" s="382"/>
      <c r="G64" s="338">
        <f t="shared" ref="G64:H64" si="96">K64-C64</f>
        <v>167300</v>
      </c>
      <c r="H64" s="338">
        <f t="shared" si="96"/>
        <v>160015</v>
      </c>
      <c r="I64" s="337">
        <f t="shared" si="94"/>
        <v>0.95645546921697544</v>
      </c>
      <c r="J64" s="327"/>
      <c r="K64" s="640">
        <v>167300</v>
      </c>
      <c r="L64" s="587">
        <v>160015</v>
      </c>
      <c r="M64" s="376">
        <f t="shared" si="95"/>
        <v>0.95645546921697544</v>
      </c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158"/>
      <c r="Z64" s="158"/>
    </row>
    <row r="65" spans="1:26" ht="15.75" customHeight="1">
      <c r="A65" s="949"/>
      <c r="B65" s="334" t="s">
        <v>31</v>
      </c>
      <c r="C65" s="372">
        <v>0</v>
      </c>
      <c r="D65" s="373">
        <v>0</v>
      </c>
      <c r="E65" s="383">
        <v>0</v>
      </c>
      <c r="F65" s="382"/>
      <c r="G65" s="338">
        <f t="shared" ref="G65:H65" si="97">K65-C65</f>
        <v>50000</v>
      </c>
      <c r="H65" s="338">
        <f t="shared" si="97"/>
        <v>45561</v>
      </c>
      <c r="I65" s="337">
        <f t="shared" si="94"/>
        <v>0.91122000000000003</v>
      </c>
      <c r="J65" s="327"/>
      <c r="K65" s="587">
        <v>50000</v>
      </c>
      <c r="L65" s="587">
        <v>45561</v>
      </c>
      <c r="M65" s="376">
        <f t="shared" si="95"/>
        <v>0.91122000000000003</v>
      </c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158"/>
      <c r="Z65" s="158"/>
    </row>
    <row r="66" spans="1:26" ht="15.75" customHeight="1">
      <c r="A66" s="949"/>
      <c r="B66" s="377" t="s">
        <v>32</v>
      </c>
      <c r="C66" s="378">
        <v>0</v>
      </c>
      <c r="D66" s="373">
        <v>0</v>
      </c>
      <c r="E66" s="383">
        <v>0</v>
      </c>
      <c r="F66" s="382"/>
      <c r="G66" s="338">
        <f t="shared" ref="G66:H66" si="98">K66-C66</f>
        <v>201260</v>
      </c>
      <c r="H66" s="338">
        <f t="shared" si="98"/>
        <v>47410</v>
      </c>
      <c r="I66" s="337">
        <f t="shared" si="94"/>
        <v>0.23556593461194475</v>
      </c>
      <c r="J66" s="327"/>
      <c r="K66" s="635">
        <v>201260</v>
      </c>
      <c r="L66" s="587">
        <v>47410</v>
      </c>
      <c r="M66" s="376">
        <f t="shared" si="95"/>
        <v>0.23556593461194475</v>
      </c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158"/>
      <c r="Z66" s="158"/>
    </row>
    <row r="67" spans="1:26" ht="15.75" customHeight="1">
      <c r="A67" s="950"/>
      <c r="B67" s="357" t="s">
        <v>25</v>
      </c>
      <c r="C67" s="369">
        <f t="shared" ref="C67:D67" si="99">SUM(C63:C66)</f>
        <v>0</v>
      </c>
      <c r="D67" s="358">
        <f t="shared" si="99"/>
        <v>0</v>
      </c>
      <c r="E67" s="384">
        <v>0</v>
      </c>
      <c r="F67" s="385"/>
      <c r="G67" s="370">
        <f t="shared" ref="G67:H67" si="100">SUM(G63:G66)</f>
        <v>518560</v>
      </c>
      <c r="H67" s="369">
        <f t="shared" si="100"/>
        <v>327947</v>
      </c>
      <c r="I67" s="380">
        <f t="shared" si="94"/>
        <v>0.6324186207960506</v>
      </c>
      <c r="J67" s="327"/>
      <c r="K67" s="362">
        <f t="shared" ref="K67:L67" si="101">SUM(K63:K66)</f>
        <v>518560</v>
      </c>
      <c r="L67" s="362">
        <f t="shared" si="101"/>
        <v>327947</v>
      </c>
      <c r="M67" s="363">
        <f t="shared" si="95"/>
        <v>0.6324186207960506</v>
      </c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158"/>
      <c r="Z67" s="158"/>
    </row>
    <row r="68" spans="1:26" ht="7.5" customHeight="1">
      <c r="A68" s="985"/>
      <c r="B68" s="928"/>
      <c r="C68" s="928"/>
      <c r="D68" s="928"/>
      <c r="E68" s="928"/>
      <c r="F68" s="312"/>
      <c r="G68" s="986"/>
      <c r="H68" s="928"/>
      <c r="I68" s="928"/>
      <c r="J68" s="312"/>
      <c r="K68" s="491"/>
      <c r="L68" s="348"/>
      <c r="M68" s="349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158"/>
      <c r="Z68" s="158"/>
    </row>
    <row r="69" spans="1:26" ht="15.75" customHeight="1">
      <c r="A69" s="987" t="s">
        <v>168</v>
      </c>
      <c r="B69" s="591" t="s">
        <v>181</v>
      </c>
      <c r="C69" s="364">
        <f>5000+3730000</f>
        <v>3735000</v>
      </c>
      <c r="D69" s="583">
        <v>590000</v>
      </c>
      <c r="E69" s="326">
        <f t="shared" ref="E69:E71" si="102">D69/C69</f>
        <v>0.15796519410977242</v>
      </c>
      <c r="F69" s="327"/>
      <c r="G69" s="328">
        <f t="shared" ref="G69:H69" si="103">K69-C69</f>
        <v>345000</v>
      </c>
      <c r="H69" s="323">
        <f t="shared" si="103"/>
        <v>147377</v>
      </c>
      <c r="I69" s="337">
        <f t="shared" ref="I69:I73" si="104">H69/G69</f>
        <v>0.42717971014492756</v>
      </c>
      <c r="J69" s="327"/>
      <c r="K69" s="641">
        <v>4080000</v>
      </c>
      <c r="L69" s="584">
        <v>737377</v>
      </c>
      <c r="M69" s="368">
        <f t="shared" ref="M69:M73" si="105">L69/K69</f>
        <v>0.18072965686274509</v>
      </c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158"/>
      <c r="Z69" s="158"/>
    </row>
    <row r="70" spans="1:26" ht="15.75" customHeight="1">
      <c r="A70" s="949"/>
      <c r="B70" s="334" t="s">
        <v>28</v>
      </c>
      <c r="C70" s="633">
        <v>31818</v>
      </c>
      <c r="D70" s="585">
        <v>26142</v>
      </c>
      <c r="E70" s="337">
        <f t="shared" si="102"/>
        <v>0.8216104092023383</v>
      </c>
      <c r="F70" s="327"/>
      <c r="G70" s="338">
        <f t="shared" ref="G70:H70" si="106">K70-C70</f>
        <v>8182</v>
      </c>
      <c r="H70" s="334">
        <f t="shared" si="106"/>
        <v>3268</v>
      </c>
      <c r="I70" s="337">
        <f t="shared" si="104"/>
        <v>0.39941334637008069</v>
      </c>
      <c r="J70" s="327"/>
      <c r="K70" s="587">
        <v>40000</v>
      </c>
      <c r="L70" s="587">
        <v>29410</v>
      </c>
      <c r="M70" s="376">
        <f t="shared" si="105"/>
        <v>0.73524999999999996</v>
      </c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158"/>
      <c r="Z70" s="158"/>
    </row>
    <row r="71" spans="1:26" ht="15.75" customHeight="1">
      <c r="A71" s="949"/>
      <c r="B71" s="334" t="s">
        <v>31</v>
      </c>
      <c r="C71" s="633">
        <v>123006</v>
      </c>
      <c r="D71" s="585">
        <v>68146</v>
      </c>
      <c r="E71" s="337">
        <f t="shared" si="102"/>
        <v>0.55400549566687807</v>
      </c>
      <c r="F71" s="327"/>
      <c r="G71" s="338">
        <f t="shared" ref="G71:H71" si="107">K71-C71</f>
        <v>26994</v>
      </c>
      <c r="H71" s="334">
        <f t="shared" si="107"/>
        <v>20122</v>
      </c>
      <c r="I71" s="337">
        <f t="shared" si="104"/>
        <v>0.74542490923909022</v>
      </c>
      <c r="J71" s="327"/>
      <c r="K71" s="587">
        <v>150000</v>
      </c>
      <c r="L71" s="587">
        <v>88268</v>
      </c>
      <c r="M71" s="376">
        <f t="shared" si="105"/>
        <v>0.58845333333333338</v>
      </c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158"/>
      <c r="Z71" s="158"/>
    </row>
    <row r="72" spans="1:26" ht="15.75" customHeight="1">
      <c r="A72" s="949"/>
      <c r="B72" s="377" t="s">
        <v>32</v>
      </c>
      <c r="C72" s="378">
        <v>0</v>
      </c>
      <c r="D72" s="373">
        <v>0</v>
      </c>
      <c r="E72" s="337">
        <v>0</v>
      </c>
      <c r="F72" s="327"/>
      <c r="G72" s="338">
        <f t="shared" ref="G72:H72" si="108">K72-C72</f>
        <v>65867</v>
      </c>
      <c r="H72" s="334">
        <f t="shared" si="108"/>
        <v>35796</v>
      </c>
      <c r="I72" s="337">
        <f t="shared" si="104"/>
        <v>0.54345878816402748</v>
      </c>
      <c r="J72" s="327"/>
      <c r="K72" s="642">
        <v>65867</v>
      </c>
      <c r="L72" s="587">
        <v>35796</v>
      </c>
      <c r="M72" s="376">
        <f t="shared" si="105"/>
        <v>0.54345878816402748</v>
      </c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158"/>
      <c r="Z72" s="158"/>
    </row>
    <row r="73" spans="1:26" ht="15.75" customHeight="1">
      <c r="A73" s="950"/>
      <c r="B73" s="357" t="s">
        <v>25</v>
      </c>
      <c r="C73" s="369">
        <f t="shared" ref="C73:D73" si="109">SUM(C69:C72)</f>
        <v>3889824</v>
      </c>
      <c r="D73" s="358">
        <f t="shared" si="109"/>
        <v>684288</v>
      </c>
      <c r="E73" s="359">
        <f>D73/C73</f>
        <v>0.17591747081616033</v>
      </c>
      <c r="F73" s="343"/>
      <c r="G73" s="360">
        <f t="shared" ref="G73:H73" si="110">SUM(G69:G72)</f>
        <v>446043</v>
      </c>
      <c r="H73" s="357">
        <f t="shared" si="110"/>
        <v>206563</v>
      </c>
      <c r="I73" s="380">
        <f t="shared" si="104"/>
        <v>0.46310109115040476</v>
      </c>
      <c r="J73" s="327"/>
      <c r="K73" s="362">
        <f t="shared" ref="K73:L73" si="111">SUM(K69:K72)</f>
        <v>4335867</v>
      </c>
      <c r="L73" s="362">
        <f t="shared" si="111"/>
        <v>890851</v>
      </c>
      <c r="M73" s="363">
        <f t="shared" si="105"/>
        <v>0.2054608686105916</v>
      </c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158"/>
      <c r="Z73" s="158"/>
    </row>
    <row r="74" spans="1:26" ht="7.5" customHeight="1">
      <c r="A74" s="985"/>
      <c r="B74" s="928"/>
      <c r="C74" s="928"/>
      <c r="D74" s="928"/>
      <c r="E74" s="928"/>
      <c r="F74" s="312"/>
      <c r="G74" s="986"/>
      <c r="H74" s="928"/>
      <c r="I74" s="928"/>
      <c r="J74" s="312"/>
      <c r="K74" s="491"/>
      <c r="L74" s="348"/>
      <c r="M74" s="349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158"/>
      <c r="Z74" s="158"/>
    </row>
    <row r="75" spans="1:26" ht="15.75" customHeight="1">
      <c r="A75" s="987" t="s">
        <v>169</v>
      </c>
      <c r="B75" s="323" t="s">
        <v>21</v>
      </c>
      <c r="C75" s="631">
        <v>13190</v>
      </c>
      <c r="D75" s="583">
        <v>6594</v>
      </c>
      <c r="E75" s="326">
        <f t="shared" ref="E75:E78" si="112">D75/C75</f>
        <v>0.49992418498862773</v>
      </c>
      <c r="F75" s="327"/>
      <c r="G75" s="323">
        <f t="shared" ref="G75:H75" si="113">K75-C75</f>
        <v>57912</v>
      </c>
      <c r="H75" s="323">
        <f t="shared" si="113"/>
        <v>16148</v>
      </c>
      <c r="I75" s="381">
        <f t="shared" ref="I75:I78" si="114">H75/G75</f>
        <v>0.27883685591932589</v>
      </c>
      <c r="J75" s="327"/>
      <c r="K75" s="367">
        <v>71102</v>
      </c>
      <c r="L75" s="584">
        <v>22742</v>
      </c>
      <c r="M75" s="368">
        <f t="shared" ref="M75:M78" si="115">L75/K75</f>
        <v>0.31985035582684029</v>
      </c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158"/>
      <c r="Z75" s="158"/>
    </row>
    <row r="76" spans="1:26" ht="15.75" customHeight="1">
      <c r="A76" s="949"/>
      <c r="B76" s="334" t="s">
        <v>102</v>
      </c>
      <c r="C76" s="633">
        <v>65596</v>
      </c>
      <c r="D76" s="585">
        <v>71331</v>
      </c>
      <c r="E76" s="337">
        <f t="shared" si="112"/>
        <v>1.0874291115311909</v>
      </c>
      <c r="F76" s="327"/>
      <c r="G76" s="334">
        <f t="shared" ref="G76:H76" si="116">K76-C76</f>
        <v>74404</v>
      </c>
      <c r="H76" s="334">
        <f t="shared" si="116"/>
        <v>80908</v>
      </c>
      <c r="I76" s="383">
        <f t="shared" si="114"/>
        <v>1.0874146551260684</v>
      </c>
      <c r="J76" s="327"/>
      <c r="K76" s="587">
        <v>140000</v>
      </c>
      <c r="L76" s="587">
        <v>152239</v>
      </c>
      <c r="M76" s="376">
        <f t="shared" si="115"/>
        <v>1.0874214285714285</v>
      </c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158"/>
      <c r="Z76" s="158"/>
    </row>
    <row r="77" spans="1:26" ht="15.75" customHeight="1">
      <c r="A77" s="949"/>
      <c r="B77" s="334" t="s">
        <v>31</v>
      </c>
      <c r="C77" s="633">
        <v>0</v>
      </c>
      <c r="D77" s="373">
        <v>0</v>
      </c>
      <c r="E77" s="337" t="e">
        <f t="shared" si="112"/>
        <v>#DIV/0!</v>
      </c>
      <c r="F77" s="327"/>
      <c r="G77" s="334">
        <f t="shared" ref="G77:H77" si="117">K77-C77</f>
        <v>20000</v>
      </c>
      <c r="H77" s="334">
        <f t="shared" si="117"/>
        <v>14935</v>
      </c>
      <c r="I77" s="383">
        <f t="shared" si="114"/>
        <v>0.74675000000000002</v>
      </c>
      <c r="J77" s="327"/>
      <c r="K77" s="587">
        <v>20000</v>
      </c>
      <c r="L77" s="587">
        <v>14935</v>
      </c>
      <c r="M77" s="376">
        <f t="shared" si="115"/>
        <v>0.74675000000000002</v>
      </c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158"/>
      <c r="Z77" s="158"/>
    </row>
    <row r="78" spans="1:26" ht="15.75" customHeight="1">
      <c r="A78" s="950"/>
      <c r="B78" s="357" t="s">
        <v>25</v>
      </c>
      <c r="C78" s="369">
        <f t="shared" ref="C78:D78" si="118">SUM(C75:C77)</f>
        <v>78786</v>
      </c>
      <c r="D78" s="358">
        <f t="shared" si="118"/>
        <v>77925</v>
      </c>
      <c r="E78" s="359">
        <f t="shared" si="112"/>
        <v>0.9890716624781053</v>
      </c>
      <c r="F78" s="343"/>
      <c r="G78" s="357">
        <f t="shared" ref="G78:H78" si="119">SUM(G75:G77)</f>
        <v>152316</v>
      </c>
      <c r="H78" s="357">
        <f t="shared" si="119"/>
        <v>111991</v>
      </c>
      <c r="I78" s="384">
        <f t="shared" si="114"/>
        <v>0.73525433966228104</v>
      </c>
      <c r="J78" s="327"/>
      <c r="K78" s="362">
        <f t="shared" ref="K78:L78" si="120">SUM(K75:K77)</f>
        <v>231102</v>
      </c>
      <c r="L78" s="362">
        <f t="shared" si="120"/>
        <v>189916</v>
      </c>
      <c r="M78" s="363">
        <f t="shared" si="115"/>
        <v>0.8217843203433981</v>
      </c>
      <c r="N78" s="305"/>
      <c r="O78" s="305"/>
      <c r="P78" s="305"/>
      <c r="Q78" s="305"/>
      <c r="R78" s="305"/>
      <c r="S78" s="305"/>
      <c r="T78" s="305"/>
      <c r="U78" s="305"/>
      <c r="V78" s="305"/>
      <c r="W78" s="305"/>
      <c r="X78" s="305"/>
      <c r="Y78" s="158"/>
      <c r="Z78" s="158"/>
    </row>
    <row r="79" spans="1:26" ht="6" customHeight="1">
      <c r="A79" s="1010"/>
      <c r="B79" s="936"/>
      <c r="C79" s="936"/>
      <c r="D79" s="936"/>
      <c r="E79" s="936"/>
      <c r="F79" s="312"/>
      <c r="G79" s="986"/>
      <c r="H79" s="928"/>
      <c r="I79" s="928"/>
      <c r="J79" s="312"/>
      <c r="K79" s="491"/>
      <c r="L79" s="348"/>
      <c r="M79" s="349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158"/>
      <c r="Z79" s="158"/>
    </row>
    <row r="80" spans="1:26" ht="15.75" customHeight="1">
      <c r="A80" s="987" t="s">
        <v>170</v>
      </c>
      <c r="B80" s="328" t="s">
        <v>21</v>
      </c>
      <c r="C80" s="364">
        <v>0</v>
      </c>
      <c r="D80" s="365">
        <v>0</v>
      </c>
      <c r="E80" s="326">
        <v>0</v>
      </c>
      <c r="F80" s="327"/>
      <c r="G80" s="338">
        <f t="shared" ref="G80:H80" si="121">K80-C80</f>
        <v>360265</v>
      </c>
      <c r="H80" s="338">
        <f t="shared" si="121"/>
        <v>115121</v>
      </c>
      <c r="I80" s="337">
        <f t="shared" ref="I80:I84" si="122">H80/G80</f>
        <v>0.31954533468419083</v>
      </c>
      <c r="J80" s="327"/>
      <c r="K80" s="584">
        <v>360265</v>
      </c>
      <c r="L80" s="584">
        <v>115121</v>
      </c>
      <c r="M80" s="368">
        <f t="shared" ref="M80:M84" si="123">L80/K80</f>
        <v>0.31954533468419083</v>
      </c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05"/>
      <c r="Y80" s="158"/>
      <c r="Z80" s="158"/>
    </row>
    <row r="81" spans="1:26" ht="15.75" customHeight="1">
      <c r="A81" s="949"/>
      <c r="B81" s="338" t="s">
        <v>28</v>
      </c>
      <c r="C81" s="372">
        <v>0</v>
      </c>
      <c r="D81" s="373">
        <v>0</v>
      </c>
      <c r="E81" s="337">
        <v>0</v>
      </c>
      <c r="F81" s="327"/>
      <c r="G81" s="338">
        <f t="shared" ref="G81:H81" si="124">K81-C81</f>
        <v>30000</v>
      </c>
      <c r="H81" s="338">
        <f t="shared" si="124"/>
        <v>15452</v>
      </c>
      <c r="I81" s="337">
        <f t="shared" si="122"/>
        <v>0.51506666666666667</v>
      </c>
      <c r="J81" s="327"/>
      <c r="K81" s="587">
        <v>30000</v>
      </c>
      <c r="L81" s="587">
        <v>15452</v>
      </c>
      <c r="M81" s="376">
        <f t="shared" si="123"/>
        <v>0.51506666666666667</v>
      </c>
      <c r="N81" s="305"/>
      <c r="O81" s="305"/>
      <c r="P81" s="305"/>
      <c r="Q81" s="305"/>
      <c r="R81" s="305"/>
      <c r="S81" s="305"/>
      <c r="T81" s="305"/>
      <c r="U81" s="305"/>
      <c r="V81" s="305"/>
      <c r="W81" s="305"/>
      <c r="X81" s="305"/>
      <c r="Y81" s="158"/>
      <c r="Z81" s="158"/>
    </row>
    <row r="82" spans="1:26" ht="15.75" customHeight="1">
      <c r="A82" s="949"/>
      <c r="B82" s="338" t="s">
        <v>31</v>
      </c>
      <c r="C82" s="633">
        <v>95000</v>
      </c>
      <c r="D82" s="585">
        <v>94322</v>
      </c>
      <c r="E82" s="337">
        <f t="shared" ref="E82:E84" si="125">D82/C82</f>
        <v>0.99286315789473689</v>
      </c>
      <c r="F82" s="327"/>
      <c r="G82" s="338">
        <f t="shared" ref="G82:H82" si="126">K82-C82</f>
        <v>155000</v>
      </c>
      <c r="H82" s="338">
        <f t="shared" si="126"/>
        <v>154746</v>
      </c>
      <c r="I82" s="337">
        <f t="shared" si="122"/>
        <v>0.9983612903225807</v>
      </c>
      <c r="J82" s="327"/>
      <c r="K82" s="587">
        <v>250000</v>
      </c>
      <c r="L82" s="587">
        <v>249068</v>
      </c>
      <c r="M82" s="376">
        <f t="shared" si="123"/>
        <v>0.99627200000000005</v>
      </c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158"/>
      <c r="Z82" s="158"/>
    </row>
    <row r="83" spans="1:26" ht="15.75" customHeight="1">
      <c r="A83" s="949"/>
      <c r="B83" s="621" t="s">
        <v>32</v>
      </c>
      <c r="C83" s="634">
        <v>0</v>
      </c>
      <c r="D83" s="373">
        <v>0</v>
      </c>
      <c r="E83" s="337" t="e">
        <f t="shared" si="125"/>
        <v>#DIV/0!</v>
      </c>
      <c r="F83" s="327"/>
      <c r="G83" s="338">
        <f t="shared" ref="G83:H83" si="127">K83-C83</f>
        <v>707811</v>
      </c>
      <c r="H83" s="338">
        <f t="shared" si="127"/>
        <v>440781</v>
      </c>
      <c r="I83" s="337">
        <f t="shared" si="122"/>
        <v>0.62273827335263232</v>
      </c>
      <c r="J83" s="327"/>
      <c r="K83" s="496">
        <v>707811</v>
      </c>
      <c r="L83" s="587">
        <v>440781</v>
      </c>
      <c r="M83" s="376">
        <f t="shared" si="123"/>
        <v>0.62273827335263232</v>
      </c>
      <c r="N83" s="305"/>
      <c r="O83" s="305"/>
      <c r="P83" s="305"/>
      <c r="Q83" s="305"/>
      <c r="R83" s="305"/>
      <c r="S83" s="305"/>
      <c r="T83" s="305"/>
      <c r="U83" s="305"/>
      <c r="V83" s="305"/>
      <c r="W83" s="305"/>
      <c r="X83" s="305"/>
      <c r="Y83" s="158"/>
      <c r="Z83" s="158"/>
    </row>
    <row r="84" spans="1:26" ht="15.75" customHeight="1">
      <c r="A84" s="950"/>
      <c r="B84" s="360" t="s">
        <v>25</v>
      </c>
      <c r="C84" s="369">
        <f t="shared" ref="C84:D84" si="128">SUM(C80:C83)</f>
        <v>95000</v>
      </c>
      <c r="D84" s="358">
        <f t="shared" si="128"/>
        <v>94322</v>
      </c>
      <c r="E84" s="359">
        <f t="shared" si="125"/>
        <v>0.99286315789473689</v>
      </c>
      <c r="F84" s="343"/>
      <c r="G84" s="370">
        <f t="shared" ref="G84:H84" si="129">SUM(G80:G83)</f>
        <v>1253076</v>
      </c>
      <c r="H84" s="398">
        <f t="shared" si="129"/>
        <v>726100</v>
      </c>
      <c r="I84" s="380">
        <f t="shared" si="122"/>
        <v>0.57945407940140903</v>
      </c>
      <c r="J84" s="327"/>
      <c r="K84" s="362">
        <f t="shared" ref="K84:L84" si="130">SUM(K80:K83)</f>
        <v>1348076</v>
      </c>
      <c r="L84" s="362">
        <f t="shared" si="130"/>
        <v>820422</v>
      </c>
      <c r="M84" s="363">
        <f t="shared" si="123"/>
        <v>0.60858734967464745</v>
      </c>
      <c r="N84" s="305"/>
      <c r="O84" s="305"/>
      <c r="P84" s="305"/>
      <c r="Q84" s="305"/>
      <c r="R84" s="305"/>
      <c r="S84" s="305"/>
      <c r="T84" s="305"/>
      <c r="U84" s="305"/>
      <c r="V84" s="305"/>
      <c r="W84" s="305"/>
      <c r="X84" s="305"/>
      <c r="Y84" s="158"/>
      <c r="Z84" s="158"/>
    </row>
    <row r="85" spans="1:26" ht="6" customHeight="1">
      <c r="A85" s="985"/>
      <c r="B85" s="928"/>
      <c r="C85" s="928"/>
      <c r="D85" s="928"/>
      <c r="E85" s="955"/>
      <c r="F85" s="312"/>
      <c r="G85" s="986"/>
      <c r="H85" s="928"/>
      <c r="I85" s="928"/>
      <c r="J85" s="312"/>
      <c r="K85" s="491"/>
      <c r="L85" s="348"/>
      <c r="M85" s="349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158"/>
      <c r="Z85" s="158"/>
    </row>
    <row r="86" spans="1:26" ht="15.75" customHeight="1">
      <c r="A86" s="987" t="s">
        <v>56</v>
      </c>
      <c r="B86" s="323" t="s">
        <v>21</v>
      </c>
      <c r="C86" s="631">
        <v>800</v>
      </c>
      <c r="D86" s="583">
        <v>549</v>
      </c>
      <c r="E86" s="326">
        <f t="shared" ref="E86:E88" si="131">D86/C86</f>
        <v>0.68625000000000003</v>
      </c>
      <c r="F86" s="327"/>
      <c r="G86" s="338">
        <f t="shared" ref="G86:H86" si="132">K86-C86</f>
        <v>34141</v>
      </c>
      <c r="H86" s="338">
        <f t="shared" si="132"/>
        <v>4285</v>
      </c>
      <c r="I86" s="337">
        <f t="shared" ref="I86:I90" si="133">H86/G86</f>
        <v>0.12550891889517002</v>
      </c>
      <c r="J86" s="327"/>
      <c r="K86" s="584">
        <f>15541+19400</f>
        <v>34941</v>
      </c>
      <c r="L86" s="584">
        <v>4834</v>
      </c>
      <c r="M86" s="368">
        <f t="shared" ref="M86:M90" si="134">L86/K86</f>
        <v>0.1383475000715492</v>
      </c>
      <c r="N86" s="305"/>
      <c r="O86" s="305"/>
      <c r="P86" s="305"/>
      <c r="Q86" s="305"/>
      <c r="R86" s="305"/>
      <c r="S86" s="305"/>
      <c r="T86" s="305"/>
      <c r="U86" s="305"/>
      <c r="V86" s="305"/>
      <c r="W86" s="305"/>
      <c r="X86" s="305"/>
      <c r="Y86" s="158"/>
      <c r="Z86" s="158"/>
    </row>
    <row r="87" spans="1:26" ht="15.75" customHeight="1">
      <c r="A87" s="949"/>
      <c r="B87" s="334" t="s">
        <v>28</v>
      </c>
      <c r="C87" s="633">
        <v>10</v>
      </c>
      <c r="D87" s="373">
        <v>0</v>
      </c>
      <c r="E87" s="337">
        <f t="shared" si="131"/>
        <v>0</v>
      </c>
      <c r="F87" s="327"/>
      <c r="G87" s="338">
        <f t="shared" ref="G87:H87" si="135">K87-C87</f>
        <v>9990</v>
      </c>
      <c r="H87" s="338">
        <f t="shared" si="135"/>
        <v>4890</v>
      </c>
      <c r="I87" s="337">
        <f t="shared" si="133"/>
        <v>0.4894894894894895</v>
      </c>
      <c r="J87" s="327"/>
      <c r="K87" s="587">
        <v>10000</v>
      </c>
      <c r="L87" s="375">
        <v>4890</v>
      </c>
      <c r="M87" s="376">
        <f t="shared" si="134"/>
        <v>0.48899999999999999</v>
      </c>
      <c r="N87" s="305"/>
      <c r="O87" s="305"/>
      <c r="P87" s="305"/>
      <c r="Q87" s="305"/>
      <c r="R87" s="305"/>
      <c r="S87" s="305"/>
      <c r="T87" s="305"/>
      <c r="U87" s="305"/>
      <c r="V87" s="305"/>
      <c r="W87" s="305"/>
      <c r="X87" s="305"/>
      <c r="Y87" s="158"/>
      <c r="Z87" s="158"/>
    </row>
    <row r="88" spans="1:26" ht="15.75" customHeight="1">
      <c r="A88" s="949"/>
      <c r="B88" s="334" t="s">
        <v>103</v>
      </c>
      <c r="C88" s="633">
        <v>1000</v>
      </c>
      <c r="D88" s="373">
        <v>0</v>
      </c>
      <c r="E88" s="337">
        <f t="shared" si="131"/>
        <v>0</v>
      </c>
      <c r="F88" s="327"/>
      <c r="G88" s="338">
        <f t="shared" ref="G88:H88" si="136">K88-C88</f>
        <v>99000</v>
      </c>
      <c r="H88" s="338">
        <f t="shared" si="136"/>
        <v>83598</v>
      </c>
      <c r="I88" s="337">
        <f t="shared" si="133"/>
        <v>0.84442424242424241</v>
      </c>
      <c r="J88" s="327"/>
      <c r="K88" s="587">
        <v>100000</v>
      </c>
      <c r="L88" s="587">
        <v>83598</v>
      </c>
      <c r="M88" s="376">
        <f t="shared" si="134"/>
        <v>0.83597999999999995</v>
      </c>
      <c r="N88" s="305"/>
      <c r="O88" s="305"/>
      <c r="P88" s="305"/>
      <c r="Q88" s="305"/>
      <c r="R88" s="305"/>
      <c r="S88" s="305"/>
      <c r="T88" s="305"/>
      <c r="U88" s="305"/>
      <c r="V88" s="305"/>
      <c r="W88" s="305"/>
      <c r="X88" s="305"/>
      <c r="Y88" s="158"/>
      <c r="Z88" s="158"/>
    </row>
    <row r="89" spans="1:26" ht="15.75" customHeight="1">
      <c r="A89" s="949"/>
      <c r="B89" s="377" t="s">
        <v>32</v>
      </c>
      <c r="C89" s="378">
        <v>0</v>
      </c>
      <c r="D89" s="373">
        <v>0</v>
      </c>
      <c r="E89" s="337">
        <v>0</v>
      </c>
      <c r="F89" s="327"/>
      <c r="G89" s="338">
        <f t="shared" ref="G89:H89" si="137">K89-C89</f>
        <v>535384</v>
      </c>
      <c r="H89" s="338">
        <f t="shared" si="137"/>
        <v>184567</v>
      </c>
      <c r="I89" s="337">
        <f t="shared" si="133"/>
        <v>0.34473760889380334</v>
      </c>
      <c r="J89" s="327"/>
      <c r="K89" s="635">
        <v>535384</v>
      </c>
      <c r="L89" s="587">
        <v>184567</v>
      </c>
      <c r="M89" s="376">
        <f t="shared" si="134"/>
        <v>0.34473760889380334</v>
      </c>
      <c r="N89" s="305"/>
      <c r="O89" s="305"/>
      <c r="P89" s="305"/>
      <c r="Q89" s="305"/>
      <c r="R89" s="305"/>
      <c r="S89" s="305"/>
      <c r="T89" s="305"/>
      <c r="U89" s="305"/>
      <c r="V89" s="305"/>
      <c r="W89" s="305"/>
      <c r="X89" s="305"/>
      <c r="Y89" s="158"/>
      <c r="Z89" s="158"/>
    </row>
    <row r="90" spans="1:26" ht="15.75" customHeight="1">
      <c r="A90" s="950"/>
      <c r="B90" s="357" t="s">
        <v>25</v>
      </c>
      <c r="C90" s="369">
        <f t="shared" ref="C90:D90" si="138">SUM(C86:C89)</f>
        <v>1810</v>
      </c>
      <c r="D90" s="358">
        <f t="shared" si="138"/>
        <v>549</v>
      </c>
      <c r="E90" s="359">
        <f>D90/C90</f>
        <v>0.30331491712707181</v>
      </c>
      <c r="F90" s="343"/>
      <c r="G90" s="370">
        <f t="shared" ref="G90:H90" si="139">SUM(G86:G89)</f>
        <v>678515</v>
      </c>
      <c r="H90" s="398">
        <f t="shared" si="139"/>
        <v>277340</v>
      </c>
      <c r="I90" s="380">
        <f t="shared" si="133"/>
        <v>0.40874556936840012</v>
      </c>
      <c r="J90" s="327"/>
      <c r="K90" s="362">
        <f t="shared" ref="K90:L90" si="140">SUM(K86:K89)</f>
        <v>680325</v>
      </c>
      <c r="L90" s="362">
        <f t="shared" si="140"/>
        <v>277889</v>
      </c>
      <c r="M90" s="363">
        <f t="shared" si="134"/>
        <v>0.40846507184066438</v>
      </c>
      <c r="N90" s="305"/>
      <c r="O90" s="305"/>
      <c r="P90" s="305"/>
      <c r="Q90" s="305"/>
      <c r="R90" s="305"/>
      <c r="S90" s="305"/>
      <c r="T90" s="305"/>
      <c r="U90" s="305"/>
      <c r="V90" s="305"/>
      <c r="W90" s="305"/>
      <c r="X90" s="305"/>
      <c r="Y90" s="158"/>
      <c r="Z90" s="158"/>
    </row>
    <row r="91" spans="1:26" ht="7.5" customHeight="1">
      <c r="A91" s="985"/>
      <c r="B91" s="928"/>
      <c r="C91" s="928"/>
      <c r="D91" s="928"/>
      <c r="E91" s="928"/>
      <c r="F91" s="312"/>
      <c r="G91" s="986"/>
      <c r="H91" s="928"/>
      <c r="I91" s="928"/>
      <c r="J91" s="312"/>
      <c r="K91" s="491"/>
      <c r="L91" s="348"/>
      <c r="M91" s="349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158"/>
      <c r="Z91" s="158"/>
    </row>
    <row r="92" spans="1:26" ht="15.75" customHeight="1">
      <c r="A92" s="987" t="s">
        <v>171</v>
      </c>
      <c r="B92" s="323" t="s">
        <v>21</v>
      </c>
      <c r="C92" s="631">
        <v>5000</v>
      </c>
      <c r="D92" s="365">
        <v>0</v>
      </c>
      <c r="E92" s="592">
        <v>0</v>
      </c>
      <c r="F92" s="327"/>
      <c r="G92" s="338">
        <f t="shared" ref="G92:H92" si="141">K92-C92</f>
        <v>-2620</v>
      </c>
      <c r="H92" s="338">
        <f t="shared" si="141"/>
        <v>0</v>
      </c>
      <c r="I92" s="337">
        <f t="shared" ref="I92:I97" si="142">H92/G92</f>
        <v>0</v>
      </c>
      <c r="J92" s="327"/>
      <c r="K92" s="584">
        <v>2380</v>
      </c>
      <c r="L92" s="367">
        <v>0</v>
      </c>
      <c r="M92" s="368">
        <f t="shared" ref="M92:M98" si="143">L92/K92</f>
        <v>0</v>
      </c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158"/>
      <c r="Z92" s="158"/>
    </row>
    <row r="93" spans="1:26" ht="15.75" customHeight="1">
      <c r="A93" s="949"/>
      <c r="B93" s="399" t="s">
        <v>31</v>
      </c>
      <c r="C93" s="643">
        <v>0</v>
      </c>
      <c r="D93" s="401">
        <v>0</v>
      </c>
      <c r="E93" s="383" t="e">
        <f>D93/C93</f>
        <v>#DIV/0!</v>
      </c>
      <c r="F93" s="327"/>
      <c r="G93" s="338">
        <f t="shared" ref="G93:H93" si="144">K93-C93</f>
        <v>10127</v>
      </c>
      <c r="H93" s="338">
        <f t="shared" si="144"/>
        <v>876</v>
      </c>
      <c r="I93" s="337">
        <f t="shared" si="142"/>
        <v>8.6501431815937599E-2</v>
      </c>
      <c r="J93" s="327"/>
      <c r="K93" s="622">
        <v>10127</v>
      </c>
      <c r="L93" s="622">
        <v>876</v>
      </c>
      <c r="M93" s="376">
        <f t="shared" si="143"/>
        <v>8.6501431815937599E-2</v>
      </c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158"/>
      <c r="Z93" s="158"/>
    </row>
    <row r="94" spans="1:26" ht="15.75" customHeight="1">
      <c r="A94" s="949"/>
      <c r="B94" s="334" t="s">
        <v>32</v>
      </c>
      <c r="C94" s="372">
        <v>0</v>
      </c>
      <c r="D94" s="373">
        <v>0</v>
      </c>
      <c r="E94" s="383">
        <v>0</v>
      </c>
      <c r="F94" s="327"/>
      <c r="G94" s="338">
        <f t="shared" ref="G94:H94" si="145">K94-C94</f>
        <v>17324</v>
      </c>
      <c r="H94" s="338">
        <f t="shared" si="145"/>
        <v>453</v>
      </c>
      <c r="I94" s="337">
        <f t="shared" si="142"/>
        <v>2.6148695451396906E-2</v>
      </c>
      <c r="J94" s="327"/>
      <c r="K94" s="587">
        <v>17324</v>
      </c>
      <c r="L94" s="587">
        <v>453</v>
      </c>
      <c r="M94" s="376">
        <f t="shared" si="143"/>
        <v>2.6148695451396906E-2</v>
      </c>
      <c r="N94" s="305"/>
      <c r="O94" s="305"/>
      <c r="P94" s="305"/>
      <c r="Q94" s="305"/>
      <c r="R94" s="305"/>
      <c r="S94" s="305"/>
      <c r="T94" s="305"/>
      <c r="U94" s="305"/>
      <c r="V94" s="305"/>
      <c r="W94" s="305"/>
      <c r="X94" s="305"/>
      <c r="Y94" s="158"/>
      <c r="Z94" s="158"/>
    </row>
    <row r="95" spans="1:26" ht="15.75" customHeight="1">
      <c r="A95" s="1000"/>
      <c r="B95" s="183" t="s">
        <v>25</v>
      </c>
      <c r="C95" s="341">
        <f t="shared" ref="C95:D95" si="146">SUM(C92:C94)</f>
        <v>5000</v>
      </c>
      <c r="D95" s="341">
        <f t="shared" si="146"/>
        <v>0</v>
      </c>
      <c r="E95" s="384">
        <f t="shared" ref="E95:E98" si="147">D95/C95</f>
        <v>0</v>
      </c>
      <c r="F95" s="343"/>
      <c r="G95" s="184">
        <f t="shared" ref="G95:H95" si="148">SUM(G92:G94)</f>
        <v>24831</v>
      </c>
      <c r="H95" s="404">
        <f t="shared" si="148"/>
        <v>1329</v>
      </c>
      <c r="I95" s="342">
        <f t="shared" si="142"/>
        <v>5.3521807418146675E-2</v>
      </c>
      <c r="J95" s="327"/>
      <c r="K95" s="406">
        <f t="shared" ref="K95:L95" si="149">SUM(K92:K94)</f>
        <v>29831</v>
      </c>
      <c r="L95" s="406">
        <f t="shared" si="149"/>
        <v>1329</v>
      </c>
      <c r="M95" s="407">
        <f t="shared" si="143"/>
        <v>4.4550970466963893E-2</v>
      </c>
      <c r="N95" s="305"/>
      <c r="O95" s="305"/>
      <c r="P95" s="305"/>
      <c r="Q95" s="305"/>
      <c r="R95" s="305"/>
      <c r="S95" s="305"/>
      <c r="T95" s="305"/>
      <c r="U95" s="305"/>
      <c r="V95" s="305"/>
      <c r="W95" s="305"/>
      <c r="X95" s="305"/>
      <c r="Y95" s="158"/>
      <c r="Z95" s="158"/>
    </row>
    <row r="96" spans="1:26" ht="15.75" customHeight="1">
      <c r="A96" s="1009" t="s">
        <v>182</v>
      </c>
      <c r="B96" s="955"/>
      <c r="C96" s="501">
        <f t="shared" ref="C96:D96" si="150">C8+C11+C15+C21+C26+C32+C35+C39+C43+C46+C51+C55+C61+C67+C73+C78+C84+C90+C95</f>
        <v>20263859</v>
      </c>
      <c r="D96" s="501">
        <f t="shared" si="150"/>
        <v>12214552</v>
      </c>
      <c r="E96" s="502">
        <f t="shared" si="147"/>
        <v>0.60277521670477474</v>
      </c>
      <c r="F96" s="312"/>
      <c r="G96" s="501">
        <f t="shared" ref="G96:H96" si="151">G8+G11+G15+G21+G26+G32+G35+G39+G43+G46+G51+G55+G61+G67+G73+G78+G84+G90+G95</f>
        <v>22726887</v>
      </c>
      <c r="H96" s="501">
        <f t="shared" si="151"/>
        <v>16420131</v>
      </c>
      <c r="I96" s="503">
        <f t="shared" si="142"/>
        <v>0.72249802623650128</v>
      </c>
      <c r="J96" s="312"/>
      <c r="K96" s="501">
        <f t="shared" ref="K96:L96" si="152">K8+K11+K15+K21+K26+K32+K35+K39+K43+K46+K51+K55+K61+K67+K73+K78+K84+K90+K95</f>
        <v>42990746</v>
      </c>
      <c r="L96" s="501">
        <f t="shared" si="152"/>
        <v>28634683</v>
      </c>
      <c r="M96" s="503">
        <f t="shared" si="143"/>
        <v>0.66606620410820505</v>
      </c>
      <c r="N96" s="305"/>
      <c r="O96" s="305"/>
      <c r="P96" s="305"/>
      <c r="Q96" s="305"/>
      <c r="R96" s="305"/>
      <c r="S96" s="305"/>
      <c r="T96" s="305"/>
      <c r="U96" s="305"/>
      <c r="V96" s="305"/>
      <c r="W96" s="305"/>
      <c r="X96" s="305"/>
      <c r="Y96" s="158"/>
      <c r="Z96" s="158"/>
    </row>
    <row r="97" spans="1:26" ht="15.75" customHeight="1">
      <c r="A97" s="994" t="s">
        <v>183</v>
      </c>
      <c r="B97" s="504" t="s">
        <v>21</v>
      </c>
      <c r="C97" s="505">
        <f>C5+C10+C13+C17+C23+C28+C34+C48+C53+C57+C63+C69+C75+C80+C86+C92</f>
        <v>9059210</v>
      </c>
      <c r="D97" s="505">
        <f>D5+D10+D13+D17+D23+D28+D34+D48+D53+D57+D63+D75+D80+D86+D92</f>
        <v>2792297</v>
      </c>
      <c r="E97" s="506">
        <f t="shared" si="147"/>
        <v>0.30822742821945842</v>
      </c>
      <c r="F97" s="507"/>
      <c r="G97" s="505">
        <f t="shared" ref="G97:H97" si="153">G5+G10+G13+G17+G23+G28+G34+G48+G53+G57+G63+G69+G75+G80+G86+G92</f>
        <v>7682281</v>
      </c>
      <c r="H97" s="505">
        <f t="shared" si="153"/>
        <v>6669646</v>
      </c>
      <c r="I97" s="508">
        <f t="shared" si="142"/>
        <v>0.86818563392825643</v>
      </c>
      <c r="J97" s="239"/>
      <c r="K97" s="505">
        <f t="shared" ref="K97:L97" si="154">K5+K10+K13+K17+K23+K28+K34+K48+K53+K57+K63+K69+K75+K80+K86+K92</f>
        <v>16741491</v>
      </c>
      <c r="L97" s="505">
        <f t="shared" si="154"/>
        <v>10051943</v>
      </c>
      <c r="M97" s="506">
        <f t="shared" si="143"/>
        <v>0.60042101387504854</v>
      </c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158"/>
      <c r="Z97" s="158"/>
    </row>
    <row r="98" spans="1:26" ht="15.75" customHeight="1">
      <c r="A98" s="949"/>
      <c r="B98" s="178" t="s">
        <v>158</v>
      </c>
      <c r="C98" s="415">
        <f>C14</f>
        <v>8245564</v>
      </c>
      <c r="D98" s="415">
        <f>D14+D69</f>
        <v>7569400</v>
      </c>
      <c r="E98" s="416">
        <f t="shared" si="147"/>
        <v>0.91799663431149159</v>
      </c>
      <c r="F98" s="417"/>
      <c r="G98" s="415">
        <f t="shared" ref="G98:H98" si="155">G14</f>
        <v>0</v>
      </c>
      <c r="H98" s="415">
        <f t="shared" si="155"/>
        <v>0</v>
      </c>
      <c r="I98" s="593">
        <v>0</v>
      </c>
      <c r="J98" s="419"/>
      <c r="K98" s="415">
        <f t="shared" ref="K98:L98" si="156">K14</f>
        <v>8245564</v>
      </c>
      <c r="L98" s="415">
        <f t="shared" si="156"/>
        <v>6979400</v>
      </c>
      <c r="M98" s="416">
        <f t="shared" si="143"/>
        <v>0.84644300862863964</v>
      </c>
      <c r="N98" s="305"/>
      <c r="O98" s="305"/>
      <c r="P98" s="305"/>
      <c r="Q98" s="305"/>
      <c r="R98" s="305"/>
      <c r="S98" s="305"/>
      <c r="T98" s="305"/>
      <c r="U98" s="305"/>
      <c r="V98" s="305"/>
      <c r="W98" s="305"/>
      <c r="X98" s="305"/>
      <c r="Y98" s="158"/>
      <c r="Z98" s="158"/>
    </row>
    <row r="99" spans="1:26" ht="15.75" customHeight="1">
      <c r="A99" s="949"/>
      <c r="B99" s="178" t="s">
        <v>22</v>
      </c>
      <c r="C99" s="415">
        <f t="shared" ref="C99:D99" si="157">C6</f>
        <v>10000</v>
      </c>
      <c r="D99" s="415">
        <f t="shared" si="157"/>
        <v>0</v>
      </c>
      <c r="E99" s="416">
        <v>0</v>
      </c>
      <c r="F99" s="417"/>
      <c r="G99" s="415">
        <f t="shared" ref="G99:H99" si="158">G6</f>
        <v>0</v>
      </c>
      <c r="H99" s="415">
        <f t="shared" si="158"/>
        <v>0</v>
      </c>
      <c r="I99" s="593">
        <v>0</v>
      </c>
      <c r="J99" s="419"/>
      <c r="K99" s="415">
        <f t="shared" ref="K99:L99" si="159">K6</f>
        <v>10000</v>
      </c>
      <c r="L99" s="415">
        <f t="shared" si="159"/>
        <v>0</v>
      </c>
      <c r="M99" s="416">
        <v>0</v>
      </c>
      <c r="N99" s="305"/>
      <c r="O99" s="305"/>
      <c r="P99" s="305"/>
      <c r="Q99" s="305"/>
      <c r="R99" s="305"/>
      <c r="S99" s="305"/>
      <c r="T99" s="305"/>
      <c r="U99" s="305"/>
      <c r="V99" s="305"/>
      <c r="W99" s="305"/>
      <c r="X99" s="305"/>
      <c r="Y99" s="158"/>
      <c r="Z99" s="158"/>
    </row>
    <row r="100" spans="1:26" ht="15.75" customHeight="1">
      <c r="A100" s="949"/>
      <c r="B100" s="178" t="s">
        <v>28</v>
      </c>
      <c r="C100" s="415">
        <f t="shared" ref="C100:D100" si="160">C18+C24+C29+C49+C58+C64+C70+C76+C81+C87</f>
        <v>97424</v>
      </c>
      <c r="D100" s="415">
        <f t="shared" si="160"/>
        <v>97473</v>
      </c>
      <c r="E100" s="416">
        <f t="shared" ref="E100:E104" si="161">D100/C100</f>
        <v>1.0005029561504353</v>
      </c>
      <c r="F100" s="417"/>
      <c r="G100" s="415">
        <f t="shared" ref="G100:H100" si="162">G18+G24+G29+G49+G58+G64+G70+G76+G81+G87</f>
        <v>304095</v>
      </c>
      <c r="H100" s="415">
        <f t="shared" si="162"/>
        <v>276075</v>
      </c>
      <c r="I100" s="418">
        <f t="shared" ref="I100:I104" si="163">H100/G100</f>
        <v>0.90785774182410106</v>
      </c>
      <c r="J100" s="419"/>
      <c r="K100" s="415">
        <f t="shared" ref="K100:L100" si="164">K18+K24+K29+K49+K58+K64+K70+K76+K81+K87</f>
        <v>401519</v>
      </c>
      <c r="L100" s="415">
        <f t="shared" si="164"/>
        <v>373548</v>
      </c>
      <c r="M100" s="416">
        <f t="shared" ref="M100:M104" si="165">L100/K100</f>
        <v>0.93033704507134163</v>
      </c>
      <c r="N100" s="305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  <c r="Y100" s="158"/>
      <c r="Z100" s="158"/>
    </row>
    <row r="101" spans="1:26" ht="15.75" customHeight="1">
      <c r="A101" s="949"/>
      <c r="B101" s="178" t="s">
        <v>31</v>
      </c>
      <c r="C101" s="415">
        <f t="shared" ref="C101:D101" si="166">C19+C25+C30+C59+C65+C71+C77+C82+C88+C93</f>
        <v>424606</v>
      </c>
      <c r="D101" s="415">
        <f t="shared" si="166"/>
        <v>350636</v>
      </c>
      <c r="E101" s="416">
        <f t="shared" si="161"/>
        <v>0.82579143959341128</v>
      </c>
      <c r="F101" s="417"/>
      <c r="G101" s="415">
        <f t="shared" ref="G101:H101" si="167">G19+G25+G30+G59+G65+G71+G77+G82+G88+G93</f>
        <v>426241</v>
      </c>
      <c r="H101" s="415">
        <f t="shared" si="167"/>
        <v>379118</v>
      </c>
      <c r="I101" s="418">
        <f t="shared" si="163"/>
        <v>0.88944517303591164</v>
      </c>
      <c r="J101" s="419"/>
      <c r="K101" s="415">
        <f t="shared" ref="K101:L101" si="168">K19+K25+K30+K59+K65+K71+K77+K82+K88+K93</f>
        <v>850847</v>
      </c>
      <c r="L101" s="415">
        <f t="shared" si="168"/>
        <v>729754</v>
      </c>
      <c r="M101" s="416">
        <f t="shared" si="165"/>
        <v>0.85767946528576822</v>
      </c>
      <c r="N101" s="305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  <c r="Y101" s="158"/>
      <c r="Z101" s="158"/>
    </row>
    <row r="102" spans="1:26" ht="15.75" customHeight="1">
      <c r="A102" s="949"/>
      <c r="B102" s="178" t="s">
        <v>40</v>
      </c>
      <c r="C102" s="415">
        <f t="shared" ref="C102:D102" si="169">C37+C41+C7</f>
        <v>808538</v>
      </c>
      <c r="D102" s="415">
        <f t="shared" si="169"/>
        <v>521566</v>
      </c>
      <c r="E102" s="416">
        <f t="shared" si="161"/>
        <v>0.64507295884670846</v>
      </c>
      <c r="F102" s="417"/>
      <c r="G102" s="415">
        <f t="shared" ref="G102:H102" si="170">G37+G41+G7</f>
        <v>1290546</v>
      </c>
      <c r="H102" s="415">
        <f t="shared" si="170"/>
        <v>282439</v>
      </c>
      <c r="I102" s="418">
        <f t="shared" si="163"/>
        <v>0.21885233071893601</v>
      </c>
      <c r="J102" s="419"/>
      <c r="K102" s="415">
        <f t="shared" ref="K102:L102" si="171">K37+K41+K7</f>
        <v>2099084</v>
      </c>
      <c r="L102" s="415">
        <f t="shared" si="171"/>
        <v>804005</v>
      </c>
      <c r="M102" s="416">
        <f t="shared" si="165"/>
        <v>0.38302659636298497</v>
      </c>
      <c r="N102" s="305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  <c r="Y102" s="158"/>
      <c r="Z102" s="158"/>
    </row>
    <row r="103" spans="1:26" ht="15.75" customHeight="1">
      <c r="A103" s="949"/>
      <c r="B103" s="510" t="s">
        <v>32</v>
      </c>
      <c r="C103" s="511">
        <f t="shared" ref="C103:D103" si="172">C20+C31++C38+C42+C45+C50+C54+C60+C66+C72+C83+C89+C94</f>
        <v>1618517</v>
      </c>
      <c r="D103" s="511">
        <f t="shared" si="172"/>
        <v>883180</v>
      </c>
      <c r="E103" s="407">
        <f t="shared" si="161"/>
        <v>0.54567236550496534</v>
      </c>
      <c r="F103" s="441"/>
      <c r="G103" s="511">
        <f t="shared" ref="G103:H103" si="173">G20+G31++G38+G42+G45+G50+G54+G60+G66+G72+G83+G89+G94</f>
        <v>13023724</v>
      </c>
      <c r="H103" s="511">
        <f t="shared" si="173"/>
        <v>8812853</v>
      </c>
      <c r="I103" s="512">
        <f t="shared" si="163"/>
        <v>0.67667688596594955</v>
      </c>
      <c r="J103" s="513"/>
      <c r="K103" s="511">
        <f t="shared" ref="K103:L103" si="174">K20+K31++K38+K42+K45+K50+K54+K60+K66+K72+K83+K89+K94</f>
        <v>14642241</v>
      </c>
      <c r="L103" s="511">
        <f t="shared" si="174"/>
        <v>9696033</v>
      </c>
      <c r="M103" s="594">
        <f t="shared" si="165"/>
        <v>0.66219597123145291</v>
      </c>
      <c r="N103" s="305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  <c r="Y103" s="158"/>
      <c r="Z103" s="158"/>
    </row>
    <row r="104" spans="1:26" ht="15.75" customHeight="1">
      <c r="A104" s="950"/>
      <c r="B104" s="595" t="s">
        <v>25</v>
      </c>
      <c r="C104" s="514">
        <f t="shared" ref="C104:D104" si="175">C97+C98+C99+C100+C101+C102+C103</f>
        <v>20263859</v>
      </c>
      <c r="D104" s="514">
        <f t="shared" si="175"/>
        <v>12214552</v>
      </c>
      <c r="E104" s="503">
        <f t="shared" si="161"/>
        <v>0.60277521670477474</v>
      </c>
      <c r="F104" s="446"/>
      <c r="G104" s="514">
        <f t="shared" ref="G104:H104" si="176">G97+G98+G99+G100+G101+G102+G103</f>
        <v>22726887</v>
      </c>
      <c r="H104" s="514">
        <f t="shared" si="176"/>
        <v>16420131</v>
      </c>
      <c r="I104" s="448">
        <f t="shared" si="163"/>
        <v>0.72249802623650128</v>
      </c>
      <c r="J104" s="515"/>
      <c r="K104" s="514">
        <f t="shared" ref="K104:L104" si="177">K97+K98+K99+K100+K101+K102+K103</f>
        <v>42990746</v>
      </c>
      <c r="L104" s="514">
        <f t="shared" si="177"/>
        <v>28634683</v>
      </c>
      <c r="M104" s="503">
        <f t="shared" si="165"/>
        <v>0.66606620410820505</v>
      </c>
      <c r="N104" s="305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  <c r="Y104" s="158"/>
      <c r="Z104" s="158"/>
    </row>
    <row r="105" spans="1:26" ht="9" customHeight="1">
      <c r="A105" s="985"/>
      <c r="B105" s="928"/>
      <c r="C105" s="928"/>
      <c r="D105" s="928"/>
      <c r="E105" s="955"/>
      <c r="F105" s="516"/>
      <c r="G105" s="986"/>
      <c r="H105" s="928"/>
      <c r="I105" s="928"/>
      <c r="J105" s="312"/>
      <c r="K105" s="491"/>
      <c r="L105" s="596"/>
      <c r="M105" s="597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  <c r="Y105" s="158"/>
      <c r="Z105" s="158"/>
    </row>
    <row r="106" spans="1:26" ht="15.75" customHeight="1">
      <c r="A106" s="1006">
        <v>1500</v>
      </c>
      <c r="B106" s="399" t="s">
        <v>29</v>
      </c>
      <c r="C106" s="399">
        <f>5503460+4376948</f>
        <v>9880408</v>
      </c>
      <c r="D106" s="598">
        <f>2743102+3200000</f>
        <v>5943102</v>
      </c>
      <c r="E106" s="453">
        <f t="shared" ref="E106:E107" si="178">D106/C106</f>
        <v>0.60150370308594547</v>
      </c>
      <c r="F106" s="427"/>
      <c r="G106" s="323">
        <f t="shared" ref="G106:H106" si="179">K106-C106</f>
        <v>10000</v>
      </c>
      <c r="H106" s="323">
        <f t="shared" si="179"/>
        <v>31450</v>
      </c>
      <c r="I106" s="599">
        <f t="shared" ref="I106:I114" si="180">H106/G106</f>
        <v>3.145</v>
      </c>
      <c r="J106" s="427"/>
      <c r="K106" s="591">
        <v>9890408</v>
      </c>
      <c r="L106" s="589">
        <v>5974552</v>
      </c>
      <c r="M106" s="381">
        <f t="shared" ref="M106:M114" si="181">L106/K106</f>
        <v>0.60407538293667962</v>
      </c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  <c r="Y106" s="158"/>
      <c r="Z106" s="158"/>
    </row>
    <row r="107" spans="1:26" ht="15.75" customHeight="1">
      <c r="A107" s="1000"/>
      <c r="B107" s="178" t="s">
        <v>25</v>
      </c>
      <c r="C107" s="178">
        <f t="shared" ref="C107:D107" si="182">SUM(C106)</f>
        <v>9880408</v>
      </c>
      <c r="D107" s="431">
        <f t="shared" si="182"/>
        <v>5943102</v>
      </c>
      <c r="E107" s="457">
        <f t="shared" si="178"/>
        <v>0.60150370308594547</v>
      </c>
      <c r="F107" s="417"/>
      <c r="G107" s="178">
        <f t="shared" ref="G107:H107" si="183">SUM(G106)</f>
        <v>10000</v>
      </c>
      <c r="H107" s="178">
        <f t="shared" si="183"/>
        <v>31450</v>
      </c>
      <c r="I107" s="457">
        <f t="shared" si="180"/>
        <v>3.145</v>
      </c>
      <c r="J107" s="417"/>
      <c r="K107" s="178">
        <f t="shared" ref="K107:L107" si="184">SUM(K106)</f>
        <v>9890408</v>
      </c>
      <c r="L107" s="431">
        <f t="shared" si="184"/>
        <v>5974552</v>
      </c>
      <c r="M107" s="418">
        <f t="shared" si="181"/>
        <v>0.60407538293667962</v>
      </c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  <c r="Y107" s="158"/>
      <c r="Z107" s="158"/>
    </row>
    <row r="108" spans="1:26" ht="15.75" customHeight="1">
      <c r="A108" s="1002">
        <v>1600</v>
      </c>
      <c r="B108" s="334" t="s">
        <v>29</v>
      </c>
      <c r="C108" s="600">
        <v>0</v>
      </c>
      <c r="D108" s="590">
        <v>0</v>
      </c>
      <c r="E108" s="461">
        <v>0</v>
      </c>
      <c r="F108" s="436"/>
      <c r="G108" s="334">
        <f t="shared" ref="G108:H108" si="185">K108-C108</f>
        <v>13417786</v>
      </c>
      <c r="H108" s="334">
        <f t="shared" si="185"/>
        <v>2722889</v>
      </c>
      <c r="I108" s="461">
        <f t="shared" si="180"/>
        <v>0.20293131817723131</v>
      </c>
      <c r="J108" s="436"/>
      <c r="K108" s="600">
        <v>13417786</v>
      </c>
      <c r="L108" s="590">
        <v>2722889</v>
      </c>
      <c r="M108" s="383">
        <f t="shared" si="181"/>
        <v>0.20293131817723131</v>
      </c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  <c r="Y108" s="158"/>
      <c r="Z108" s="158"/>
    </row>
    <row r="109" spans="1:26" ht="17.25" customHeight="1">
      <c r="A109" s="1000"/>
      <c r="B109" s="178" t="s">
        <v>25</v>
      </c>
      <c r="C109" s="178">
        <f t="shared" ref="C109:D109" si="186">SUM(C108)</f>
        <v>0</v>
      </c>
      <c r="D109" s="431">
        <f t="shared" si="186"/>
        <v>0</v>
      </c>
      <c r="E109" s="457">
        <v>0</v>
      </c>
      <c r="F109" s="417"/>
      <c r="G109" s="178">
        <f t="shared" ref="G109:H109" si="187">SUM(G108)</f>
        <v>13417786</v>
      </c>
      <c r="H109" s="178">
        <f t="shared" si="187"/>
        <v>2722889</v>
      </c>
      <c r="I109" s="457">
        <f t="shared" si="180"/>
        <v>0.20293131817723131</v>
      </c>
      <c r="J109" s="417"/>
      <c r="K109" s="178">
        <f t="shared" ref="K109:L109" si="188">SUM(K108)</f>
        <v>13417786</v>
      </c>
      <c r="L109" s="431">
        <f t="shared" si="188"/>
        <v>2722889</v>
      </c>
      <c r="M109" s="418">
        <f t="shared" si="181"/>
        <v>0.20293131817723131</v>
      </c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  <c r="Y109" s="158"/>
      <c r="Z109" s="158"/>
    </row>
    <row r="110" spans="1:26" ht="16.5" customHeight="1">
      <c r="A110" s="999">
        <v>3300</v>
      </c>
      <c r="B110" s="334" t="s">
        <v>29</v>
      </c>
      <c r="C110" s="377">
        <v>0</v>
      </c>
      <c r="D110" s="396">
        <v>0</v>
      </c>
      <c r="E110" s="461">
        <v>0</v>
      </c>
      <c r="F110" s="436"/>
      <c r="G110" s="334">
        <f t="shared" ref="G110:H110" si="189">K110-C110</f>
        <v>1</v>
      </c>
      <c r="H110" s="334">
        <f t="shared" si="189"/>
        <v>0</v>
      </c>
      <c r="I110" s="461">
        <f t="shared" si="180"/>
        <v>0</v>
      </c>
      <c r="J110" s="436"/>
      <c r="K110" s="377">
        <v>1</v>
      </c>
      <c r="L110" s="396">
        <v>0</v>
      </c>
      <c r="M110" s="383">
        <f t="shared" si="181"/>
        <v>0</v>
      </c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  <c r="Y110" s="158"/>
      <c r="Z110" s="158"/>
    </row>
    <row r="111" spans="1:26" ht="15" customHeight="1">
      <c r="A111" s="1000"/>
      <c r="B111" s="178" t="s">
        <v>25</v>
      </c>
      <c r="C111" s="178">
        <f t="shared" ref="C111:D111" si="190">SUM(C110)</f>
        <v>0</v>
      </c>
      <c r="D111" s="431">
        <f t="shared" si="190"/>
        <v>0</v>
      </c>
      <c r="E111" s="457">
        <v>0</v>
      </c>
      <c r="F111" s="417"/>
      <c r="G111" s="178">
        <f t="shared" ref="G111:H111" si="191">SUM(G110)</f>
        <v>1</v>
      </c>
      <c r="H111" s="178">
        <f t="shared" si="191"/>
        <v>0</v>
      </c>
      <c r="I111" s="461">
        <f t="shared" si="180"/>
        <v>0</v>
      </c>
      <c r="J111" s="417"/>
      <c r="K111" s="178">
        <f t="shared" ref="K111:L111" si="192">SUM(K110)</f>
        <v>1</v>
      </c>
      <c r="L111" s="431">
        <f t="shared" si="192"/>
        <v>0</v>
      </c>
      <c r="M111" s="383">
        <f t="shared" si="181"/>
        <v>0</v>
      </c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  <c r="Y111" s="158"/>
      <c r="Z111" s="158"/>
    </row>
    <row r="112" spans="1:26" ht="15" customHeight="1">
      <c r="A112" s="999">
        <v>4200</v>
      </c>
      <c r="B112" s="334" t="s">
        <v>29</v>
      </c>
      <c r="C112" s="600">
        <v>0</v>
      </c>
      <c r="D112" s="590">
        <v>0</v>
      </c>
      <c r="E112" s="461">
        <v>0</v>
      </c>
      <c r="F112" s="436"/>
      <c r="G112" s="334">
        <f t="shared" ref="G112:H112" si="193">K112-C112</f>
        <v>4500</v>
      </c>
      <c r="H112" s="334">
        <f t="shared" si="193"/>
        <v>647</v>
      </c>
      <c r="I112" s="461">
        <f t="shared" si="180"/>
        <v>0.14377777777777778</v>
      </c>
      <c r="J112" s="436"/>
      <c r="K112" s="600">
        <v>4500</v>
      </c>
      <c r="L112" s="396">
        <v>647</v>
      </c>
      <c r="M112" s="383">
        <f t="shared" si="181"/>
        <v>0.14377777777777778</v>
      </c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  <c r="Y112" s="158"/>
      <c r="Z112" s="158"/>
    </row>
    <row r="113" spans="1:26" ht="16.5" customHeight="1">
      <c r="A113" s="1000"/>
      <c r="B113" s="357" t="s">
        <v>25</v>
      </c>
      <c r="C113" s="357">
        <f t="shared" ref="C113:D113" si="194">SUM(C112)</f>
        <v>0</v>
      </c>
      <c r="D113" s="398">
        <f t="shared" si="194"/>
        <v>0</v>
      </c>
      <c r="E113" s="464">
        <v>0</v>
      </c>
      <c r="F113" s="441"/>
      <c r="G113" s="357">
        <f t="shared" ref="G113:H113" si="195">SUM(G112)</f>
        <v>4500</v>
      </c>
      <c r="H113" s="357">
        <f t="shared" si="195"/>
        <v>647</v>
      </c>
      <c r="I113" s="601">
        <f t="shared" si="180"/>
        <v>0.14377777777777778</v>
      </c>
      <c r="J113" s="417"/>
      <c r="K113" s="357">
        <f t="shared" ref="K113:L113" si="196">SUM(K112)</f>
        <v>4500</v>
      </c>
      <c r="L113" s="398">
        <f t="shared" si="196"/>
        <v>647</v>
      </c>
      <c r="M113" s="512">
        <f t="shared" si="181"/>
        <v>0.14377777777777778</v>
      </c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  <c r="Y113" s="158"/>
      <c r="Z113" s="158"/>
    </row>
    <row r="114" spans="1:26" ht="17.25" customHeight="1">
      <c r="A114" s="442"/>
      <c r="B114" s="523" t="s">
        <v>120</v>
      </c>
      <c r="C114" s="198">
        <f t="shared" ref="C114:D114" si="197">C107+C109+C111+C113</f>
        <v>9880408</v>
      </c>
      <c r="D114" s="198">
        <f t="shared" si="197"/>
        <v>5943102</v>
      </c>
      <c r="E114" s="237">
        <f>D114/C114</f>
        <v>0.60150370308594547</v>
      </c>
      <c r="F114" s="446"/>
      <c r="G114" s="198">
        <f t="shared" ref="G114:H114" si="198">G107+G109+G111+G113</f>
        <v>13432287</v>
      </c>
      <c r="H114" s="198">
        <f t="shared" si="198"/>
        <v>2754986</v>
      </c>
      <c r="I114" s="237">
        <f t="shared" si="180"/>
        <v>0.20510178199736204</v>
      </c>
      <c r="J114" s="421"/>
      <c r="K114" s="447">
        <f t="shared" ref="K114:L114" si="199">K107+K109+K111+K113</f>
        <v>23312695</v>
      </c>
      <c r="L114" s="563">
        <f t="shared" si="199"/>
        <v>8698088</v>
      </c>
      <c r="M114" s="448">
        <f t="shared" si="181"/>
        <v>0.37310521155962451</v>
      </c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  <c r="Y114" s="158"/>
      <c r="Z114" s="158"/>
    </row>
    <row r="115" spans="1:26" ht="8.25" customHeight="1">
      <c r="A115" s="985"/>
      <c r="B115" s="928"/>
      <c r="C115" s="928"/>
      <c r="D115" s="928"/>
      <c r="E115" s="928"/>
      <c r="F115" s="312"/>
      <c r="G115" s="986"/>
      <c r="H115" s="928"/>
      <c r="I115" s="928"/>
      <c r="J115" s="312"/>
      <c r="K115" s="491"/>
      <c r="L115" s="348"/>
      <c r="M115" s="602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  <c r="Y115" s="158"/>
      <c r="Z115" s="158"/>
    </row>
    <row r="116" spans="1:26" ht="13.5" customHeight="1">
      <c r="A116" s="310" t="s">
        <v>23</v>
      </c>
      <c r="B116" s="450" t="s">
        <v>7</v>
      </c>
      <c r="C116" s="644" t="s">
        <v>194</v>
      </c>
      <c r="D116" s="169" t="s">
        <v>149</v>
      </c>
      <c r="E116" s="450" t="s">
        <v>150</v>
      </c>
      <c r="F116" s="386"/>
      <c r="G116" s="305"/>
      <c r="H116" s="305"/>
      <c r="I116" s="305"/>
      <c r="J116" s="386"/>
      <c r="K116" s="494"/>
      <c r="L116" s="305"/>
      <c r="M116" s="524"/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  <c r="Y116" s="158"/>
      <c r="Z116" s="158"/>
    </row>
    <row r="117" spans="1:26" ht="17.25" customHeight="1">
      <c r="A117" s="994">
        <v>3000</v>
      </c>
      <c r="B117" s="603" t="s">
        <v>23</v>
      </c>
      <c r="C117" s="323">
        <v>1093000</v>
      </c>
      <c r="D117" s="394">
        <v>0</v>
      </c>
      <c r="E117" s="453">
        <f t="shared" ref="E117:E121" si="200">D117/C117</f>
        <v>0</v>
      </c>
      <c r="F117" s="327"/>
      <c r="G117" s="305"/>
      <c r="H117" s="305"/>
      <c r="I117" s="246"/>
      <c r="J117" s="201"/>
      <c r="K117" s="645" t="s">
        <v>195</v>
      </c>
      <c r="L117" s="455" t="s">
        <v>152</v>
      </c>
      <c r="M117" s="450" t="s">
        <v>150</v>
      </c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  <c r="Y117" s="158"/>
      <c r="Z117" s="158"/>
    </row>
    <row r="118" spans="1:26" ht="15" customHeight="1">
      <c r="A118" s="950"/>
      <c r="B118" s="179" t="s">
        <v>25</v>
      </c>
      <c r="C118" s="178">
        <f t="shared" ref="C118:D118" si="201">SUM(C117)</f>
        <v>1093000</v>
      </c>
      <c r="D118" s="431">
        <f t="shared" si="201"/>
        <v>0</v>
      </c>
      <c r="E118" s="457">
        <f t="shared" si="200"/>
        <v>0</v>
      </c>
      <c r="F118" s="343"/>
      <c r="G118" s="305"/>
      <c r="H118" s="198" t="s">
        <v>153</v>
      </c>
      <c r="I118" s="458"/>
      <c r="J118" s="201"/>
      <c r="K118" s="520">
        <f t="shared" ref="K118:L118" si="202">K104+K114+C121</f>
        <v>74151282</v>
      </c>
      <c r="L118" s="520">
        <f t="shared" si="202"/>
        <v>37332771</v>
      </c>
      <c r="M118" s="448">
        <f>L118/K118</f>
        <v>0.50346764065387295</v>
      </c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  <c r="Y118" s="158"/>
      <c r="Z118" s="158"/>
    </row>
    <row r="119" spans="1:26" ht="14.25" customHeight="1">
      <c r="A119" s="994">
        <v>3600</v>
      </c>
      <c r="B119" s="179" t="s">
        <v>23</v>
      </c>
      <c r="C119" s="646">
        <v>6754841</v>
      </c>
      <c r="D119" s="396">
        <v>0</v>
      </c>
      <c r="E119" s="461">
        <f t="shared" si="200"/>
        <v>0</v>
      </c>
      <c r="F119" s="327"/>
      <c r="G119" s="305"/>
      <c r="H119" s="305"/>
      <c r="I119" s="305"/>
      <c r="J119" s="350"/>
      <c r="K119" s="526"/>
      <c r="L119" s="527"/>
      <c r="M119" s="528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  <c r="Y119" s="158"/>
      <c r="Z119" s="158"/>
    </row>
    <row r="120" spans="1:26" ht="15.75" customHeight="1">
      <c r="A120" s="950"/>
      <c r="B120" s="184" t="s">
        <v>25</v>
      </c>
      <c r="C120" s="183">
        <f t="shared" ref="C120:D120" si="203">SUM(C119)</f>
        <v>6754841</v>
      </c>
      <c r="D120" s="604">
        <f t="shared" si="203"/>
        <v>0</v>
      </c>
      <c r="E120" s="464">
        <f t="shared" si="200"/>
        <v>0</v>
      </c>
      <c r="F120" s="343"/>
      <c r="G120" s="305"/>
      <c r="H120" s="305"/>
      <c r="I120" s="305"/>
      <c r="J120" s="350"/>
      <c r="K120" s="494"/>
      <c r="L120" s="305"/>
      <c r="M120" s="524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  <c r="Y120" s="158"/>
      <c r="Z120" s="158"/>
    </row>
    <row r="121" spans="1:26" ht="15.75" customHeight="1">
      <c r="A121" s="523"/>
      <c r="B121" s="605" t="s">
        <v>121</v>
      </c>
      <c r="C121" s="198">
        <f t="shared" ref="C121:D121" si="204">C117+C120</f>
        <v>7847841</v>
      </c>
      <c r="D121" s="198">
        <f t="shared" si="204"/>
        <v>0</v>
      </c>
      <c r="E121" s="237">
        <f t="shared" si="200"/>
        <v>0</v>
      </c>
      <c r="F121" s="467"/>
      <c r="G121" s="623"/>
      <c r="H121" s="458"/>
      <c r="I121" s="458"/>
      <c r="J121" s="468"/>
      <c r="K121" s="532"/>
      <c r="L121" s="458"/>
      <c r="M121" s="469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  <c r="Y121" s="158"/>
      <c r="Z121" s="158"/>
    </row>
    <row r="122" spans="1:26" ht="15.75" customHeight="1">
      <c r="A122" s="245"/>
      <c r="B122" s="246"/>
      <c r="C122" s="305"/>
      <c r="D122" s="305"/>
      <c r="E122" s="305"/>
      <c r="F122" s="305"/>
      <c r="G122" s="305"/>
      <c r="H122" s="305"/>
      <c r="I122" s="305"/>
      <c r="J122" s="305"/>
      <c r="K122" s="246"/>
      <c r="L122" s="246"/>
      <c r="M122" s="470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  <c r="Y122" s="158"/>
      <c r="Z122" s="158"/>
    </row>
    <row r="123" spans="1:26" ht="15.75" customHeight="1">
      <c r="A123" s="647" t="s">
        <v>174</v>
      </c>
      <c r="B123" s="648" t="s">
        <v>7</v>
      </c>
      <c r="C123" s="649" t="s">
        <v>92</v>
      </c>
      <c r="D123" s="649" t="s">
        <v>196</v>
      </c>
      <c r="E123" s="649" t="s">
        <v>197</v>
      </c>
      <c r="F123" s="650"/>
      <c r="G123" s="651" t="s">
        <v>177</v>
      </c>
      <c r="H123" s="652"/>
      <c r="I123" s="305"/>
      <c r="J123" s="305"/>
      <c r="K123" s="305"/>
      <c r="L123" s="305"/>
      <c r="M123" s="305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  <c r="Y123" s="158"/>
      <c r="Z123" s="158"/>
    </row>
    <row r="124" spans="1:26" ht="15.75" customHeight="1">
      <c r="A124" s="647"/>
      <c r="B124" s="647"/>
      <c r="C124" s="653" t="s">
        <v>19</v>
      </c>
      <c r="D124" s="653" t="s">
        <v>19</v>
      </c>
      <c r="E124" s="653" t="s">
        <v>19</v>
      </c>
      <c r="F124" s="650"/>
      <c r="G124" s="653" t="s">
        <v>19</v>
      </c>
      <c r="H124" s="654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  <c r="Y124" s="158"/>
      <c r="Z124" s="158"/>
    </row>
    <row r="125" spans="1:26" ht="15.75" customHeight="1">
      <c r="A125" s="655" t="s">
        <v>109</v>
      </c>
      <c r="B125" s="656" t="s">
        <v>21</v>
      </c>
      <c r="C125" s="657">
        <v>9819593</v>
      </c>
      <c r="D125" s="657">
        <v>7778639</v>
      </c>
      <c r="E125" s="609">
        <v>3192277</v>
      </c>
      <c r="F125" s="650"/>
      <c r="G125" s="657">
        <v>8363261</v>
      </c>
      <c r="H125" s="658" t="s">
        <v>198</v>
      </c>
      <c r="I125" s="610"/>
      <c r="J125" s="305"/>
      <c r="K125" s="610"/>
      <c r="L125" s="610"/>
      <c r="M125" s="610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  <c r="Y125" s="158"/>
      <c r="Z125" s="158"/>
    </row>
    <row r="126" spans="1:26" ht="15.75" customHeight="1">
      <c r="A126" s="656" t="s">
        <v>110</v>
      </c>
      <c r="B126" s="656" t="s">
        <v>21</v>
      </c>
      <c r="C126" s="650">
        <v>6871037</v>
      </c>
      <c r="D126" s="657">
        <v>6455216</v>
      </c>
      <c r="E126" s="609">
        <v>4789021</v>
      </c>
      <c r="F126" s="650"/>
      <c r="G126" s="657">
        <v>6651641</v>
      </c>
      <c r="H126" s="658" t="s">
        <v>199</v>
      </c>
      <c r="I126" s="305"/>
      <c r="J126" s="305"/>
      <c r="K126" s="610"/>
      <c r="L126" s="610"/>
      <c r="M126" s="610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  <c r="Y126" s="158"/>
      <c r="Z126" s="158"/>
    </row>
    <row r="127" spans="1:26" ht="15.75" customHeight="1">
      <c r="A127" s="656" t="s">
        <v>111</v>
      </c>
      <c r="B127" s="656" t="s">
        <v>21</v>
      </c>
      <c r="C127" s="650">
        <v>20000</v>
      </c>
      <c r="D127" s="657">
        <v>970000</v>
      </c>
      <c r="E127" s="609">
        <v>382415</v>
      </c>
      <c r="F127" s="656"/>
      <c r="G127" s="657">
        <v>52000</v>
      </c>
      <c r="H127" s="658" t="s">
        <v>200</v>
      </c>
      <c r="I127" s="305"/>
      <c r="J127" s="305"/>
      <c r="K127" s="610"/>
      <c r="L127" s="610"/>
      <c r="M127" s="610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  <c r="Y127" s="158"/>
      <c r="Z127" s="158"/>
    </row>
    <row r="128" spans="1:26" ht="15.75" customHeight="1">
      <c r="A128" s="655"/>
      <c r="B128" s="656" t="s">
        <v>25</v>
      </c>
      <c r="C128" s="656">
        <f t="shared" ref="C128:E128" si="205">SUM(C125:C127)</f>
        <v>16710630</v>
      </c>
      <c r="D128" s="656">
        <f t="shared" si="205"/>
        <v>15203855</v>
      </c>
      <c r="E128" s="656">
        <f t="shared" si="205"/>
        <v>8363713</v>
      </c>
      <c r="F128" s="656"/>
      <c r="G128" s="656">
        <f>SUM(G125:G127)</f>
        <v>15066902</v>
      </c>
      <c r="H128" s="659"/>
      <c r="I128" s="305"/>
      <c r="J128" s="305"/>
      <c r="K128" s="610"/>
      <c r="L128" s="610"/>
      <c r="M128" s="610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  <c r="Y128" s="158"/>
      <c r="Z128" s="158"/>
    </row>
    <row r="129" spans="1:26" ht="15.75" customHeight="1">
      <c r="A129" s="655" t="s">
        <v>79</v>
      </c>
      <c r="B129" s="656"/>
      <c r="C129" s="650"/>
      <c r="D129" s="650"/>
      <c r="E129" s="650"/>
      <c r="F129" s="656"/>
      <c r="G129" s="650"/>
      <c r="H129" s="660"/>
      <c r="I129" s="305"/>
      <c r="J129" s="305"/>
      <c r="K129" s="610"/>
      <c r="L129" s="610"/>
      <c r="M129" s="610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  <c r="Y129" s="158"/>
      <c r="Z129" s="158"/>
    </row>
    <row r="130" spans="1:26" ht="15.75" customHeight="1">
      <c r="A130" s="655" t="s">
        <v>109</v>
      </c>
      <c r="B130" s="656" t="s">
        <v>21</v>
      </c>
      <c r="C130" s="650">
        <v>9905586</v>
      </c>
      <c r="D130" s="657">
        <v>3061505</v>
      </c>
      <c r="E130" s="609">
        <v>3061505</v>
      </c>
      <c r="F130" s="656"/>
      <c r="G130" s="657">
        <v>8101999</v>
      </c>
      <c r="H130" s="658" t="s">
        <v>198</v>
      </c>
      <c r="I130" s="305"/>
      <c r="J130" s="305"/>
      <c r="K130" s="610"/>
      <c r="L130" s="610"/>
      <c r="M130" s="610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  <c r="Y130" s="158"/>
      <c r="Z130" s="158"/>
    </row>
    <row r="131" spans="1:26" ht="15.75" customHeight="1">
      <c r="A131" s="656" t="s">
        <v>110</v>
      </c>
      <c r="B131" s="656" t="s">
        <v>21</v>
      </c>
      <c r="C131" s="650">
        <v>6941037</v>
      </c>
      <c r="D131" s="657">
        <v>4384354</v>
      </c>
      <c r="E131" s="609">
        <v>4384354</v>
      </c>
      <c r="F131" s="656"/>
      <c r="G131" s="657">
        <v>6892665</v>
      </c>
      <c r="H131" s="658" t="s">
        <v>199</v>
      </c>
      <c r="I131" s="305"/>
      <c r="J131" s="305"/>
      <c r="K131" s="610"/>
      <c r="L131" s="610"/>
      <c r="M131" s="610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  <c r="Y131" s="158"/>
      <c r="Z131" s="158"/>
    </row>
    <row r="132" spans="1:26" ht="15.75" customHeight="1">
      <c r="A132" s="656" t="s">
        <v>111</v>
      </c>
      <c r="B132" s="656" t="s">
        <v>21</v>
      </c>
      <c r="C132" s="650">
        <v>20000</v>
      </c>
      <c r="D132" s="657">
        <v>0</v>
      </c>
      <c r="E132" s="299">
        <v>0</v>
      </c>
      <c r="F132" s="661"/>
      <c r="G132" s="657">
        <v>520000</v>
      </c>
      <c r="H132" s="658" t="s">
        <v>200</v>
      </c>
      <c r="I132" s="305"/>
      <c r="J132" s="305"/>
      <c r="K132" s="610"/>
      <c r="L132" s="610"/>
      <c r="M132" s="610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  <c r="Y132" s="158"/>
      <c r="Z132" s="158"/>
    </row>
    <row r="133" spans="1:26" ht="15.75" customHeight="1">
      <c r="A133" s="655"/>
      <c r="B133" s="656" t="s">
        <v>25</v>
      </c>
      <c r="C133" s="656">
        <f t="shared" ref="C133:E133" si="206">SUM(C130:C132)</f>
        <v>16866623</v>
      </c>
      <c r="D133" s="656">
        <f t="shared" si="206"/>
        <v>7445859</v>
      </c>
      <c r="E133" s="656">
        <f t="shared" si="206"/>
        <v>7445859</v>
      </c>
      <c r="F133" s="661"/>
      <c r="G133" s="656">
        <f>SUM(G130:G132)</f>
        <v>15514664</v>
      </c>
      <c r="H133" s="659"/>
      <c r="I133" s="305"/>
      <c r="J133" s="305"/>
      <c r="K133" s="610"/>
      <c r="L133" s="610"/>
      <c r="M133" s="610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158"/>
      <c r="Z133" s="158"/>
    </row>
    <row r="134" spans="1:26" ht="15.75" customHeight="1">
      <c r="A134" s="655"/>
      <c r="B134" s="656" t="s">
        <v>83</v>
      </c>
      <c r="C134" s="656">
        <f t="shared" ref="C134:E134" si="207">C128-C133</f>
        <v>-155993</v>
      </c>
      <c r="D134" s="656">
        <f t="shared" si="207"/>
        <v>7757996</v>
      </c>
      <c r="E134" s="656">
        <f t="shared" si="207"/>
        <v>917854</v>
      </c>
      <c r="F134" s="656"/>
      <c r="G134" s="656">
        <f>G128-G133</f>
        <v>-447762</v>
      </c>
      <c r="H134" s="659"/>
      <c r="I134" s="305"/>
      <c r="J134" s="305"/>
      <c r="K134" s="610"/>
      <c r="L134" s="610"/>
      <c r="M134" s="610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158"/>
      <c r="Z134" s="158"/>
    </row>
    <row r="135" spans="1:26" ht="15.75" customHeight="1">
      <c r="A135" s="655" t="s">
        <v>178</v>
      </c>
      <c r="B135" s="656"/>
      <c r="C135" s="650"/>
      <c r="D135" s="650"/>
      <c r="E135" s="650"/>
      <c r="F135" s="650"/>
      <c r="G135" s="650"/>
      <c r="H135" s="660"/>
      <c r="I135" s="305"/>
      <c r="J135" s="305"/>
      <c r="K135" s="610"/>
      <c r="L135" s="610"/>
      <c r="M135" s="610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158"/>
      <c r="Z135" s="158"/>
    </row>
    <row r="136" spans="1:26" ht="15.75" customHeight="1">
      <c r="A136" s="662" t="s">
        <v>117</v>
      </c>
      <c r="B136" s="663" t="s">
        <v>184</v>
      </c>
      <c r="C136" s="657">
        <v>0</v>
      </c>
      <c r="D136" s="657">
        <v>5217</v>
      </c>
      <c r="E136" s="609">
        <v>5217</v>
      </c>
      <c r="F136" s="650"/>
      <c r="G136" s="657">
        <v>0</v>
      </c>
      <c r="H136" s="658" t="s">
        <v>200</v>
      </c>
      <c r="I136" s="305"/>
      <c r="J136" s="305"/>
      <c r="K136" s="610"/>
      <c r="L136" s="610"/>
      <c r="M136" s="610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158"/>
      <c r="Z136" s="158"/>
    </row>
    <row r="137" spans="1:26" ht="15.75" customHeight="1">
      <c r="A137" s="655" t="s">
        <v>118</v>
      </c>
      <c r="B137" s="656" t="s">
        <v>28</v>
      </c>
      <c r="C137" s="650">
        <v>0</v>
      </c>
      <c r="D137" s="657">
        <v>103134</v>
      </c>
      <c r="E137" s="609">
        <v>103134</v>
      </c>
      <c r="F137" s="650"/>
      <c r="G137" s="650">
        <v>0</v>
      </c>
      <c r="H137" s="658" t="s">
        <v>201</v>
      </c>
      <c r="I137" s="305"/>
      <c r="J137" s="305"/>
      <c r="K137" s="610"/>
      <c r="L137" s="610"/>
      <c r="M137" s="610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158"/>
      <c r="Z137" s="158"/>
    </row>
    <row r="138" spans="1:26" ht="15.75" customHeight="1">
      <c r="A138" s="655" t="s">
        <v>112</v>
      </c>
      <c r="B138" s="656" t="s">
        <v>32</v>
      </c>
      <c r="C138" s="650">
        <v>293605</v>
      </c>
      <c r="D138" s="657">
        <v>816562</v>
      </c>
      <c r="E138" s="609">
        <v>816562</v>
      </c>
      <c r="F138" s="650"/>
      <c r="G138" s="657">
        <v>239956</v>
      </c>
      <c r="H138" s="658" t="s">
        <v>202</v>
      </c>
      <c r="I138" s="305"/>
      <c r="J138" s="305"/>
      <c r="K138" s="610"/>
      <c r="L138" s="610"/>
      <c r="M138" s="610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158"/>
      <c r="Z138" s="158"/>
    </row>
    <row r="139" spans="1:26" ht="15.75" customHeight="1">
      <c r="A139" s="655"/>
      <c r="B139" s="664"/>
      <c r="C139" s="650"/>
      <c r="D139" s="650"/>
      <c r="E139" s="609">
        <v>0</v>
      </c>
      <c r="F139" s="650"/>
      <c r="G139" s="650"/>
      <c r="H139" s="660"/>
      <c r="I139" s="305"/>
      <c r="J139" s="305"/>
      <c r="K139" s="610"/>
      <c r="L139" s="610"/>
      <c r="M139" s="610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158"/>
      <c r="Z139" s="158"/>
    </row>
    <row r="140" spans="1:26" ht="15.75" customHeight="1">
      <c r="A140" s="656"/>
      <c r="B140" s="665"/>
      <c r="C140" s="650"/>
      <c r="D140" s="650"/>
      <c r="E140" s="609">
        <v>1284</v>
      </c>
      <c r="F140" s="650"/>
      <c r="G140" s="650"/>
      <c r="H140" s="658"/>
      <c r="I140" s="305"/>
      <c r="J140" s="305"/>
      <c r="K140" s="610"/>
      <c r="L140" s="610"/>
      <c r="M140" s="610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158"/>
      <c r="Z140" s="158"/>
    </row>
    <row r="141" spans="1:26" ht="15.75" customHeight="1">
      <c r="A141" s="656"/>
      <c r="B141" s="650"/>
      <c r="C141" s="650">
        <f t="shared" ref="C141:G141" si="208">SUM(C136:C140)</f>
        <v>293605</v>
      </c>
      <c r="D141" s="650">
        <f t="shared" si="208"/>
        <v>924913</v>
      </c>
      <c r="E141" s="299">
        <f t="shared" si="208"/>
        <v>926197</v>
      </c>
      <c r="F141" s="650">
        <f t="shared" si="208"/>
        <v>0</v>
      </c>
      <c r="G141" s="650">
        <f t="shared" si="208"/>
        <v>239956</v>
      </c>
      <c r="H141" s="660"/>
      <c r="I141" s="305"/>
      <c r="J141" s="305"/>
      <c r="K141" s="610"/>
      <c r="L141" s="610"/>
      <c r="M141" s="610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158"/>
      <c r="Z141" s="158"/>
    </row>
    <row r="142" spans="1:26" ht="15.75" customHeight="1">
      <c r="A142" s="650"/>
      <c r="B142" s="663" t="s">
        <v>186</v>
      </c>
      <c r="C142" s="656">
        <f t="shared" ref="C142:E142" si="209">C133+C141</f>
        <v>17160228</v>
      </c>
      <c r="D142" s="656">
        <f t="shared" si="209"/>
        <v>8370772</v>
      </c>
      <c r="E142" s="656">
        <f t="shared" si="209"/>
        <v>8372056</v>
      </c>
      <c r="F142" s="656"/>
      <c r="G142" s="656">
        <f>G133+G141</f>
        <v>15754620</v>
      </c>
      <c r="H142" s="659"/>
      <c r="I142" s="305"/>
      <c r="J142" s="305"/>
      <c r="K142" s="610"/>
      <c r="L142" s="610"/>
      <c r="M142" s="610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158"/>
      <c r="Z142" s="158"/>
    </row>
    <row r="143" spans="1:26" ht="15.75" customHeight="1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610"/>
      <c r="L143" s="610"/>
      <c r="M143" s="610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158"/>
      <c r="Z143" s="158"/>
    </row>
    <row r="144" spans="1:26" ht="15.75" customHeight="1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610"/>
      <c r="L144" s="610"/>
      <c r="M144" s="610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158"/>
      <c r="Z144" s="158"/>
    </row>
    <row r="145" spans="1:26" ht="15.75" customHeight="1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610"/>
      <c r="L145" s="610"/>
      <c r="M145" s="610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158"/>
      <c r="Z145" s="158"/>
    </row>
    <row r="146" spans="1:26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158"/>
      <c r="Z146" s="158"/>
    </row>
    <row r="147" spans="1:26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158"/>
      <c r="Z147" s="158"/>
    </row>
    <row r="148" spans="1:26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158"/>
      <c r="Z148" s="158"/>
    </row>
    <row r="149" spans="1:26" ht="15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158"/>
      <c r="Z149" s="158"/>
    </row>
    <row r="150" spans="1:26" ht="15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158"/>
      <c r="Z150" s="158"/>
    </row>
    <row r="151" spans="1:26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158"/>
      <c r="Z151" s="158"/>
    </row>
    <row r="152" spans="1:26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158"/>
      <c r="Z152" s="158"/>
    </row>
    <row r="153" spans="1:26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158"/>
      <c r="Z153" s="158"/>
    </row>
    <row r="154" spans="1:26" ht="15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158"/>
      <c r="Z154" s="158"/>
    </row>
    <row r="155" spans="1:26" ht="15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158"/>
      <c r="Z155" s="158"/>
    </row>
    <row r="156" spans="1:26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158"/>
      <c r="Z156" s="158"/>
    </row>
    <row r="157" spans="1:26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158"/>
      <c r="Z157" s="158"/>
    </row>
    <row r="158" spans="1:26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158"/>
      <c r="Z158" s="158"/>
    </row>
    <row r="159" spans="1:26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158"/>
      <c r="Z159" s="158"/>
    </row>
    <row r="160" spans="1:26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158"/>
      <c r="Z160" s="158"/>
    </row>
    <row r="161" spans="1:26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158"/>
      <c r="Z161" s="158"/>
    </row>
    <row r="162" spans="1:26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158"/>
      <c r="Z162" s="158"/>
    </row>
    <row r="163" spans="1:26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158"/>
      <c r="Z163" s="158"/>
    </row>
    <row r="164" spans="1:26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158"/>
      <c r="Z164" s="158"/>
    </row>
    <row r="165" spans="1:26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158"/>
      <c r="Z165" s="158"/>
    </row>
    <row r="166" spans="1:26" ht="15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158"/>
      <c r="Z166" s="158"/>
    </row>
    <row r="167" spans="1:26" ht="15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158"/>
      <c r="Z167" s="158"/>
    </row>
    <row r="168" spans="1:26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158"/>
      <c r="Z168" s="158"/>
    </row>
    <row r="169" spans="1:26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158"/>
      <c r="Z169" s="158"/>
    </row>
    <row r="170" spans="1:26" ht="15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158"/>
      <c r="Z170" s="158"/>
    </row>
    <row r="171" spans="1:26" ht="15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158"/>
      <c r="Z171" s="158"/>
    </row>
    <row r="172" spans="1:26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158"/>
      <c r="Z172" s="158"/>
    </row>
    <row r="173" spans="1:26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158"/>
      <c r="Z173" s="158"/>
    </row>
    <row r="174" spans="1:26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158"/>
      <c r="Z174" s="158"/>
    </row>
    <row r="175" spans="1:26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158"/>
      <c r="Z175" s="158"/>
    </row>
    <row r="176" spans="1:26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158"/>
      <c r="Z176" s="158"/>
    </row>
    <row r="177" spans="1:26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158"/>
      <c r="Z177" s="158"/>
    </row>
    <row r="178" spans="1:26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158"/>
      <c r="Z178" s="158"/>
    </row>
    <row r="179" spans="1:26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158"/>
      <c r="Z179" s="158"/>
    </row>
    <row r="180" spans="1:26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158"/>
      <c r="Z180" s="158"/>
    </row>
    <row r="181" spans="1:26" ht="15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158"/>
      <c r="Z181" s="158"/>
    </row>
    <row r="182" spans="1:26" ht="15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158"/>
      <c r="Z182" s="158"/>
    </row>
    <row r="183" spans="1:26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158"/>
      <c r="Z183" s="158"/>
    </row>
    <row r="184" spans="1:26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158"/>
      <c r="Z184" s="158"/>
    </row>
    <row r="185" spans="1:26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158"/>
      <c r="Z185" s="158"/>
    </row>
    <row r="186" spans="1:26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158"/>
      <c r="Z186" s="158"/>
    </row>
    <row r="187" spans="1:26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158"/>
      <c r="Z187" s="158"/>
    </row>
    <row r="188" spans="1:26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158"/>
      <c r="Z188" s="158"/>
    </row>
    <row r="189" spans="1:26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158"/>
      <c r="Z189" s="158"/>
    </row>
    <row r="190" spans="1:26" ht="15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158"/>
      <c r="Z190" s="158"/>
    </row>
    <row r="191" spans="1:26" ht="15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158"/>
      <c r="Z191" s="158"/>
    </row>
    <row r="192" spans="1:26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158"/>
      <c r="Z192" s="158"/>
    </row>
    <row r="193" spans="1:26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158"/>
      <c r="Z193" s="158"/>
    </row>
    <row r="194" spans="1:26" ht="15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158"/>
      <c r="Z194" s="158"/>
    </row>
    <row r="195" spans="1:26" ht="15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158"/>
      <c r="Z195" s="158"/>
    </row>
    <row r="196" spans="1:26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158"/>
      <c r="Z196" s="158"/>
    </row>
    <row r="197" spans="1:26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158"/>
      <c r="Z197" s="158"/>
    </row>
    <row r="198" spans="1:26" ht="15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158"/>
      <c r="Z198" s="158"/>
    </row>
    <row r="199" spans="1:26" ht="15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158"/>
      <c r="Z199" s="158"/>
    </row>
    <row r="200" spans="1:26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158"/>
      <c r="Z200" s="158"/>
    </row>
    <row r="201" spans="1:26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158"/>
      <c r="Z201" s="158"/>
    </row>
    <row r="202" spans="1:26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  <c r="Y202" s="158"/>
      <c r="Z202" s="158"/>
    </row>
    <row r="203" spans="1:26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  <c r="Y203" s="158"/>
      <c r="Z203" s="158"/>
    </row>
    <row r="204" spans="1:26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  <c r="Y204" s="158"/>
      <c r="Z204" s="158"/>
    </row>
    <row r="205" spans="1:26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  <c r="Y205" s="158"/>
      <c r="Z205" s="158"/>
    </row>
    <row r="206" spans="1:26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158"/>
      <c r="Z206" s="158"/>
    </row>
    <row r="207" spans="1:26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158"/>
      <c r="Z207" s="158"/>
    </row>
    <row r="208" spans="1:26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  <c r="Y208" s="158"/>
      <c r="Z208" s="158"/>
    </row>
    <row r="209" spans="1:26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  <c r="Y209" s="158"/>
      <c r="Z209" s="158"/>
    </row>
    <row r="210" spans="1:26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  <c r="Y210" s="158"/>
      <c r="Z210" s="158"/>
    </row>
    <row r="211" spans="1:26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  <c r="Y211" s="158"/>
      <c r="Z211" s="158"/>
    </row>
    <row r="212" spans="1:26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  <c r="Y212" s="158"/>
      <c r="Z212" s="158"/>
    </row>
    <row r="213" spans="1:26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  <c r="Y213" s="158"/>
      <c r="Z213" s="158"/>
    </row>
    <row r="214" spans="1:26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  <c r="Y214" s="158"/>
      <c r="Z214" s="158"/>
    </row>
    <row r="215" spans="1:26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  <c r="Y215" s="158"/>
      <c r="Z215" s="158"/>
    </row>
    <row r="216" spans="1:26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  <c r="Y216" s="158"/>
      <c r="Z216" s="158"/>
    </row>
    <row r="217" spans="1:26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  <c r="Y217" s="158"/>
      <c r="Z217" s="158"/>
    </row>
    <row r="218" spans="1:26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  <c r="Y218" s="158"/>
      <c r="Z218" s="158"/>
    </row>
    <row r="219" spans="1:26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  <c r="Y219" s="158"/>
      <c r="Z219" s="158"/>
    </row>
    <row r="220" spans="1:26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  <c r="Y220" s="158"/>
      <c r="Z220" s="158"/>
    </row>
    <row r="221" spans="1:26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  <c r="Y221" s="158"/>
      <c r="Z221" s="158"/>
    </row>
    <row r="222" spans="1:26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  <c r="Y222" s="158"/>
      <c r="Z222" s="158"/>
    </row>
    <row r="223" spans="1:26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  <c r="Y223" s="158"/>
      <c r="Z223" s="158"/>
    </row>
    <row r="224" spans="1:26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  <c r="Y224" s="158"/>
      <c r="Z224" s="158"/>
    </row>
    <row r="225" spans="1:26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  <c r="Y225" s="158"/>
      <c r="Z225" s="158"/>
    </row>
    <row r="226" spans="1:26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  <c r="Y226" s="158"/>
      <c r="Z226" s="158"/>
    </row>
    <row r="227" spans="1:26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  <c r="Y227" s="158"/>
      <c r="Z227" s="158"/>
    </row>
    <row r="228" spans="1:26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  <c r="Y228" s="158"/>
      <c r="Z228" s="158"/>
    </row>
    <row r="229" spans="1:26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  <c r="Y229" s="158"/>
      <c r="Z229" s="158"/>
    </row>
    <row r="230" spans="1:26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  <c r="Y230" s="158"/>
      <c r="Z230" s="158"/>
    </row>
    <row r="231" spans="1:26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  <c r="Y231" s="158"/>
      <c r="Z231" s="158"/>
    </row>
    <row r="232" spans="1:26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  <c r="Y232" s="158"/>
      <c r="Z232" s="158"/>
    </row>
    <row r="233" spans="1:26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  <c r="Y233" s="158"/>
      <c r="Z233" s="158"/>
    </row>
    <row r="234" spans="1:26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  <c r="Y234" s="158"/>
      <c r="Z234" s="158"/>
    </row>
    <row r="235" spans="1:26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  <c r="Y235" s="158"/>
      <c r="Z235" s="158"/>
    </row>
    <row r="236" spans="1:26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  <c r="Y236" s="158"/>
      <c r="Z236" s="158"/>
    </row>
    <row r="237" spans="1:26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  <c r="Y237" s="158"/>
      <c r="Z237" s="158"/>
    </row>
    <row r="238" spans="1:26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  <c r="Y238" s="158"/>
      <c r="Z238" s="158"/>
    </row>
    <row r="239" spans="1:26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  <c r="Y239" s="158"/>
      <c r="Z239" s="158"/>
    </row>
    <row r="240" spans="1:26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  <c r="Y240" s="158"/>
      <c r="Z240" s="158"/>
    </row>
    <row r="241" spans="1:26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  <c r="Y241" s="158"/>
      <c r="Z241" s="158"/>
    </row>
    <row r="242" spans="1:26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  <c r="Y242" s="158"/>
      <c r="Z242" s="158"/>
    </row>
    <row r="243" spans="1:26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  <c r="Y243" s="158"/>
      <c r="Z243" s="158"/>
    </row>
    <row r="244" spans="1:26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  <c r="Y244" s="158"/>
      <c r="Z244" s="158"/>
    </row>
    <row r="245" spans="1:26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  <c r="Y245" s="158"/>
      <c r="Z245" s="158"/>
    </row>
    <row r="246" spans="1:26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  <c r="Y246" s="158"/>
      <c r="Z246" s="158"/>
    </row>
    <row r="247" spans="1:26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  <c r="Y247" s="158"/>
      <c r="Z247" s="158"/>
    </row>
    <row r="248" spans="1:26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  <c r="Y248" s="158"/>
      <c r="Z248" s="158"/>
    </row>
    <row r="249" spans="1:26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  <c r="Y249" s="158"/>
      <c r="Z249" s="158"/>
    </row>
    <row r="250" spans="1:26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  <c r="Y250" s="158"/>
      <c r="Z250" s="158"/>
    </row>
    <row r="251" spans="1:26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  <c r="Y251" s="158"/>
      <c r="Z251" s="158"/>
    </row>
    <row r="252" spans="1:26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  <c r="Y252" s="158"/>
      <c r="Z252" s="158"/>
    </row>
    <row r="253" spans="1:26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  <c r="Y253" s="158"/>
      <c r="Z253" s="158"/>
    </row>
    <row r="254" spans="1:26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  <c r="Y254" s="158"/>
      <c r="Z254" s="158"/>
    </row>
    <row r="255" spans="1:26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  <c r="Y255" s="158"/>
      <c r="Z255" s="158"/>
    </row>
    <row r="256" spans="1:26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  <c r="Y256" s="158"/>
      <c r="Z256" s="158"/>
    </row>
    <row r="257" spans="1:26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  <c r="Y257" s="158"/>
      <c r="Z257" s="158"/>
    </row>
    <row r="258" spans="1:26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  <c r="Y258" s="158"/>
      <c r="Z258" s="158"/>
    </row>
    <row r="259" spans="1:26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  <c r="Y259" s="158"/>
      <c r="Z259" s="158"/>
    </row>
    <row r="260" spans="1:26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  <c r="Y260" s="158"/>
      <c r="Z260" s="158"/>
    </row>
    <row r="261" spans="1:26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  <c r="Y261" s="158"/>
      <c r="Z261" s="158"/>
    </row>
    <row r="262" spans="1:26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  <c r="Y262" s="158"/>
      <c r="Z262" s="158"/>
    </row>
    <row r="263" spans="1:26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  <c r="Y263" s="158"/>
      <c r="Z263" s="158"/>
    </row>
    <row r="264" spans="1:26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  <c r="Y264" s="158"/>
      <c r="Z264" s="158"/>
    </row>
    <row r="265" spans="1:26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  <c r="Y265" s="158"/>
      <c r="Z265" s="158"/>
    </row>
    <row r="266" spans="1:26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  <c r="Y266" s="158"/>
      <c r="Z266" s="158"/>
    </row>
    <row r="267" spans="1:26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  <c r="Y267" s="158"/>
      <c r="Z267" s="158"/>
    </row>
    <row r="268" spans="1:26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  <c r="Y268" s="158"/>
      <c r="Z268" s="158"/>
    </row>
    <row r="269" spans="1:26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  <c r="Y269" s="158"/>
      <c r="Z269" s="158"/>
    </row>
    <row r="270" spans="1:26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  <c r="Y270" s="158"/>
      <c r="Z270" s="158"/>
    </row>
    <row r="271" spans="1:26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  <c r="Y271" s="158"/>
      <c r="Z271" s="158"/>
    </row>
    <row r="272" spans="1:26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  <c r="Y272" s="158"/>
      <c r="Z272" s="158"/>
    </row>
    <row r="273" spans="1:26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  <c r="Y273" s="158"/>
      <c r="Z273" s="158"/>
    </row>
    <row r="274" spans="1:26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  <c r="Y274" s="158"/>
      <c r="Z274" s="158"/>
    </row>
    <row r="275" spans="1:26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  <c r="Y275" s="158"/>
      <c r="Z275" s="158"/>
    </row>
    <row r="276" spans="1:26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  <c r="Y276" s="158"/>
      <c r="Z276" s="158"/>
    </row>
    <row r="277" spans="1:26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  <c r="Y277" s="158"/>
      <c r="Z277" s="158"/>
    </row>
    <row r="278" spans="1:26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  <c r="Y278" s="158"/>
      <c r="Z278" s="158"/>
    </row>
    <row r="279" spans="1:26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  <c r="Y279" s="158"/>
      <c r="Z279" s="158"/>
    </row>
    <row r="280" spans="1:26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  <c r="Y280" s="158"/>
      <c r="Z280" s="158"/>
    </row>
    <row r="281" spans="1:26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  <c r="Y281" s="158"/>
      <c r="Z281" s="158"/>
    </row>
    <row r="282" spans="1:26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  <c r="Y282" s="158"/>
      <c r="Z282" s="158"/>
    </row>
    <row r="283" spans="1:26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  <c r="Y283" s="158"/>
      <c r="Z283" s="158"/>
    </row>
    <row r="284" spans="1:26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  <c r="Y284" s="158"/>
      <c r="Z284" s="158"/>
    </row>
    <row r="285" spans="1:26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  <c r="Y285" s="158"/>
      <c r="Z285" s="158"/>
    </row>
    <row r="286" spans="1:26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  <c r="Y286" s="158"/>
      <c r="Z286" s="158"/>
    </row>
    <row r="287" spans="1:26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  <c r="Y287" s="158"/>
      <c r="Z287" s="158"/>
    </row>
    <row r="288" spans="1:26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  <c r="Y288" s="158"/>
      <c r="Z288" s="158"/>
    </row>
    <row r="289" spans="1:26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  <c r="Y289" s="158"/>
      <c r="Z289" s="158"/>
    </row>
    <row r="290" spans="1:26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  <c r="Y290" s="158"/>
      <c r="Z290" s="158"/>
    </row>
    <row r="291" spans="1:26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  <c r="Y291" s="158"/>
      <c r="Z291" s="158"/>
    </row>
    <row r="292" spans="1:26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  <c r="Y292" s="158"/>
      <c r="Z292" s="158"/>
    </row>
    <row r="293" spans="1:26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  <c r="Y293" s="158"/>
      <c r="Z293" s="158"/>
    </row>
    <row r="294" spans="1:26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  <c r="Y294" s="158"/>
      <c r="Z294" s="158"/>
    </row>
    <row r="295" spans="1:26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  <c r="Y295" s="158"/>
      <c r="Z295" s="158"/>
    </row>
    <row r="296" spans="1:26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  <c r="Y296" s="158"/>
      <c r="Z296" s="158"/>
    </row>
    <row r="297" spans="1:26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  <c r="Y297" s="158"/>
      <c r="Z297" s="158"/>
    </row>
    <row r="298" spans="1:26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  <c r="Y298" s="158"/>
      <c r="Z298" s="158"/>
    </row>
    <row r="299" spans="1:26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  <c r="Y299" s="158"/>
      <c r="Z299" s="158"/>
    </row>
    <row r="300" spans="1:26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  <c r="Y300" s="158"/>
      <c r="Z300" s="158"/>
    </row>
    <row r="301" spans="1:26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  <c r="Y301" s="158"/>
      <c r="Z301" s="158"/>
    </row>
    <row r="302" spans="1:26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  <c r="Y302" s="158"/>
      <c r="Z302" s="158"/>
    </row>
    <row r="303" spans="1:26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  <c r="Y303" s="158"/>
      <c r="Z303" s="158"/>
    </row>
    <row r="304" spans="1:26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  <c r="Y304" s="158"/>
      <c r="Z304" s="158"/>
    </row>
    <row r="305" spans="1:26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  <c r="Y305" s="158"/>
      <c r="Z305" s="158"/>
    </row>
    <row r="306" spans="1:26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  <c r="Y306" s="158"/>
      <c r="Z306" s="158"/>
    </row>
    <row r="307" spans="1:26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  <c r="Y307" s="158"/>
      <c r="Z307" s="158"/>
    </row>
    <row r="308" spans="1:26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  <c r="Y308" s="158"/>
      <c r="Z308" s="158"/>
    </row>
    <row r="309" spans="1:26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  <c r="Y309" s="158"/>
      <c r="Z309" s="158"/>
    </row>
    <row r="310" spans="1:26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  <c r="Y310" s="158"/>
      <c r="Z310" s="158"/>
    </row>
    <row r="311" spans="1:26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  <c r="Y311" s="158"/>
      <c r="Z311" s="158"/>
    </row>
    <row r="312" spans="1:26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  <c r="Y312" s="158"/>
      <c r="Z312" s="158"/>
    </row>
    <row r="313" spans="1:26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  <c r="Y313" s="158"/>
      <c r="Z313" s="158"/>
    </row>
    <row r="314" spans="1:26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  <c r="Y314" s="158"/>
      <c r="Z314" s="158"/>
    </row>
    <row r="315" spans="1:26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  <c r="Y315" s="158"/>
      <c r="Z315" s="158"/>
    </row>
    <row r="316" spans="1:26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  <c r="Y316" s="158"/>
      <c r="Z316" s="158"/>
    </row>
    <row r="317" spans="1:26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  <c r="Y317" s="158"/>
      <c r="Z317" s="158"/>
    </row>
    <row r="318" spans="1:26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  <c r="Y318" s="158"/>
      <c r="Z318" s="158"/>
    </row>
    <row r="319" spans="1:26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  <c r="Y319" s="158"/>
      <c r="Z319" s="158"/>
    </row>
    <row r="320" spans="1:26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  <c r="Y320" s="158"/>
      <c r="Z320" s="158"/>
    </row>
    <row r="321" spans="1:26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  <c r="Y321" s="158"/>
      <c r="Z321" s="158"/>
    </row>
    <row r="322" spans="1:26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158"/>
      <c r="Z322" s="158"/>
    </row>
    <row r="323" spans="1:26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Y323" s="158"/>
      <c r="Z323" s="158"/>
    </row>
    <row r="324" spans="1:26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Y324" s="158"/>
      <c r="Z324" s="158"/>
    </row>
    <row r="325" spans="1:26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  <c r="Y325" s="158"/>
      <c r="Z325" s="158"/>
    </row>
    <row r="326" spans="1:26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  <c r="Y326" s="158"/>
      <c r="Z326" s="158"/>
    </row>
    <row r="327" spans="1:26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  <c r="Y327" s="158"/>
      <c r="Z327" s="158"/>
    </row>
    <row r="328" spans="1:26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  <c r="Y328" s="158"/>
      <c r="Z328" s="158"/>
    </row>
    <row r="329" spans="1:26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  <c r="Y329" s="158"/>
      <c r="Z329" s="158"/>
    </row>
    <row r="330" spans="1:26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  <c r="Y330" s="158"/>
      <c r="Z330" s="158"/>
    </row>
    <row r="331" spans="1:26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  <c r="Y331" s="158"/>
      <c r="Z331" s="158"/>
    </row>
    <row r="332" spans="1:26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  <c r="Y332" s="158"/>
      <c r="Z332" s="158"/>
    </row>
    <row r="333" spans="1:26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  <c r="Y333" s="158"/>
      <c r="Z333" s="158"/>
    </row>
    <row r="334" spans="1:26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  <c r="Y334" s="158"/>
      <c r="Z334" s="158"/>
    </row>
    <row r="335" spans="1:26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  <c r="Y335" s="158"/>
      <c r="Z335" s="158"/>
    </row>
    <row r="336" spans="1:26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  <c r="Y336" s="158"/>
      <c r="Z336" s="158"/>
    </row>
    <row r="337" spans="1:26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  <c r="Y337" s="158"/>
      <c r="Z337" s="158"/>
    </row>
    <row r="338" spans="1:26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  <c r="Y338" s="158"/>
      <c r="Z338" s="158"/>
    </row>
    <row r="339" spans="1:26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  <c r="Y339" s="158"/>
      <c r="Z339" s="158"/>
    </row>
    <row r="340" spans="1:26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  <c r="Y340" s="158"/>
      <c r="Z340" s="158"/>
    </row>
    <row r="341" spans="1:26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  <c r="Y341" s="158"/>
      <c r="Z341" s="158"/>
    </row>
    <row r="342" spans="1:26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  <c r="Y342" s="158"/>
      <c r="Z342" s="158"/>
    </row>
    <row r="343" spans="1:26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  <c r="Y343" s="158"/>
      <c r="Z343" s="158"/>
    </row>
    <row r="344" spans="1:26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  <c r="Y344" s="158"/>
      <c r="Z344" s="158"/>
    </row>
    <row r="345" spans="1:26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  <c r="Y345" s="158"/>
      <c r="Z345" s="158"/>
    </row>
    <row r="346" spans="1:26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  <c r="Y346" s="158"/>
      <c r="Z346" s="158"/>
    </row>
    <row r="347" spans="1:26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  <c r="Y347" s="158"/>
      <c r="Z347" s="158"/>
    </row>
    <row r="348" spans="1:26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  <c r="Y348" s="158"/>
      <c r="Z348" s="158"/>
    </row>
    <row r="349" spans="1:26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  <c r="Y349" s="158"/>
      <c r="Z349" s="158"/>
    </row>
    <row r="350" spans="1:26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  <c r="Y350" s="158"/>
      <c r="Z350" s="158"/>
    </row>
    <row r="351" spans="1:26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  <c r="Y351" s="158"/>
      <c r="Z351" s="158"/>
    </row>
    <row r="352" spans="1:26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  <c r="Y352" s="158"/>
      <c r="Z352" s="158"/>
    </row>
    <row r="353" spans="1:26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  <c r="Y353" s="158"/>
      <c r="Z353" s="158"/>
    </row>
    <row r="354" spans="1:26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  <c r="Y354" s="158"/>
      <c r="Z354" s="158"/>
    </row>
    <row r="355" spans="1:26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  <c r="Y355" s="158"/>
      <c r="Z355" s="158"/>
    </row>
    <row r="356" spans="1:26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  <c r="Y356" s="158"/>
      <c r="Z356" s="158"/>
    </row>
    <row r="357" spans="1:26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  <c r="Y357" s="158"/>
      <c r="Z357" s="158"/>
    </row>
    <row r="358" spans="1:26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  <c r="Y358" s="158"/>
      <c r="Z358" s="158"/>
    </row>
    <row r="359" spans="1:26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  <c r="Y359" s="158"/>
      <c r="Z359" s="158"/>
    </row>
    <row r="360" spans="1:26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  <c r="Y360" s="158"/>
      <c r="Z360" s="158"/>
    </row>
    <row r="361" spans="1:26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  <c r="Y361" s="158"/>
      <c r="Z361" s="158"/>
    </row>
    <row r="362" spans="1:26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  <c r="Y362" s="158"/>
      <c r="Z362" s="158"/>
    </row>
    <row r="363" spans="1:26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  <c r="Y363" s="158"/>
      <c r="Z363" s="158"/>
    </row>
    <row r="364" spans="1:26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  <c r="Y364" s="158"/>
      <c r="Z364" s="158"/>
    </row>
    <row r="365" spans="1:26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  <c r="Y365" s="158"/>
      <c r="Z365" s="158"/>
    </row>
    <row r="366" spans="1:26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  <c r="Y366" s="158"/>
      <c r="Z366" s="158"/>
    </row>
    <row r="367" spans="1:26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  <c r="Y367" s="158"/>
      <c r="Z367" s="158"/>
    </row>
    <row r="368" spans="1:26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  <c r="Y368" s="158"/>
      <c r="Z368" s="158"/>
    </row>
    <row r="369" spans="1:26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  <c r="Y369" s="158"/>
      <c r="Z369" s="158"/>
    </row>
    <row r="370" spans="1:26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  <c r="Y370" s="158"/>
      <c r="Z370" s="158"/>
    </row>
    <row r="371" spans="1:26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  <c r="Y371" s="158"/>
      <c r="Z371" s="158"/>
    </row>
    <row r="372" spans="1:26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  <c r="Y372" s="158"/>
      <c r="Z372" s="158"/>
    </row>
    <row r="373" spans="1:26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158"/>
      <c r="Z373" s="158"/>
    </row>
    <row r="374" spans="1:26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  <c r="Y374" s="158"/>
      <c r="Z374" s="158"/>
    </row>
    <row r="375" spans="1:26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  <c r="Y375" s="158"/>
      <c r="Z375" s="158"/>
    </row>
    <row r="376" spans="1:26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  <c r="Y376" s="158"/>
      <c r="Z376" s="158"/>
    </row>
    <row r="377" spans="1:26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  <c r="Y377" s="158"/>
      <c r="Z377" s="158"/>
    </row>
    <row r="378" spans="1:26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  <c r="Y378" s="158"/>
      <c r="Z378" s="158"/>
    </row>
    <row r="379" spans="1:26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  <c r="Y379" s="158"/>
      <c r="Z379" s="158"/>
    </row>
    <row r="380" spans="1:26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  <c r="Y380" s="158"/>
      <c r="Z380" s="158"/>
    </row>
    <row r="381" spans="1:26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  <c r="Y381" s="158"/>
      <c r="Z381" s="158"/>
    </row>
    <row r="382" spans="1:26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  <c r="Y382" s="158"/>
      <c r="Z382" s="158"/>
    </row>
    <row r="383" spans="1:26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  <c r="Y383" s="158"/>
      <c r="Z383" s="158"/>
    </row>
    <row r="384" spans="1:26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  <c r="Y384" s="158"/>
      <c r="Z384" s="158"/>
    </row>
    <row r="385" spans="1:26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  <c r="Y385" s="158"/>
      <c r="Z385" s="158"/>
    </row>
    <row r="386" spans="1:26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  <c r="Y386" s="158"/>
      <c r="Z386" s="158"/>
    </row>
    <row r="387" spans="1:26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  <c r="Y387" s="158"/>
      <c r="Z387" s="158"/>
    </row>
    <row r="388" spans="1:26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  <c r="Y388" s="158"/>
      <c r="Z388" s="158"/>
    </row>
    <row r="389" spans="1:26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  <c r="Y389" s="158"/>
      <c r="Z389" s="158"/>
    </row>
    <row r="390" spans="1:26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  <c r="Y390" s="158"/>
      <c r="Z390" s="158"/>
    </row>
    <row r="391" spans="1:26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  <c r="Y391" s="158"/>
      <c r="Z391" s="158"/>
    </row>
    <row r="392" spans="1:26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  <c r="Y392" s="158"/>
      <c r="Z392" s="158"/>
    </row>
    <row r="393" spans="1:26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  <c r="Y393" s="158"/>
      <c r="Z393" s="158"/>
    </row>
    <row r="394" spans="1:26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158"/>
      <c r="Z394" s="158"/>
    </row>
    <row r="395" spans="1:26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  <c r="Y395" s="158"/>
      <c r="Z395" s="158"/>
    </row>
    <row r="396" spans="1:26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  <c r="Y396" s="158"/>
      <c r="Z396" s="158"/>
    </row>
    <row r="397" spans="1:26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  <c r="Y397" s="158"/>
      <c r="Z397" s="158"/>
    </row>
    <row r="398" spans="1:26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  <c r="Y398" s="158"/>
      <c r="Z398" s="158"/>
    </row>
    <row r="399" spans="1:26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  <c r="Y399" s="158"/>
      <c r="Z399" s="158"/>
    </row>
    <row r="400" spans="1:26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  <c r="Y400" s="158"/>
      <c r="Z400" s="158"/>
    </row>
    <row r="401" spans="1:26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  <c r="Y401" s="158"/>
      <c r="Z401" s="158"/>
    </row>
    <row r="402" spans="1:26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  <c r="Y402" s="158"/>
      <c r="Z402" s="158"/>
    </row>
    <row r="403" spans="1:26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  <c r="Y403" s="158"/>
      <c r="Z403" s="158"/>
    </row>
    <row r="404" spans="1:26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  <c r="Y404" s="158"/>
      <c r="Z404" s="158"/>
    </row>
    <row r="405" spans="1:26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  <c r="Y405" s="158"/>
      <c r="Z405" s="158"/>
    </row>
    <row r="406" spans="1:26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  <c r="Y406" s="158"/>
      <c r="Z406" s="158"/>
    </row>
    <row r="407" spans="1:26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  <c r="Y407" s="158"/>
      <c r="Z407" s="158"/>
    </row>
    <row r="408" spans="1:26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  <c r="Y408" s="158"/>
      <c r="Z408" s="158"/>
    </row>
    <row r="409" spans="1:26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  <c r="Y409" s="158"/>
      <c r="Z409" s="158"/>
    </row>
    <row r="410" spans="1:26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  <c r="Y410" s="158"/>
      <c r="Z410" s="158"/>
    </row>
    <row r="411" spans="1:26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  <c r="Y411" s="158"/>
      <c r="Z411" s="158"/>
    </row>
    <row r="412" spans="1:26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  <c r="Y412" s="158"/>
      <c r="Z412" s="158"/>
    </row>
    <row r="413" spans="1:26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  <c r="Y413" s="158"/>
      <c r="Z413" s="158"/>
    </row>
    <row r="414" spans="1:26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  <c r="Y414" s="158"/>
      <c r="Z414" s="158"/>
    </row>
    <row r="415" spans="1:26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  <c r="Y415" s="158"/>
      <c r="Z415" s="158"/>
    </row>
    <row r="416" spans="1:26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  <c r="Y416" s="158"/>
      <c r="Z416" s="158"/>
    </row>
    <row r="417" spans="1:26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  <c r="Y417" s="158"/>
      <c r="Z417" s="158"/>
    </row>
    <row r="418" spans="1:26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  <c r="Y418" s="158"/>
      <c r="Z418" s="158"/>
    </row>
    <row r="419" spans="1:26" ht="15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  <c r="Y419" s="158"/>
      <c r="Z419" s="158"/>
    </row>
    <row r="420" spans="1:26" ht="15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  <c r="Y420" s="158"/>
      <c r="Z420" s="158"/>
    </row>
    <row r="421" spans="1:26" ht="15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  <c r="Y421" s="158"/>
      <c r="Z421" s="158"/>
    </row>
    <row r="422" spans="1:26" ht="15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  <c r="Y422" s="158"/>
      <c r="Z422" s="158"/>
    </row>
    <row r="423" spans="1:26" ht="15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  <c r="Y423" s="158"/>
      <c r="Z423" s="158"/>
    </row>
    <row r="424" spans="1:26" ht="15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  <c r="Y424" s="158"/>
      <c r="Z424" s="158"/>
    </row>
    <row r="425" spans="1:26" ht="15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  <c r="Y425" s="158"/>
      <c r="Z425" s="158"/>
    </row>
    <row r="426" spans="1:26" ht="15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  <c r="Y426" s="158"/>
      <c r="Z426" s="158"/>
    </row>
    <row r="427" spans="1:26" ht="15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  <c r="Y427" s="158"/>
      <c r="Z427" s="158"/>
    </row>
    <row r="428" spans="1:26" ht="15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  <c r="Y428" s="158"/>
      <c r="Z428" s="158"/>
    </row>
    <row r="429" spans="1:26" ht="15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  <c r="Y429" s="158"/>
      <c r="Z429" s="158"/>
    </row>
    <row r="430" spans="1:26" ht="15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  <c r="Y430" s="158"/>
      <c r="Z430" s="158"/>
    </row>
    <row r="431" spans="1:26" ht="15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  <c r="Y431" s="158"/>
      <c r="Z431" s="158"/>
    </row>
    <row r="432" spans="1:26" ht="15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  <c r="Y432" s="158"/>
      <c r="Z432" s="158"/>
    </row>
    <row r="433" spans="1:26" ht="15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  <c r="Y433" s="158"/>
      <c r="Z433" s="158"/>
    </row>
    <row r="434" spans="1:26" ht="15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  <c r="Y434" s="158"/>
      <c r="Z434" s="158"/>
    </row>
    <row r="435" spans="1:26" ht="15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  <c r="Y435" s="158"/>
      <c r="Z435" s="158"/>
    </row>
    <row r="436" spans="1:26" ht="15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  <c r="Y436" s="158"/>
      <c r="Z436" s="158"/>
    </row>
    <row r="437" spans="1:26" ht="15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  <c r="Y437" s="158"/>
      <c r="Z437" s="158"/>
    </row>
    <row r="438" spans="1:26" ht="15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  <c r="Y438" s="158"/>
      <c r="Z438" s="158"/>
    </row>
    <row r="439" spans="1:26" ht="15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  <c r="Y439" s="158"/>
      <c r="Z439" s="158"/>
    </row>
    <row r="440" spans="1:26" ht="15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  <c r="Y440" s="158"/>
      <c r="Z440" s="158"/>
    </row>
    <row r="441" spans="1:26" ht="15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  <c r="Y441" s="158"/>
      <c r="Z441" s="158"/>
    </row>
    <row r="442" spans="1:26" ht="15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  <c r="Y442" s="158"/>
      <c r="Z442" s="158"/>
    </row>
    <row r="443" spans="1:26" ht="15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  <c r="Y443" s="158"/>
      <c r="Z443" s="158"/>
    </row>
    <row r="444" spans="1:26" ht="15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  <c r="Y444" s="158"/>
      <c r="Z444" s="158"/>
    </row>
    <row r="445" spans="1:26" ht="15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  <c r="Y445" s="158"/>
      <c r="Z445" s="158"/>
    </row>
    <row r="446" spans="1:26" ht="15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  <c r="Y446" s="158"/>
      <c r="Z446" s="158"/>
    </row>
    <row r="447" spans="1:26" ht="15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  <c r="Y447" s="158"/>
      <c r="Z447" s="158"/>
    </row>
    <row r="448" spans="1:26" ht="15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  <c r="Y448" s="158"/>
      <c r="Z448" s="158"/>
    </row>
    <row r="449" spans="1:26" ht="15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  <c r="Y449" s="158"/>
      <c r="Z449" s="158"/>
    </row>
    <row r="450" spans="1:26" ht="15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  <c r="Y450" s="158"/>
      <c r="Z450" s="158"/>
    </row>
    <row r="451" spans="1:26" ht="15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  <c r="Y451" s="158"/>
      <c r="Z451" s="158"/>
    </row>
    <row r="452" spans="1:26" ht="15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  <c r="Y452" s="158"/>
      <c r="Z452" s="158"/>
    </row>
    <row r="453" spans="1:26" ht="15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  <c r="Y453" s="158"/>
      <c r="Z453" s="158"/>
    </row>
    <row r="454" spans="1:26" ht="15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  <c r="Y454" s="158"/>
      <c r="Z454" s="158"/>
    </row>
    <row r="455" spans="1:26" ht="15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  <c r="Y455" s="158"/>
      <c r="Z455" s="158"/>
    </row>
    <row r="456" spans="1:26" ht="15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  <c r="Y456" s="158"/>
      <c r="Z456" s="158"/>
    </row>
    <row r="457" spans="1:26" ht="15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  <c r="Y457" s="158"/>
      <c r="Z457" s="158"/>
    </row>
    <row r="458" spans="1:26" ht="15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  <c r="Y458" s="158"/>
      <c r="Z458" s="158"/>
    </row>
    <row r="459" spans="1:26" ht="15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  <c r="Y459" s="158"/>
      <c r="Z459" s="158"/>
    </row>
    <row r="460" spans="1:26" ht="15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  <c r="Y460" s="158"/>
      <c r="Z460" s="158"/>
    </row>
    <row r="461" spans="1:26" ht="15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  <c r="Y461" s="158"/>
      <c r="Z461" s="158"/>
    </row>
    <row r="462" spans="1:26" ht="15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  <c r="Y462" s="158"/>
      <c r="Z462" s="158"/>
    </row>
    <row r="463" spans="1:26" ht="15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  <c r="Y463" s="158"/>
      <c r="Z463" s="158"/>
    </row>
    <row r="464" spans="1:26" ht="15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  <c r="Y464" s="158"/>
      <c r="Z464" s="158"/>
    </row>
    <row r="465" spans="1:26" ht="15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  <c r="Y465" s="158"/>
      <c r="Z465" s="158"/>
    </row>
    <row r="466" spans="1:26" ht="15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  <c r="Y466" s="158"/>
      <c r="Z466" s="158"/>
    </row>
    <row r="467" spans="1:26" ht="15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158"/>
      <c r="Z467" s="158"/>
    </row>
    <row r="468" spans="1:26" ht="15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  <c r="Y468" s="158"/>
      <c r="Z468" s="158"/>
    </row>
    <row r="469" spans="1:26" ht="15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  <c r="Y469" s="158"/>
      <c r="Z469" s="158"/>
    </row>
    <row r="470" spans="1:26" ht="15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  <c r="Y470" s="158"/>
      <c r="Z470" s="158"/>
    </row>
    <row r="471" spans="1:26" ht="15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  <c r="Y471" s="158"/>
      <c r="Z471" s="158"/>
    </row>
    <row r="472" spans="1:26" ht="15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  <c r="Y472" s="158"/>
      <c r="Z472" s="158"/>
    </row>
    <row r="473" spans="1:26" ht="15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  <c r="Y473" s="158"/>
      <c r="Z473" s="158"/>
    </row>
    <row r="474" spans="1:26" ht="15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  <c r="Y474" s="158"/>
      <c r="Z474" s="158"/>
    </row>
    <row r="475" spans="1:26" ht="15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  <c r="Y475" s="158"/>
      <c r="Z475" s="158"/>
    </row>
    <row r="476" spans="1:26" ht="15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  <c r="Y476" s="158"/>
      <c r="Z476" s="158"/>
    </row>
    <row r="477" spans="1:26" ht="15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  <c r="Y477" s="158"/>
      <c r="Z477" s="158"/>
    </row>
    <row r="478" spans="1:26" ht="15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  <c r="Y478" s="158"/>
      <c r="Z478" s="158"/>
    </row>
    <row r="479" spans="1:26" ht="15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  <c r="Y479" s="158"/>
      <c r="Z479" s="158"/>
    </row>
    <row r="480" spans="1:26" ht="15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  <c r="Y480" s="158"/>
      <c r="Z480" s="158"/>
    </row>
    <row r="481" spans="1:26" ht="15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  <c r="Y481" s="158"/>
      <c r="Z481" s="158"/>
    </row>
    <row r="482" spans="1:26" ht="15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  <c r="Y482" s="158"/>
      <c r="Z482" s="158"/>
    </row>
    <row r="483" spans="1:26" ht="15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  <c r="Y483" s="158"/>
      <c r="Z483" s="158"/>
    </row>
    <row r="484" spans="1:26" ht="15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  <c r="Y484" s="158"/>
      <c r="Z484" s="158"/>
    </row>
    <row r="485" spans="1:26" ht="15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  <c r="Y485" s="158"/>
      <c r="Z485" s="158"/>
    </row>
    <row r="486" spans="1:26" ht="15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  <c r="Y486" s="158"/>
      <c r="Z486" s="158"/>
    </row>
    <row r="487" spans="1:26" ht="15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  <c r="Y487" s="158"/>
      <c r="Z487" s="158"/>
    </row>
    <row r="488" spans="1:26" ht="15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  <c r="Y488" s="158"/>
      <c r="Z488" s="158"/>
    </row>
    <row r="489" spans="1:26" ht="15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  <c r="Y489" s="158"/>
      <c r="Z489" s="158"/>
    </row>
    <row r="490" spans="1:26" ht="15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  <c r="Y490" s="158"/>
      <c r="Z490" s="158"/>
    </row>
    <row r="491" spans="1:26" ht="15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  <c r="Y491" s="158"/>
      <c r="Z491" s="158"/>
    </row>
    <row r="492" spans="1:26" ht="15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  <c r="Y492" s="158"/>
      <c r="Z492" s="158"/>
    </row>
    <row r="493" spans="1:26" ht="15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  <c r="Y493" s="158"/>
      <c r="Z493" s="158"/>
    </row>
    <row r="494" spans="1:26" ht="15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  <c r="Y494" s="158"/>
      <c r="Z494" s="158"/>
    </row>
    <row r="495" spans="1:26" ht="15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  <c r="Y495" s="158"/>
      <c r="Z495" s="158"/>
    </row>
    <row r="496" spans="1:26" ht="15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  <c r="Y496" s="158"/>
      <c r="Z496" s="158"/>
    </row>
    <row r="497" spans="1:26" ht="15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  <c r="Y497" s="158"/>
      <c r="Z497" s="158"/>
    </row>
    <row r="498" spans="1:26" ht="15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  <c r="Y498" s="158"/>
      <c r="Z498" s="158"/>
    </row>
    <row r="499" spans="1:26" ht="15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  <c r="Y499" s="158"/>
      <c r="Z499" s="158"/>
    </row>
    <row r="500" spans="1:26" ht="15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  <c r="Y500" s="158"/>
      <c r="Z500" s="158"/>
    </row>
    <row r="501" spans="1:26" ht="15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  <c r="Y501" s="158"/>
      <c r="Z501" s="158"/>
    </row>
    <row r="502" spans="1:26" ht="15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  <c r="Y502" s="158"/>
      <c r="Z502" s="158"/>
    </row>
    <row r="503" spans="1:26" ht="15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  <c r="Y503" s="158"/>
      <c r="Z503" s="158"/>
    </row>
    <row r="504" spans="1:26" ht="15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  <c r="Y504" s="158"/>
      <c r="Z504" s="158"/>
    </row>
    <row r="505" spans="1:26" ht="15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  <c r="Y505" s="158"/>
      <c r="Z505" s="158"/>
    </row>
    <row r="506" spans="1:26" ht="15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  <c r="Y506" s="158"/>
      <c r="Z506" s="158"/>
    </row>
    <row r="507" spans="1:26" ht="15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  <c r="Y507" s="158"/>
      <c r="Z507" s="158"/>
    </row>
    <row r="508" spans="1:26" ht="15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  <c r="Y508" s="158"/>
      <c r="Z508" s="158"/>
    </row>
    <row r="509" spans="1:26" ht="15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  <c r="Y509" s="158"/>
      <c r="Z509" s="158"/>
    </row>
    <row r="510" spans="1:26" ht="15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  <c r="Y510" s="158"/>
      <c r="Z510" s="158"/>
    </row>
    <row r="511" spans="1:26" ht="15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  <c r="Y511" s="158"/>
      <c r="Z511" s="158"/>
    </row>
    <row r="512" spans="1:26" ht="15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  <c r="Y512" s="158"/>
      <c r="Z512" s="158"/>
    </row>
    <row r="513" spans="1:26" ht="15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  <c r="Y513" s="158"/>
      <c r="Z513" s="158"/>
    </row>
    <row r="514" spans="1:26" ht="15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  <c r="Y514" s="158"/>
      <c r="Z514" s="158"/>
    </row>
    <row r="515" spans="1:26" ht="15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  <c r="Y515" s="158"/>
      <c r="Z515" s="158"/>
    </row>
    <row r="516" spans="1:26" ht="15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  <c r="Y516" s="158"/>
      <c r="Z516" s="158"/>
    </row>
    <row r="517" spans="1:26" ht="15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  <c r="Y517" s="158"/>
      <c r="Z517" s="158"/>
    </row>
    <row r="518" spans="1:26" ht="15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  <c r="Y518" s="158"/>
      <c r="Z518" s="158"/>
    </row>
    <row r="519" spans="1:26" ht="15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  <c r="Y519" s="158"/>
      <c r="Z519" s="158"/>
    </row>
    <row r="520" spans="1:26" ht="15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  <c r="Y520" s="158"/>
      <c r="Z520" s="158"/>
    </row>
    <row r="521" spans="1:26" ht="15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  <c r="Y521" s="158"/>
      <c r="Z521" s="158"/>
    </row>
    <row r="522" spans="1:26" ht="15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  <c r="Y522" s="158"/>
      <c r="Z522" s="158"/>
    </row>
    <row r="523" spans="1:26" ht="15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158"/>
      <c r="Z523" s="158"/>
    </row>
    <row r="524" spans="1:26" ht="15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  <c r="Y524" s="158"/>
      <c r="Z524" s="158"/>
    </row>
    <row r="525" spans="1:26" ht="15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  <c r="Y525" s="158"/>
      <c r="Z525" s="158"/>
    </row>
    <row r="526" spans="1:26" ht="15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  <c r="Y526" s="158"/>
      <c r="Z526" s="158"/>
    </row>
    <row r="527" spans="1:26" ht="15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  <c r="Y527" s="158"/>
      <c r="Z527" s="158"/>
    </row>
    <row r="528" spans="1:26" ht="15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  <c r="Y528" s="158"/>
      <c r="Z528" s="158"/>
    </row>
    <row r="529" spans="1:26" ht="15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  <c r="Y529" s="158"/>
      <c r="Z529" s="158"/>
    </row>
    <row r="530" spans="1:26" ht="15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  <c r="Y530" s="158"/>
      <c r="Z530" s="158"/>
    </row>
    <row r="531" spans="1:26" ht="15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  <c r="Y531" s="158"/>
      <c r="Z531" s="158"/>
    </row>
    <row r="532" spans="1:26" ht="15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  <c r="Y532" s="158"/>
      <c r="Z532" s="158"/>
    </row>
    <row r="533" spans="1:26" ht="15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  <c r="Y533" s="158"/>
      <c r="Z533" s="158"/>
    </row>
    <row r="534" spans="1:26" ht="15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  <c r="Y534" s="158"/>
      <c r="Z534" s="158"/>
    </row>
    <row r="535" spans="1:26" ht="15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  <c r="Y535" s="158"/>
      <c r="Z535" s="158"/>
    </row>
    <row r="536" spans="1:26" ht="15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  <c r="Y536" s="158"/>
      <c r="Z536" s="158"/>
    </row>
    <row r="537" spans="1:26" ht="15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  <c r="Y537" s="158"/>
      <c r="Z537" s="158"/>
    </row>
    <row r="538" spans="1:26" ht="15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  <c r="Y538" s="158"/>
      <c r="Z538" s="158"/>
    </row>
    <row r="539" spans="1:26" ht="15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  <c r="Y539" s="158"/>
      <c r="Z539" s="158"/>
    </row>
    <row r="540" spans="1:26" ht="15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  <c r="Y540" s="158"/>
      <c r="Z540" s="158"/>
    </row>
    <row r="541" spans="1:26" ht="15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  <c r="Y541" s="158"/>
      <c r="Z541" s="158"/>
    </row>
    <row r="542" spans="1:26" ht="15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  <c r="Y542" s="158"/>
      <c r="Z542" s="158"/>
    </row>
    <row r="543" spans="1:26" ht="15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  <c r="Y543" s="158"/>
      <c r="Z543" s="158"/>
    </row>
    <row r="544" spans="1:26" ht="15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158"/>
      <c r="Z544" s="158"/>
    </row>
    <row r="545" spans="1:26" ht="15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  <c r="Y545" s="158"/>
      <c r="Z545" s="158"/>
    </row>
    <row r="546" spans="1:26" ht="15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  <c r="Y546" s="158"/>
      <c r="Z546" s="158"/>
    </row>
    <row r="547" spans="1:26" ht="15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  <c r="Y547" s="158"/>
      <c r="Z547" s="158"/>
    </row>
    <row r="548" spans="1:26" ht="15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158"/>
      <c r="Z548" s="158"/>
    </row>
    <row r="549" spans="1:26" ht="15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  <c r="Y549" s="158"/>
      <c r="Z549" s="158"/>
    </row>
    <row r="550" spans="1:26" ht="15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  <c r="Y550" s="158"/>
      <c r="Z550" s="158"/>
    </row>
    <row r="551" spans="1:26" ht="15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  <c r="Y551" s="158"/>
      <c r="Z551" s="158"/>
    </row>
    <row r="552" spans="1:26" ht="15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  <c r="Y552" s="158"/>
      <c r="Z552" s="158"/>
    </row>
    <row r="553" spans="1:26" ht="15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  <c r="Y553" s="158"/>
      <c r="Z553" s="158"/>
    </row>
    <row r="554" spans="1:26" ht="15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  <c r="Y554" s="158"/>
      <c r="Z554" s="158"/>
    </row>
    <row r="555" spans="1:26" ht="15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  <c r="Y555" s="158"/>
      <c r="Z555" s="158"/>
    </row>
    <row r="556" spans="1:26" ht="15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  <c r="Y556" s="158"/>
      <c r="Z556" s="158"/>
    </row>
    <row r="557" spans="1:26" ht="15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  <c r="Y557" s="158"/>
      <c r="Z557" s="158"/>
    </row>
    <row r="558" spans="1:26" ht="15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  <c r="Y558" s="158"/>
      <c r="Z558" s="158"/>
    </row>
    <row r="559" spans="1:26" ht="15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  <c r="Y559" s="158"/>
      <c r="Z559" s="158"/>
    </row>
    <row r="560" spans="1:26" ht="15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158"/>
      <c r="Z560" s="158"/>
    </row>
    <row r="561" spans="1:26" ht="15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  <c r="Y561" s="158"/>
      <c r="Z561" s="158"/>
    </row>
    <row r="562" spans="1:26" ht="15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  <c r="Y562" s="158"/>
      <c r="Z562" s="158"/>
    </row>
    <row r="563" spans="1:26" ht="15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  <c r="Y563" s="158"/>
      <c r="Z563" s="158"/>
    </row>
    <row r="564" spans="1:26" ht="15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  <c r="Y564" s="158"/>
      <c r="Z564" s="158"/>
    </row>
    <row r="565" spans="1:26" ht="15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  <c r="Y565" s="158"/>
      <c r="Z565" s="158"/>
    </row>
    <row r="566" spans="1:26" ht="15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  <c r="Y566" s="158"/>
      <c r="Z566" s="158"/>
    </row>
    <row r="567" spans="1:26" ht="15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  <c r="Y567" s="158"/>
      <c r="Z567" s="158"/>
    </row>
    <row r="568" spans="1:26" ht="15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  <c r="Y568" s="158"/>
      <c r="Z568" s="158"/>
    </row>
    <row r="569" spans="1:26" ht="15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  <c r="Y569" s="158"/>
      <c r="Z569" s="158"/>
    </row>
    <row r="570" spans="1:26" ht="15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  <c r="Y570" s="158"/>
      <c r="Z570" s="158"/>
    </row>
    <row r="571" spans="1:26" ht="15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  <c r="Y571" s="158"/>
      <c r="Z571" s="158"/>
    </row>
    <row r="572" spans="1:26" ht="15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  <c r="Y572" s="158"/>
      <c r="Z572" s="158"/>
    </row>
    <row r="573" spans="1:26" ht="15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  <c r="Y573" s="158"/>
      <c r="Z573" s="158"/>
    </row>
    <row r="574" spans="1:26" ht="15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  <c r="Y574" s="158"/>
      <c r="Z574" s="158"/>
    </row>
    <row r="575" spans="1:26" ht="15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  <c r="Y575" s="158"/>
      <c r="Z575" s="158"/>
    </row>
    <row r="576" spans="1:26" ht="15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  <c r="Y576" s="158"/>
      <c r="Z576" s="158"/>
    </row>
    <row r="577" spans="1:26" ht="15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158"/>
      <c r="Z577" s="158"/>
    </row>
    <row r="578" spans="1:26" ht="15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158"/>
      <c r="Z578" s="158"/>
    </row>
    <row r="579" spans="1:26" ht="15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  <c r="Y579" s="158"/>
      <c r="Z579" s="158"/>
    </row>
    <row r="580" spans="1:26" ht="15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  <c r="Y580" s="158"/>
      <c r="Z580" s="158"/>
    </row>
    <row r="581" spans="1:26" ht="15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  <c r="Y581" s="158"/>
      <c r="Z581" s="158"/>
    </row>
    <row r="582" spans="1:26" ht="15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  <c r="Y582" s="158"/>
      <c r="Z582" s="158"/>
    </row>
    <row r="583" spans="1:26" ht="15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  <c r="Y583" s="158"/>
      <c r="Z583" s="158"/>
    </row>
    <row r="584" spans="1:26" ht="15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  <c r="Y584" s="158"/>
      <c r="Z584" s="158"/>
    </row>
    <row r="585" spans="1:26" ht="15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  <c r="Y585" s="158"/>
      <c r="Z585" s="158"/>
    </row>
    <row r="586" spans="1:26" ht="15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  <c r="Y586" s="158"/>
      <c r="Z586" s="158"/>
    </row>
    <row r="587" spans="1:26" ht="15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  <c r="Y587" s="158"/>
      <c r="Z587" s="158"/>
    </row>
    <row r="588" spans="1:26" ht="15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  <c r="Y588" s="158"/>
      <c r="Z588" s="158"/>
    </row>
    <row r="589" spans="1:26" ht="15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  <c r="Y589" s="158"/>
      <c r="Z589" s="158"/>
    </row>
    <row r="590" spans="1:26" ht="15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  <c r="Y590" s="158"/>
      <c r="Z590" s="158"/>
    </row>
    <row r="591" spans="1:26" ht="15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  <c r="Y591" s="158"/>
      <c r="Z591" s="158"/>
    </row>
    <row r="592" spans="1:26" ht="15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  <c r="Y592" s="158"/>
      <c r="Z592" s="158"/>
    </row>
    <row r="593" spans="1:26" ht="15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  <c r="Y593" s="158"/>
      <c r="Z593" s="158"/>
    </row>
    <row r="594" spans="1:26" ht="15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  <c r="Y594" s="158"/>
      <c r="Z594" s="158"/>
    </row>
    <row r="595" spans="1:26" ht="15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  <c r="Y595" s="158"/>
      <c r="Z595" s="158"/>
    </row>
    <row r="596" spans="1:26" ht="15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  <c r="Y596" s="158"/>
      <c r="Z596" s="158"/>
    </row>
    <row r="597" spans="1:26" ht="15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  <c r="Y597" s="158"/>
      <c r="Z597" s="158"/>
    </row>
    <row r="598" spans="1:26" ht="15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  <c r="Y598" s="158"/>
      <c r="Z598" s="158"/>
    </row>
    <row r="599" spans="1:26" ht="15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  <c r="Y599" s="158"/>
      <c r="Z599" s="158"/>
    </row>
    <row r="600" spans="1:26" ht="15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  <c r="Y600" s="158"/>
      <c r="Z600" s="158"/>
    </row>
    <row r="601" spans="1:26" ht="15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  <c r="Y601" s="158"/>
      <c r="Z601" s="158"/>
    </row>
    <row r="602" spans="1:26" ht="15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158"/>
      <c r="Z602" s="158"/>
    </row>
    <row r="603" spans="1:26" ht="15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  <c r="Y603" s="158"/>
      <c r="Z603" s="158"/>
    </row>
    <row r="604" spans="1:26" ht="15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  <c r="Y604" s="158"/>
      <c r="Z604" s="158"/>
    </row>
    <row r="605" spans="1:26" ht="15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158"/>
      <c r="Z605" s="158"/>
    </row>
    <row r="606" spans="1:26" ht="15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  <c r="Y606" s="158"/>
      <c r="Z606" s="158"/>
    </row>
    <row r="607" spans="1:26" ht="15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  <c r="Y607" s="158"/>
      <c r="Z607" s="158"/>
    </row>
    <row r="608" spans="1:26" ht="15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  <c r="Y608" s="158"/>
      <c r="Z608" s="158"/>
    </row>
    <row r="609" spans="1:26" ht="15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  <c r="Y609" s="158"/>
      <c r="Z609" s="158"/>
    </row>
    <row r="610" spans="1:26" ht="15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  <c r="Y610" s="158"/>
      <c r="Z610" s="158"/>
    </row>
    <row r="611" spans="1:26" ht="15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  <c r="Y611" s="158"/>
      <c r="Z611" s="158"/>
    </row>
    <row r="612" spans="1:26" ht="15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  <c r="Y612" s="158"/>
      <c r="Z612" s="158"/>
    </row>
    <row r="613" spans="1:26" ht="15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  <c r="Y613" s="158"/>
      <c r="Z613" s="158"/>
    </row>
    <row r="614" spans="1:26" ht="15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  <c r="Y614" s="158"/>
      <c r="Z614" s="158"/>
    </row>
    <row r="615" spans="1:26" ht="15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  <c r="Y615" s="158"/>
      <c r="Z615" s="158"/>
    </row>
    <row r="616" spans="1:26" ht="15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  <c r="Y616" s="158"/>
      <c r="Z616" s="158"/>
    </row>
    <row r="617" spans="1:26" ht="15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  <c r="Y617" s="158"/>
      <c r="Z617" s="158"/>
    </row>
    <row r="618" spans="1:26" ht="15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  <c r="Y618" s="158"/>
      <c r="Z618" s="158"/>
    </row>
    <row r="619" spans="1:26" ht="15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  <c r="Y619" s="158"/>
      <c r="Z619" s="158"/>
    </row>
    <row r="620" spans="1:26" ht="15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  <c r="Y620" s="158"/>
      <c r="Z620" s="158"/>
    </row>
    <row r="621" spans="1:26" ht="15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  <c r="Y621" s="158"/>
      <c r="Z621" s="158"/>
    </row>
    <row r="622" spans="1:26" ht="15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  <c r="Y622" s="158"/>
      <c r="Z622" s="158"/>
    </row>
    <row r="623" spans="1:26" ht="15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  <c r="Y623" s="158"/>
      <c r="Z623" s="158"/>
    </row>
    <row r="624" spans="1:26" ht="15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  <c r="Y624" s="158"/>
      <c r="Z624" s="158"/>
    </row>
    <row r="625" spans="1:26" ht="15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  <c r="Y625" s="158"/>
      <c r="Z625" s="158"/>
    </row>
    <row r="626" spans="1:26" ht="15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  <c r="Y626" s="158"/>
      <c r="Z626" s="158"/>
    </row>
    <row r="627" spans="1:26" ht="15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  <c r="Y627" s="158"/>
      <c r="Z627" s="158"/>
    </row>
    <row r="628" spans="1:26" ht="15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  <c r="Y628" s="158"/>
      <c r="Z628" s="158"/>
    </row>
    <row r="629" spans="1:26" ht="15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  <c r="Y629" s="158"/>
      <c r="Z629" s="158"/>
    </row>
    <row r="630" spans="1:26" ht="15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  <c r="Y630" s="158"/>
      <c r="Z630" s="158"/>
    </row>
    <row r="631" spans="1:26" ht="15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  <c r="Y631" s="158"/>
      <c r="Z631" s="158"/>
    </row>
    <row r="632" spans="1:26" ht="15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  <c r="Y632" s="158"/>
      <c r="Z632" s="158"/>
    </row>
    <row r="633" spans="1:26" ht="15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  <c r="Y633" s="158"/>
      <c r="Z633" s="158"/>
    </row>
    <row r="634" spans="1:26" ht="15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  <c r="Y634" s="158"/>
      <c r="Z634" s="158"/>
    </row>
    <row r="635" spans="1:26" ht="15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  <c r="Y635" s="158"/>
      <c r="Z635" s="158"/>
    </row>
    <row r="636" spans="1:26" ht="15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  <c r="Y636" s="158"/>
      <c r="Z636" s="158"/>
    </row>
    <row r="637" spans="1:26" ht="15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  <c r="Y637" s="158"/>
      <c r="Z637" s="158"/>
    </row>
    <row r="638" spans="1:26" ht="15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  <c r="Y638" s="158"/>
      <c r="Z638" s="158"/>
    </row>
    <row r="639" spans="1:26" ht="15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  <c r="Y639" s="158"/>
      <c r="Z639" s="158"/>
    </row>
    <row r="640" spans="1:26" ht="15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  <c r="Y640" s="158"/>
      <c r="Z640" s="158"/>
    </row>
    <row r="641" spans="1:26" ht="15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158"/>
      <c r="Z641" s="158"/>
    </row>
    <row r="642" spans="1:26" ht="15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  <c r="Y642" s="158"/>
      <c r="Z642" s="158"/>
    </row>
    <row r="643" spans="1:26" ht="15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  <c r="Y643" s="158"/>
      <c r="Z643" s="158"/>
    </row>
    <row r="644" spans="1:26" ht="15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  <c r="Y644" s="158"/>
      <c r="Z644" s="158"/>
    </row>
    <row r="645" spans="1:26" ht="15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  <c r="Y645" s="158"/>
      <c r="Z645" s="158"/>
    </row>
    <row r="646" spans="1:26" ht="15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  <c r="Y646" s="158"/>
      <c r="Z646" s="158"/>
    </row>
    <row r="647" spans="1:26" ht="15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  <c r="Y647" s="158"/>
      <c r="Z647" s="158"/>
    </row>
    <row r="648" spans="1:26" ht="15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  <c r="Y648" s="158"/>
      <c r="Z648" s="158"/>
    </row>
    <row r="649" spans="1:26" ht="15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158"/>
      <c r="Z649" s="158"/>
    </row>
    <row r="650" spans="1:26" ht="15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158"/>
      <c r="Z650" s="158"/>
    </row>
    <row r="651" spans="1:26" ht="15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158"/>
      <c r="Z651" s="158"/>
    </row>
    <row r="652" spans="1:26" ht="15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158"/>
      <c r="Z652" s="158"/>
    </row>
    <row r="653" spans="1:26" ht="15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158"/>
      <c r="Z653" s="158"/>
    </row>
    <row r="654" spans="1:26" ht="15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158"/>
      <c r="Z654" s="158"/>
    </row>
    <row r="655" spans="1:26" ht="15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  <c r="Y655" s="158"/>
      <c r="Z655" s="158"/>
    </row>
    <row r="656" spans="1:26" ht="15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158"/>
      <c r="Z656" s="158"/>
    </row>
    <row r="657" spans="1:26" ht="15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158"/>
      <c r="Z657" s="158"/>
    </row>
    <row r="658" spans="1:26" ht="15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158"/>
      <c r="Z658" s="158"/>
    </row>
    <row r="659" spans="1:26" ht="15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158"/>
      <c r="Z659" s="158"/>
    </row>
    <row r="660" spans="1:26" ht="15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158"/>
      <c r="Z660" s="158"/>
    </row>
    <row r="661" spans="1:26" ht="15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158"/>
      <c r="Z661" s="158"/>
    </row>
    <row r="662" spans="1:26" ht="15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158"/>
      <c r="Z662" s="158"/>
    </row>
    <row r="663" spans="1:26" ht="15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158"/>
      <c r="Z663" s="158"/>
    </row>
    <row r="664" spans="1:26" ht="15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  <c r="Y664" s="158"/>
      <c r="Z664" s="158"/>
    </row>
    <row r="665" spans="1:26" ht="15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  <c r="Y665" s="158"/>
      <c r="Z665" s="158"/>
    </row>
    <row r="666" spans="1:26" ht="15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  <c r="Y666" s="158"/>
      <c r="Z666" s="158"/>
    </row>
    <row r="667" spans="1:26" ht="15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158"/>
      <c r="Z667" s="158"/>
    </row>
    <row r="668" spans="1:26" ht="15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  <c r="Y668" s="158"/>
      <c r="Z668" s="158"/>
    </row>
    <row r="669" spans="1:26" ht="15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  <c r="Y669" s="158"/>
      <c r="Z669" s="158"/>
    </row>
    <row r="670" spans="1:26" ht="15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158"/>
      <c r="Z670" s="158"/>
    </row>
    <row r="671" spans="1:26" ht="15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158"/>
      <c r="Z671" s="158"/>
    </row>
    <row r="672" spans="1:26" ht="15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  <c r="Y672" s="158"/>
      <c r="Z672" s="158"/>
    </row>
    <row r="673" spans="1:26" ht="15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  <c r="Y673" s="158"/>
      <c r="Z673" s="158"/>
    </row>
    <row r="674" spans="1:26" ht="15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  <c r="Y674" s="158"/>
      <c r="Z674" s="158"/>
    </row>
    <row r="675" spans="1:26" ht="15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  <c r="Y675" s="158"/>
      <c r="Z675" s="158"/>
    </row>
    <row r="676" spans="1:26" ht="15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  <c r="Y676" s="158"/>
      <c r="Z676" s="158"/>
    </row>
    <row r="677" spans="1:26" ht="15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  <c r="Y677" s="158"/>
      <c r="Z677" s="158"/>
    </row>
    <row r="678" spans="1:26" ht="15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  <c r="Y678" s="158"/>
      <c r="Z678" s="158"/>
    </row>
    <row r="679" spans="1:26" ht="15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  <c r="Y679" s="158"/>
      <c r="Z679" s="158"/>
    </row>
    <row r="680" spans="1:26" ht="15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  <c r="Y680" s="158"/>
      <c r="Z680" s="158"/>
    </row>
    <row r="681" spans="1:26" ht="15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  <c r="Y681" s="158"/>
      <c r="Z681" s="158"/>
    </row>
    <row r="682" spans="1:26" ht="15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  <c r="Y682" s="158"/>
      <c r="Z682" s="158"/>
    </row>
    <row r="683" spans="1:26" ht="15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  <c r="Y683" s="158"/>
      <c r="Z683" s="158"/>
    </row>
    <row r="684" spans="1:26" ht="15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  <c r="Y684" s="158"/>
      <c r="Z684" s="158"/>
    </row>
    <row r="685" spans="1:26" ht="15.75" customHeight="1">
      <c r="A685" s="305"/>
      <c r="B685" s="305"/>
      <c r="C685" s="305"/>
      <c r="D685" s="305"/>
      <c r="E685" s="305"/>
      <c r="F685" s="305"/>
      <c r="G685" s="305"/>
      <c r="H685" s="305"/>
      <c r="I685" s="305"/>
      <c r="J685" s="305"/>
      <c r="K685" s="305"/>
      <c r="L685" s="305"/>
      <c r="M685" s="305"/>
      <c r="N685" s="305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  <c r="Y685" s="158"/>
      <c r="Z685" s="158"/>
    </row>
    <row r="686" spans="1:26" ht="15.75" customHeight="1">
      <c r="A686" s="305"/>
      <c r="B686" s="305"/>
      <c r="C686" s="305"/>
      <c r="D686" s="305"/>
      <c r="E686" s="305"/>
      <c r="F686" s="305"/>
      <c r="G686" s="305"/>
      <c r="H686" s="305"/>
      <c r="I686" s="305"/>
      <c r="J686" s="305"/>
      <c r="K686" s="305"/>
      <c r="L686" s="305"/>
      <c r="M686" s="305"/>
      <c r="N686" s="305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  <c r="Y686" s="158"/>
      <c r="Z686" s="158"/>
    </row>
    <row r="687" spans="1:26" ht="15.75" customHeight="1">
      <c r="A687" s="305"/>
      <c r="B687" s="305"/>
      <c r="C687" s="305"/>
      <c r="D687" s="305"/>
      <c r="E687" s="305"/>
      <c r="F687" s="305"/>
      <c r="G687" s="305"/>
      <c r="H687" s="305"/>
      <c r="I687" s="305"/>
      <c r="J687" s="305"/>
      <c r="K687" s="305"/>
      <c r="L687" s="305"/>
      <c r="M687" s="305"/>
      <c r="N687" s="305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  <c r="Y687" s="158"/>
      <c r="Z687" s="158"/>
    </row>
    <row r="688" spans="1:26" ht="15.75" customHeight="1">
      <c r="A688" s="305"/>
      <c r="B688" s="305"/>
      <c r="C688" s="305"/>
      <c r="D688" s="305"/>
      <c r="E688" s="305"/>
      <c r="F688" s="305"/>
      <c r="G688" s="305"/>
      <c r="H688" s="305"/>
      <c r="I688" s="305"/>
      <c r="J688" s="305"/>
      <c r="K688" s="305"/>
      <c r="L688" s="305"/>
      <c r="M688" s="305"/>
      <c r="N688" s="305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  <c r="Y688" s="158"/>
      <c r="Z688" s="158"/>
    </row>
    <row r="689" spans="1:26" ht="15.75" customHeight="1">
      <c r="A689" s="305"/>
      <c r="B689" s="305"/>
      <c r="C689" s="305"/>
      <c r="D689" s="305"/>
      <c r="E689" s="305"/>
      <c r="F689" s="305"/>
      <c r="G689" s="305"/>
      <c r="H689" s="305"/>
      <c r="I689" s="305"/>
      <c r="J689" s="305"/>
      <c r="K689" s="305"/>
      <c r="L689" s="305"/>
      <c r="M689" s="305"/>
      <c r="N689" s="305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  <c r="Y689" s="158"/>
      <c r="Z689" s="158"/>
    </row>
    <row r="690" spans="1:26" ht="15.75" customHeight="1">
      <c r="A690" s="305"/>
      <c r="B690" s="305"/>
      <c r="C690" s="305"/>
      <c r="D690" s="305"/>
      <c r="E690" s="305"/>
      <c r="F690" s="305"/>
      <c r="G690" s="305"/>
      <c r="H690" s="305"/>
      <c r="I690" s="305"/>
      <c r="J690" s="305"/>
      <c r="K690" s="305"/>
      <c r="L690" s="305"/>
      <c r="M690" s="305"/>
      <c r="N690" s="305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  <c r="Y690" s="158"/>
      <c r="Z690" s="158"/>
    </row>
    <row r="691" spans="1:26" ht="15.75" customHeight="1">
      <c r="A691" s="305"/>
      <c r="B691" s="305"/>
      <c r="C691" s="305"/>
      <c r="D691" s="305"/>
      <c r="E691" s="305"/>
      <c r="F691" s="305"/>
      <c r="G691" s="305"/>
      <c r="H691" s="305"/>
      <c r="I691" s="305"/>
      <c r="J691" s="305"/>
      <c r="K691" s="305"/>
      <c r="L691" s="305"/>
      <c r="M691" s="305"/>
      <c r="N691" s="305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  <c r="Y691" s="158"/>
      <c r="Z691" s="158"/>
    </row>
    <row r="692" spans="1:26" ht="15.75" customHeight="1">
      <c r="A692" s="305"/>
      <c r="B692" s="305"/>
      <c r="C692" s="305"/>
      <c r="D692" s="305"/>
      <c r="E692" s="305"/>
      <c r="F692" s="305"/>
      <c r="G692" s="305"/>
      <c r="H692" s="305"/>
      <c r="I692" s="305"/>
      <c r="J692" s="305"/>
      <c r="K692" s="305"/>
      <c r="L692" s="305"/>
      <c r="M692" s="305"/>
      <c r="N692" s="305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  <c r="Y692" s="158"/>
      <c r="Z692" s="158"/>
    </row>
    <row r="693" spans="1:26" ht="15.75" customHeight="1">
      <c r="A693" s="305"/>
      <c r="B693" s="305"/>
      <c r="C693" s="305"/>
      <c r="D693" s="305"/>
      <c r="E693" s="305"/>
      <c r="F693" s="305"/>
      <c r="G693" s="305"/>
      <c r="H693" s="305"/>
      <c r="I693" s="305"/>
      <c r="J693" s="305"/>
      <c r="K693" s="305"/>
      <c r="L693" s="305"/>
      <c r="M693" s="305"/>
      <c r="N693" s="305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  <c r="Y693" s="158"/>
      <c r="Z693" s="158"/>
    </row>
    <row r="694" spans="1:26" ht="15.75" customHeight="1">
      <c r="A694" s="305"/>
      <c r="B694" s="305"/>
      <c r="C694" s="305"/>
      <c r="D694" s="305"/>
      <c r="E694" s="305"/>
      <c r="F694" s="305"/>
      <c r="G694" s="305"/>
      <c r="H694" s="305"/>
      <c r="I694" s="305"/>
      <c r="J694" s="305"/>
      <c r="K694" s="305"/>
      <c r="L694" s="305"/>
      <c r="M694" s="305"/>
      <c r="N694" s="305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  <c r="Y694" s="158"/>
      <c r="Z694" s="158"/>
    </row>
    <row r="695" spans="1:26" ht="15.75" customHeight="1">
      <c r="A695" s="305"/>
      <c r="B695" s="305"/>
      <c r="C695" s="305"/>
      <c r="D695" s="305"/>
      <c r="E695" s="305"/>
      <c r="F695" s="305"/>
      <c r="G695" s="305"/>
      <c r="H695" s="305"/>
      <c r="I695" s="305"/>
      <c r="J695" s="305"/>
      <c r="K695" s="305"/>
      <c r="L695" s="305"/>
      <c r="M695" s="305"/>
      <c r="N695" s="305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  <c r="Y695" s="158"/>
      <c r="Z695" s="158"/>
    </row>
    <row r="696" spans="1:26" ht="15.75" customHeight="1">
      <c r="A696" s="305"/>
      <c r="B696" s="305"/>
      <c r="C696" s="305"/>
      <c r="D696" s="305"/>
      <c r="E696" s="305"/>
      <c r="F696" s="305"/>
      <c r="G696" s="305"/>
      <c r="H696" s="305"/>
      <c r="I696" s="305"/>
      <c r="J696" s="305"/>
      <c r="K696" s="305"/>
      <c r="L696" s="305"/>
      <c r="M696" s="305"/>
      <c r="N696" s="305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  <c r="Y696" s="158"/>
      <c r="Z696" s="158"/>
    </row>
    <row r="697" spans="1:26" ht="15.75" customHeight="1">
      <c r="A697" s="305"/>
      <c r="B697" s="305"/>
      <c r="C697" s="305"/>
      <c r="D697" s="305"/>
      <c r="E697" s="305"/>
      <c r="F697" s="305"/>
      <c r="G697" s="305"/>
      <c r="H697" s="305"/>
      <c r="I697" s="305"/>
      <c r="J697" s="305"/>
      <c r="K697" s="305"/>
      <c r="L697" s="305"/>
      <c r="M697" s="305"/>
      <c r="N697" s="305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  <c r="Y697" s="158"/>
      <c r="Z697" s="158"/>
    </row>
    <row r="698" spans="1:26" ht="15.75" customHeight="1">
      <c r="A698" s="305"/>
      <c r="B698" s="305"/>
      <c r="C698" s="305"/>
      <c r="D698" s="305"/>
      <c r="E698" s="305"/>
      <c r="F698" s="305"/>
      <c r="G698" s="305"/>
      <c r="H698" s="305"/>
      <c r="I698" s="305"/>
      <c r="J698" s="305"/>
      <c r="K698" s="305"/>
      <c r="L698" s="305"/>
      <c r="M698" s="305"/>
      <c r="N698" s="305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  <c r="Y698" s="158"/>
      <c r="Z698" s="158"/>
    </row>
    <row r="699" spans="1:26" ht="15.75" customHeight="1">
      <c r="A699" s="305"/>
      <c r="B699" s="305"/>
      <c r="C699" s="305"/>
      <c r="D699" s="305"/>
      <c r="E699" s="305"/>
      <c r="F699" s="305"/>
      <c r="G699" s="305"/>
      <c r="H699" s="305"/>
      <c r="I699" s="305"/>
      <c r="J699" s="305"/>
      <c r="K699" s="305"/>
      <c r="L699" s="305"/>
      <c r="M699" s="305"/>
      <c r="N699" s="305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  <c r="Y699" s="158"/>
      <c r="Z699" s="158"/>
    </row>
    <row r="700" spans="1:26" ht="15.75" customHeight="1">
      <c r="A700" s="305"/>
      <c r="B700" s="305"/>
      <c r="C700" s="305"/>
      <c r="D700" s="305"/>
      <c r="E700" s="305"/>
      <c r="F700" s="305"/>
      <c r="G700" s="305"/>
      <c r="H700" s="305"/>
      <c r="I700" s="305"/>
      <c r="J700" s="305"/>
      <c r="K700" s="305"/>
      <c r="L700" s="305"/>
      <c r="M700" s="305"/>
      <c r="N700" s="305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  <c r="Y700" s="158"/>
      <c r="Z700" s="158"/>
    </row>
    <row r="701" spans="1:26" ht="15.75" customHeight="1">
      <c r="A701" s="305"/>
      <c r="B701" s="305"/>
      <c r="C701" s="305"/>
      <c r="D701" s="305"/>
      <c r="E701" s="305"/>
      <c r="F701" s="305"/>
      <c r="G701" s="305"/>
      <c r="H701" s="305"/>
      <c r="I701" s="305"/>
      <c r="J701" s="305"/>
      <c r="K701" s="305"/>
      <c r="L701" s="305"/>
      <c r="M701" s="305"/>
      <c r="N701" s="305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  <c r="Y701" s="158"/>
      <c r="Z701" s="158"/>
    </row>
    <row r="702" spans="1:26" ht="15.75" customHeight="1">
      <c r="A702" s="305"/>
      <c r="B702" s="305"/>
      <c r="C702" s="305"/>
      <c r="D702" s="305"/>
      <c r="E702" s="305"/>
      <c r="F702" s="305"/>
      <c r="G702" s="305"/>
      <c r="H702" s="305"/>
      <c r="I702" s="305"/>
      <c r="J702" s="305"/>
      <c r="K702" s="305"/>
      <c r="L702" s="305"/>
      <c r="M702" s="305"/>
      <c r="N702" s="305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  <c r="Y702" s="158"/>
      <c r="Z702" s="158"/>
    </row>
    <row r="703" spans="1:26" ht="15.75" customHeight="1">
      <c r="A703" s="305"/>
      <c r="B703" s="305"/>
      <c r="C703" s="305"/>
      <c r="D703" s="305"/>
      <c r="E703" s="305"/>
      <c r="F703" s="305"/>
      <c r="G703" s="305"/>
      <c r="H703" s="305"/>
      <c r="I703" s="305"/>
      <c r="J703" s="305"/>
      <c r="K703" s="305"/>
      <c r="L703" s="305"/>
      <c r="M703" s="305"/>
      <c r="N703" s="305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  <c r="Y703" s="158"/>
      <c r="Z703" s="158"/>
    </row>
    <row r="704" spans="1:26" ht="15.75" customHeight="1">
      <c r="A704" s="305"/>
      <c r="B704" s="305"/>
      <c r="C704" s="305"/>
      <c r="D704" s="305"/>
      <c r="E704" s="305"/>
      <c r="F704" s="305"/>
      <c r="G704" s="305"/>
      <c r="H704" s="305"/>
      <c r="I704" s="305"/>
      <c r="J704" s="305"/>
      <c r="K704" s="305"/>
      <c r="L704" s="305"/>
      <c r="M704" s="305"/>
      <c r="N704" s="305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  <c r="Y704" s="158"/>
      <c r="Z704" s="158"/>
    </row>
    <row r="705" spans="1:26" ht="15.75" customHeight="1">
      <c r="A705" s="305"/>
      <c r="B705" s="305"/>
      <c r="C705" s="305"/>
      <c r="D705" s="305"/>
      <c r="E705" s="305"/>
      <c r="F705" s="305"/>
      <c r="G705" s="305"/>
      <c r="H705" s="305"/>
      <c r="I705" s="305"/>
      <c r="J705" s="305"/>
      <c r="K705" s="305"/>
      <c r="L705" s="305"/>
      <c r="M705" s="305"/>
      <c r="N705" s="305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  <c r="Y705" s="158"/>
      <c r="Z705" s="158"/>
    </row>
    <row r="706" spans="1:26" ht="15.75" customHeight="1">
      <c r="A706" s="305"/>
      <c r="B706" s="305"/>
      <c r="C706" s="305"/>
      <c r="D706" s="305"/>
      <c r="E706" s="305"/>
      <c r="F706" s="305"/>
      <c r="G706" s="305"/>
      <c r="H706" s="305"/>
      <c r="I706" s="305"/>
      <c r="J706" s="305"/>
      <c r="K706" s="305"/>
      <c r="L706" s="305"/>
      <c r="M706" s="305"/>
      <c r="N706" s="305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  <c r="Y706" s="158"/>
      <c r="Z706" s="158"/>
    </row>
    <row r="707" spans="1:26" ht="15.75" customHeight="1">
      <c r="A707" s="305"/>
      <c r="B707" s="305"/>
      <c r="C707" s="305"/>
      <c r="D707" s="305"/>
      <c r="E707" s="305"/>
      <c r="F707" s="305"/>
      <c r="G707" s="305"/>
      <c r="H707" s="305"/>
      <c r="I707" s="305"/>
      <c r="J707" s="305"/>
      <c r="K707" s="305"/>
      <c r="L707" s="305"/>
      <c r="M707" s="305"/>
      <c r="N707" s="305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  <c r="Y707" s="158"/>
      <c r="Z707" s="158"/>
    </row>
    <row r="708" spans="1:26" ht="15.75" customHeight="1">
      <c r="A708" s="305"/>
      <c r="B708" s="305"/>
      <c r="C708" s="305"/>
      <c r="D708" s="305"/>
      <c r="E708" s="305"/>
      <c r="F708" s="305"/>
      <c r="G708" s="305"/>
      <c r="H708" s="305"/>
      <c r="I708" s="305"/>
      <c r="J708" s="305"/>
      <c r="K708" s="305"/>
      <c r="L708" s="305"/>
      <c r="M708" s="305"/>
      <c r="N708" s="305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  <c r="Y708" s="158"/>
      <c r="Z708" s="158"/>
    </row>
    <row r="709" spans="1:26" ht="15.75" customHeight="1">
      <c r="A709" s="305"/>
      <c r="B709" s="305"/>
      <c r="C709" s="305"/>
      <c r="D709" s="305"/>
      <c r="E709" s="305"/>
      <c r="F709" s="305"/>
      <c r="G709" s="305"/>
      <c r="H709" s="305"/>
      <c r="I709" s="305"/>
      <c r="J709" s="305"/>
      <c r="K709" s="305"/>
      <c r="L709" s="305"/>
      <c r="M709" s="305"/>
      <c r="N709" s="305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  <c r="Y709" s="158"/>
      <c r="Z709" s="158"/>
    </row>
    <row r="710" spans="1:26" ht="15.75" customHeight="1">
      <c r="A710" s="305"/>
      <c r="B710" s="305"/>
      <c r="C710" s="305"/>
      <c r="D710" s="305"/>
      <c r="E710" s="305"/>
      <c r="F710" s="305"/>
      <c r="G710" s="305"/>
      <c r="H710" s="305"/>
      <c r="I710" s="305"/>
      <c r="J710" s="305"/>
      <c r="K710" s="305"/>
      <c r="L710" s="305"/>
      <c r="M710" s="305"/>
      <c r="N710" s="305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  <c r="Y710" s="158"/>
      <c r="Z710" s="158"/>
    </row>
    <row r="711" spans="1:26" ht="15.75" customHeight="1">
      <c r="A711" s="305"/>
      <c r="B711" s="305"/>
      <c r="C711" s="305"/>
      <c r="D711" s="305"/>
      <c r="E711" s="305"/>
      <c r="F711" s="305"/>
      <c r="G711" s="305"/>
      <c r="H711" s="305"/>
      <c r="I711" s="305"/>
      <c r="J711" s="305"/>
      <c r="K711" s="305"/>
      <c r="L711" s="305"/>
      <c r="M711" s="305"/>
      <c r="N711" s="305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  <c r="Y711" s="158"/>
      <c r="Z711" s="158"/>
    </row>
    <row r="712" spans="1:26" ht="15.75" customHeight="1">
      <c r="A712" s="305"/>
      <c r="B712" s="305"/>
      <c r="C712" s="305"/>
      <c r="D712" s="305"/>
      <c r="E712" s="305"/>
      <c r="F712" s="305"/>
      <c r="G712" s="305"/>
      <c r="H712" s="305"/>
      <c r="I712" s="305"/>
      <c r="J712" s="305"/>
      <c r="K712" s="305"/>
      <c r="L712" s="305"/>
      <c r="M712" s="305"/>
      <c r="N712" s="305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  <c r="Y712" s="158"/>
      <c r="Z712" s="158"/>
    </row>
    <row r="713" spans="1:26" ht="15.75" customHeight="1">
      <c r="A713" s="305"/>
      <c r="B713" s="305"/>
      <c r="C713" s="305"/>
      <c r="D713" s="305"/>
      <c r="E713" s="305"/>
      <c r="F713" s="305"/>
      <c r="G713" s="305"/>
      <c r="H713" s="305"/>
      <c r="I713" s="305"/>
      <c r="J713" s="305"/>
      <c r="K713" s="305"/>
      <c r="L713" s="305"/>
      <c r="M713" s="305"/>
      <c r="N713" s="305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  <c r="Y713" s="158"/>
      <c r="Z713" s="158"/>
    </row>
    <row r="714" spans="1:26" ht="15.75" customHeight="1">
      <c r="A714" s="305"/>
      <c r="B714" s="305"/>
      <c r="C714" s="305"/>
      <c r="D714" s="305"/>
      <c r="E714" s="305"/>
      <c r="F714" s="305"/>
      <c r="G714" s="305"/>
      <c r="H714" s="305"/>
      <c r="I714" s="305"/>
      <c r="J714" s="305"/>
      <c r="K714" s="305"/>
      <c r="L714" s="305"/>
      <c r="M714" s="305"/>
      <c r="N714" s="305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  <c r="Y714" s="158"/>
      <c r="Z714" s="158"/>
    </row>
    <row r="715" spans="1:26" ht="15.75" customHeight="1">
      <c r="A715" s="305"/>
      <c r="B715" s="305"/>
      <c r="C715" s="305"/>
      <c r="D715" s="305"/>
      <c r="E715" s="305"/>
      <c r="F715" s="305"/>
      <c r="G715" s="305"/>
      <c r="H715" s="305"/>
      <c r="I715" s="305"/>
      <c r="J715" s="305"/>
      <c r="K715" s="305"/>
      <c r="L715" s="305"/>
      <c r="M715" s="305"/>
      <c r="N715" s="305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  <c r="Y715" s="158"/>
      <c r="Z715" s="158"/>
    </row>
    <row r="716" spans="1:26" ht="15.75" customHeight="1">
      <c r="A716" s="305"/>
      <c r="B716" s="305"/>
      <c r="C716" s="305"/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  <c r="Y716" s="158"/>
      <c r="Z716" s="158"/>
    </row>
    <row r="717" spans="1:26" ht="15.75" customHeight="1">
      <c r="A717" s="305"/>
      <c r="B717" s="305"/>
      <c r="C717" s="305"/>
      <c r="D717" s="305"/>
      <c r="E717" s="305"/>
      <c r="F717" s="305"/>
      <c r="G717" s="305"/>
      <c r="H717" s="305"/>
      <c r="I717" s="305"/>
      <c r="J717" s="305"/>
      <c r="K717" s="305"/>
      <c r="L717" s="305"/>
      <c r="M717" s="305"/>
      <c r="N717" s="305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  <c r="Y717" s="158"/>
      <c r="Z717" s="158"/>
    </row>
    <row r="718" spans="1:26" ht="15.75" customHeight="1">
      <c r="A718" s="305"/>
      <c r="B718" s="305"/>
      <c r="C718" s="305"/>
      <c r="D718" s="305"/>
      <c r="E718" s="305"/>
      <c r="F718" s="305"/>
      <c r="G718" s="305"/>
      <c r="H718" s="305"/>
      <c r="I718" s="305"/>
      <c r="J718" s="305"/>
      <c r="K718" s="305"/>
      <c r="L718" s="305"/>
      <c r="M718" s="305"/>
      <c r="N718" s="305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  <c r="Y718" s="158"/>
      <c r="Z718" s="158"/>
    </row>
    <row r="719" spans="1:26" ht="15.75" customHeight="1">
      <c r="A719" s="305"/>
      <c r="B719" s="305"/>
      <c r="C719" s="305"/>
      <c r="D719" s="305"/>
      <c r="E719" s="305"/>
      <c r="F719" s="305"/>
      <c r="G719" s="305"/>
      <c r="H719" s="305"/>
      <c r="I719" s="305"/>
      <c r="J719" s="305"/>
      <c r="K719" s="305"/>
      <c r="L719" s="305"/>
      <c r="M719" s="305"/>
      <c r="N719" s="305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  <c r="Y719" s="158"/>
      <c r="Z719" s="158"/>
    </row>
    <row r="720" spans="1:26" ht="15.75" customHeight="1">
      <c r="A720" s="305"/>
      <c r="B720" s="305"/>
      <c r="C720" s="305"/>
      <c r="D720" s="305"/>
      <c r="E720" s="305"/>
      <c r="F720" s="305"/>
      <c r="G720" s="305"/>
      <c r="H720" s="305"/>
      <c r="I720" s="305"/>
      <c r="J720" s="305"/>
      <c r="K720" s="305"/>
      <c r="L720" s="305"/>
      <c r="M720" s="305"/>
      <c r="N720" s="305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  <c r="Y720" s="158"/>
      <c r="Z720" s="158"/>
    </row>
    <row r="721" spans="1:26" ht="15.75" customHeight="1">
      <c r="A721" s="305"/>
      <c r="B721" s="305"/>
      <c r="C721" s="305"/>
      <c r="D721" s="305"/>
      <c r="E721" s="305"/>
      <c r="F721" s="305"/>
      <c r="G721" s="305"/>
      <c r="H721" s="305"/>
      <c r="I721" s="305"/>
      <c r="J721" s="305"/>
      <c r="K721" s="305"/>
      <c r="L721" s="305"/>
      <c r="M721" s="305"/>
      <c r="N721" s="305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  <c r="Y721" s="158"/>
      <c r="Z721" s="158"/>
    </row>
    <row r="722" spans="1:26" ht="15.75" customHeight="1">
      <c r="A722" s="305"/>
      <c r="B722" s="305"/>
      <c r="C722" s="305"/>
      <c r="D722" s="305"/>
      <c r="E722" s="305"/>
      <c r="F722" s="305"/>
      <c r="G722" s="305"/>
      <c r="H722" s="305"/>
      <c r="I722" s="305"/>
      <c r="J722" s="305"/>
      <c r="K722" s="305"/>
      <c r="L722" s="305"/>
      <c r="M722" s="305"/>
      <c r="N722" s="305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  <c r="Y722" s="158"/>
      <c r="Z722" s="158"/>
    </row>
    <row r="723" spans="1:26" ht="15.75" customHeight="1">
      <c r="A723" s="305"/>
      <c r="B723" s="305"/>
      <c r="C723" s="305"/>
      <c r="D723" s="305"/>
      <c r="E723" s="305"/>
      <c r="F723" s="305"/>
      <c r="G723" s="305"/>
      <c r="H723" s="305"/>
      <c r="I723" s="305"/>
      <c r="J723" s="305"/>
      <c r="K723" s="305"/>
      <c r="L723" s="305"/>
      <c r="M723" s="305"/>
      <c r="N723" s="305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  <c r="Y723" s="158"/>
      <c r="Z723" s="158"/>
    </row>
    <row r="724" spans="1:26" ht="15.75" customHeight="1">
      <c r="A724" s="305"/>
      <c r="B724" s="305"/>
      <c r="C724" s="305"/>
      <c r="D724" s="305"/>
      <c r="E724" s="305"/>
      <c r="F724" s="305"/>
      <c r="G724" s="305"/>
      <c r="H724" s="305"/>
      <c r="I724" s="305"/>
      <c r="J724" s="305"/>
      <c r="K724" s="305"/>
      <c r="L724" s="305"/>
      <c r="M724" s="305"/>
      <c r="N724" s="305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  <c r="Y724" s="158"/>
      <c r="Z724" s="158"/>
    </row>
    <row r="725" spans="1:26" ht="15.75" customHeight="1">
      <c r="A725" s="305"/>
      <c r="B725" s="305"/>
      <c r="C725" s="305"/>
      <c r="D725" s="305"/>
      <c r="E725" s="305"/>
      <c r="F725" s="305"/>
      <c r="G725" s="305"/>
      <c r="H725" s="305"/>
      <c r="I725" s="305"/>
      <c r="J725" s="305"/>
      <c r="K725" s="305"/>
      <c r="L725" s="305"/>
      <c r="M725" s="305"/>
      <c r="N725" s="305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  <c r="Y725" s="158"/>
      <c r="Z725" s="158"/>
    </row>
    <row r="726" spans="1:26" ht="15.75" customHeight="1">
      <c r="A726" s="305"/>
      <c r="B726" s="305"/>
      <c r="C726" s="305"/>
      <c r="D726" s="305"/>
      <c r="E726" s="305"/>
      <c r="F726" s="305"/>
      <c r="G726" s="305"/>
      <c r="H726" s="305"/>
      <c r="I726" s="305"/>
      <c r="J726" s="305"/>
      <c r="K726" s="305"/>
      <c r="L726" s="305"/>
      <c r="M726" s="305"/>
      <c r="N726" s="305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  <c r="Y726" s="158"/>
      <c r="Z726" s="158"/>
    </row>
    <row r="727" spans="1:26" ht="15.75" customHeight="1">
      <c r="A727" s="305"/>
      <c r="B727" s="305"/>
      <c r="C727" s="305"/>
      <c r="D727" s="305"/>
      <c r="E727" s="305"/>
      <c r="F727" s="305"/>
      <c r="G727" s="305"/>
      <c r="H727" s="305"/>
      <c r="I727" s="305"/>
      <c r="J727" s="305"/>
      <c r="K727" s="305"/>
      <c r="L727" s="305"/>
      <c r="M727" s="305"/>
      <c r="N727" s="305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  <c r="Y727" s="158"/>
      <c r="Z727" s="158"/>
    </row>
    <row r="728" spans="1:26" ht="15.75" customHeight="1">
      <c r="A728" s="305"/>
      <c r="B728" s="305"/>
      <c r="C728" s="305"/>
      <c r="D728" s="305"/>
      <c r="E728" s="305"/>
      <c r="F728" s="305"/>
      <c r="G728" s="305"/>
      <c r="H728" s="305"/>
      <c r="I728" s="305"/>
      <c r="J728" s="305"/>
      <c r="K728" s="305"/>
      <c r="L728" s="305"/>
      <c r="M728" s="305"/>
      <c r="N728" s="305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  <c r="Y728" s="158"/>
      <c r="Z728" s="158"/>
    </row>
    <row r="729" spans="1:26" ht="15.75" customHeight="1">
      <c r="A729" s="305"/>
      <c r="B729" s="305"/>
      <c r="C729" s="305"/>
      <c r="D729" s="305"/>
      <c r="E729" s="305"/>
      <c r="F729" s="305"/>
      <c r="G729" s="305"/>
      <c r="H729" s="305"/>
      <c r="I729" s="305"/>
      <c r="J729" s="305"/>
      <c r="K729" s="305"/>
      <c r="L729" s="305"/>
      <c r="M729" s="305"/>
      <c r="N729" s="305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  <c r="Y729" s="158"/>
      <c r="Z729" s="158"/>
    </row>
    <row r="730" spans="1:26" ht="15.75" customHeight="1">
      <c r="A730" s="305"/>
      <c r="B730" s="305"/>
      <c r="C730" s="305"/>
      <c r="D730" s="305"/>
      <c r="E730" s="305"/>
      <c r="F730" s="305"/>
      <c r="G730" s="305"/>
      <c r="H730" s="305"/>
      <c r="I730" s="305"/>
      <c r="J730" s="305"/>
      <c r="K730" s="305"/>
      <c r="L730" s="305"/>
      <c r="M730" s="305"/>
      <c r="N730" s="305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  <c r="Y730" s="158"/>
      <c r="Z730" s="158"/>
    </row>
    <row r="731" spans="1:26" ht="15.75" customHeight="1">
      <c r="A731" s="305"/>
      <c r="B731" s="305"/>
      <c r="C731" s="305"/>
      <c r="D731" s="305"/>
      <c r="E731" s="305"/>
      <c r="F731" s="305"/>
      <c r="G731" s="305"/>
      <c r="H731" s="305"/>
      <c r="I731" s="305"/>
      <c r="J731" s="305"/>
      <c r="K731" s="305"/>
      <c r="L731" s="305"/>
      <c r="M731" s="305"/>
      <c r="N731" s="305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  <c r="Y731" s="158"/>
      <c r="Z731" s="158"/>
    </row>
    <row r="732" spans="1:26" ht="15.75" customHeight="1">
      <c r="A732" s="305"/>
      <c r="B732" s="305"/>
      <c r="C732" s="305"/>
      <c r="D732" s="305"/>
      <c r="E732" s="305"/>
      <c r="F732" s="305"/>
      <c r="G732" s="305"/>
      <c r="H732" s="305"/>
      <c r="I732" s="305"/>
      <c r="J732" s="305"/>
      <c r="K732" s="305"/>
      <c r="L732" s="305"/>
      <c r="M732" s="305"/>
      <c r="N732" s="305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  <c r="Y732" s="158"/>
      <c r="Z732" s="158"/>
    </row>
    <row r="733" spans="1:26" ht="15.75" customHeight="1">
      <c r="A733" s="305"/>
      <c r="B733" s="305"/>
      <c r="C733" s="305"/>
      <c r="D733" s="305"/>
      <c r="E733" s="305"/>
      <c r="F733" s="305"/>
      <c r="G733" s="305"/>
      <c r="H733" s="305"/>
      <c r="I733" s="305"/>
      <c r="J733" s="305"/>
      <c r="K733" s="305"/>
      <c r="L733" s="305"/>
      <c r="M733" s="305"/>
      <c r="N733" s="305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  <c r="Y733" s="158"/>
      <c r="Z733" s="158"/>
    </row>
    <row r="734" spans="1:26" ht="15.75" customHeight="1">
      <c r="A734" s="305"/>
      <c r="B734" s="305"/>
      <c r="C734" s="305"/>
      <c r="D734" s="305"/>
      <c r="E734" s="305"/>
      <c r="F734" s="305"/>
      <c r="G734" s="305"/>
      <c r="H734" s="305"/>
      <c r="I734" s="305"/>
      <c r="J734" s="305"/>
      <c r="K734" s="305"/>
      <c r="L734" s="305"/>
      <c r="M734" s="305"/>
      <c r="N734" s="305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  <c r="Y734" s="158"/>
      <c r="Z734" s="158"/>
    </row>
    <row r="735" spans="1:26" ht="15.75" customHeight="1">
      <c r="A735" s="305"/>
      <c r="B735" s="305"/>
      <c r="C735" s="305"/>
      <c r="D735" s="305"/>
      <c r="E735" s="305"/>
      <c r="F735" s="305"/>
      <c r="G735" s="305"/>
      <c r="H735" s="305"/>
      <c r="I735" s="305"/>
      <c r="J735" s="305"/>
      <c r="K735" s="305"/>
      <c r="L735" s="305"/>
      <c r="M735" s="305"/>
      <c r="N735" s="305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  <c r="Y735" s="158"/>
      <c r="Z735" s="158"/>
    </row>
    <row r="736" spans="1:26" ht="15.75" customHeight="1">
      <c r="A736" s="305"/>
      <c r="B736" s="305"/>
      <c r="C736" s="305"/>
      <c r="D736" s="305"/>
      <c r="E736" s="305"/>
      <c r="F736" s="305"/>
      <c r="G736" s="305"/>
      <c r="H736" s="305"/>
      <c r="I736" s="305"/>
      <c r="J736" s="305"/>
      <c r="K736" s="305"/>
      <c r="L736" s="305"/>
      <c r="M736" s="305"/>
      <c r="N736" s="305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  <c r="Y736" s="158"/>
      <c r="Z736" s="158"/>
    </row>
    <row r="737" spans="1:26" ht="15.75" customHeight="1">
      <c r="A737" s="305"/>
      <c r="B737" s="305"/>
      <c r="C737" s="305"/>
      <c r="D737" s="305"/>
      <c r="E737" s="305"/>
      <c r="F737" s="305"/>
      <c r="G737" s="305"/>
      <c r="H737" s="305"/>
      <c r="I737" s="305"/>
      <c r="J737" s="305"/>
      <c r="K737" s="305"/>
      <c r="L737" s="305"/>
      <c r="M737" s="305"/>
      <c r="N737" s="305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  <c r="Y737" s="158"/>
      <c r="Z737" s="158"/>
    </row>
    <row r="738" spans="1:26" ht="15.75" customHeight="1">
      <c r="A738" s="305"/>
      <c r="B738" s="305"/>
      <c r="C738" s="305"/>
      <c r="D738" s="305"/>
      <c r="E738" s="305"/>
      <c r="F738" s="305"/>
      <c r="G738" s="305"/>
      <c r="H738" s="305"/>
      <c r="I738" s="305"/>
      <c r="J738" s="305"/>
      <c r="K738" s="305"/>
      <c r="L738" s="305"/>
      <c r="M738" s="305"/>
      <c r="N738" s="305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  <c r="Y738" s="158"/>
      <c r="Z738" s="158"/>
    </row>
    <row r="739" spans="1:26" ht="15.75" customHeight="1">
      <c r="A739" s="305"/>
      <c r="B739" s="305"/>
      <c r="C739" s="305"/>
      <c r="D739" s="305"/>
      <c r="E739" s="305"/>
      <c r="F739" s="305"/>
      <c r="G739" s="305"/>
      <c r="H739" s="305"/>
      <c r="I739" s="305"/>
      <c r="J739" s="305"/>
      <c r="K739" s="305"/>
      <c r="L739" s="305"/>
      <c r="M739" s="305"/>
      <c r="N739" s="305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  <c r="Y739" s="158"/>
      <c r="Z739" s="158"/>
    </row>
    <row r="740" spans="1:26" ht="15.75" customHeight="1">
      <c r="A740" s="305"/>
      <c r="B740" s="305"/>
      <c r="C740" s="305"/>
      <c r="D740" s="305"/>
      <c r="E740" s="305"/>
      <c r="F740" s="305"/>
      <c r="G740" s="305"/>
      <c r="H740" s="305"/>
      <c r="I740" s="305"/>
      <c r="J740" s="305"/>
      <c r="K740" s="305"/>
      <c r="L740" s="305"/>
      <c r="M740" s="305"/>
      <c r="N740" s="305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  <c r="Y740" s="158"/>
      <c r="Z740" s="158"/>
    </row>
    <row r="741" spans="1:26" ht="15.75" customHeight="1">
      <c r="A741" s="305"/>
      <c r="B741" s="305"/>
      <c r="C741" s="305"/>
      <c r="D741" s="305"/>
      <c r="E741" s="305"/>
      <c r="F741" s="305"/>
      <c r="G741" s="305"/>
      <c r="H741" s="305"/>
      <c r="I741" s="305"/>
      <c r="J741" s="305"/>
      <c r="K741" s="305"/>
      <c r="L741" s="305"/>
      <c r="M741" s="305"/>
      <c r="N741" s="305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  <c r="Y741" s="158"/>
      <c r="Z741" s="158"/>
    </row>
    <row r="742" spans="1:26" ht="15.75" customHeight="1">
      <c r="A742" s="305"/>
      <c r="B742" s="305"/>
      <c r="C742" s="305"/>
      <c r="D742" s="305"/>
      <c r="E742" s="305"/>
      <c r="F742" s="305"/>
      <c r="G742" s="305"/>
      <c r="H742" s="305"/>
      <c r="I742" s="305"/>
      <c r="J742" s="305"/>
      <c r="K742" s="305"/>
      <c r="L742" s="305"/>
      <c r="M742" s="305"/>
      <c r="N742" s="305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  <c r="Y742" s="158"/>
      <c r="Z742" s="158"/>
    </row>
    <row r="743" spans="1:26" ht="15.75" customHeight="1">
      <c r="A743" s="305"/>
      <c r="B743" s="305"/>
      <c r="C743" s="305"/>
      <c r="D743" s="305"/>
      <c r="E743" s="305"/>
      <c r="F743" s="305"/>
      <c r="G743" s="305"/>
      <c r="H743" s="305"/>
      <c r="I743" s="305"/>
      <c r="J743" s="305"/>
      <c r="K743" s="305"/>
      <c r="L743" s="305"/>
      <c r="M743" s="305"/>
      <c r="N743" s="305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  <c r="Y743" s="158"/>
      <c r="Z743" s="158"/>
    </row>
    <row r="744" spans="1:26" ht="15.75" customHeight="1">
      <c r="A744" s="305"/>
      <c r="B744" s="305"/>
      <c r="C744" s="305"/>
      <c r="D744" s="305"/>
      <c r="E744" s="305"/>
      <c r="F744" s="305"/>
      <c r="G744" s="305"/>
      <c r="H744" s="305"/>
      <c r="I744" s="305"/>
      <c r="J744" s="305"/>
      <c r="K744" s="305"/>
      <c r="L744" s="305"/>
      <c r="M744" s="305"/>
      <c r="N744" s="305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  <c r="Y744" s="158"/>
      <c r="Z744" s="158"/>
    </row>
    <row r="745" spans="1:26" ht="15.75" customHeight="1">
      <c r="A745" s="305"/>
      <c r="B745" s="305"/>
      <c r="C745" s="305"/>
      <c r="D745" s="305"/>
      <c r="E745" s="305"/>
      <c r="F745" s="305"/>
      <c r="G745" s="305"/>
      <c r="H745" s="305"/>
      <c r="I745" s="305"/>
      <c r="J745" s="305"/>
      <c r="K745" s="305"/>
      <c r="L745" s="305"/>
      <c r="M745" s="305"/>
      <c r="N745" s="305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  <c r="Y745" s="158"/>
      <c r="Z745" s="158"/>
    </row>
    <row r="746" spans="1:26" ht="15.75" customHeight="1">
      <c r="A746" s="305"/>
      <c r="B746" s="305"/>
      <c r="C746" s="305"/>
      <c r="D746" s="305"/>
      <c r="E746" s="305"/>
      <c r="F746" s="305"/>
      <c r="G746" s="305"/>
      <c r="H746" s="305"/>
      <c r="I746" s="305"/>
      <c r="J746" s="305"/>
      <c r="K746" s="305"/>
      <c r="L746" s="305"/>
      <c r="M746" s="305"/>
      <c r="N746" s="305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  <c r="Y746" s="158"/>
      <c r="Z746" s="158"/>
    </row>
    <row r="747" spans="1:26" ht="15.75" customHeight="1">
      <c r="A747" s="305"/>
      <c r="B747" s="305"/>
      <c r="C747" s="305"/>
      <c r="D747" s="305"/>
      <c r="E747" s="305"/>
      <c r="F747" s="305"/>
      <c r="G747" s="305"/>
      <c r="H747" s="305"/>
      <c r="I747" s="305"/>
      <c r="J747" s="305"/>
      <c r="K747" s="305"/>
      <c r="L747" s="305"/>
      <c r="M747" s="305"/>
      <c r="N747" s="305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  <c r="Y747" s="158"/>
      <c r="Z747" s="158"/>
    </row>
    <row r="748" spans="1:26" ht="15.75" customHeight="1">
      <c r="A748" s="305"/>
      <c r="B748" s="305"/>
      <c r="C748" s="305"/>
      <c r="D748" s="305"/>
      <c r="E748" s="305"/>
      <c r="F748" s="305"/>
      <c r="G748" s="305"/>
      <c r="H748" s="305"/>
      <c r="I748" s="305"/>
      <c r="J748" s="305"/>
      <c r="K748" s="305"/>
      <c r="L748" s="305"/>
      <c r="M748" s="305"/>
      <c r="N748" s="305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  <c r="Y748" s="158"/>
      <c r="Z748" s="158"/>
    </row>
    <row r="749" spans="1:26" ht="15.75" customHeight="1">
      <c r="A749" s="305"/>
      <c r="B749" s="305"/>
      <c r="C749" s="305"/>
      <c r="D749" s="305"/>
      <c r="E749" s="305"/>
      <c r="F749" s="305"/>
      <c r="G749" s="305"/>
      <c r="H749" s="305"/>
      <c r="I749" s="305"/>
      <c r="J749" s="305"/>
      <c r="K749" s="305"/>
      <c r="L749" s="305"/>
      <c r="M749" s="305"/>
      <c r="N749" s="305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  <c r="Y749" s="158"/>
      <c r="Z749" s="158"/>
    </row>
    <row r="750" spans="1:26" ht="15.75" customHeight="1">
      <c r="A750" s="305"/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158"/>
      <c r="Z750" s="158"/>
    </row>
    <row r="751" spans="1:26" ht="15.75" customHeight="1">
      <c r="A751" s="305"/>
      <c r="B751" s="305"/>
      <c r="C751" s="305"/>
      <c r="D751" s="305"/>
      <c r="E751" s="305"/>
      <c r="F751" s="305"/>
      <c r="G751" s="305"/>
      <c r="H751" s="305"/>
      <c r="I751" s="305"/>
      <c r="J751" s="305"/>
      <c r="K751" s="305"/>
      <c r="L751" s="305"/>
      <c r="M751" s="305"/>
      <c r="N751" s="305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  <c r="Y751" s="158"/>
      <c r="Z751" s="158"/>
    </row>
    <row r="752" spans="1:26" ht="15.75" customHeight="1">
      <c r="A752" s="305"/>
      <c r="B752" s="305"/>
      <c r="C752" s="305"/>
      <c r="D752" s="305"/>
      <c r="E752" s="305"/>
      <c r="F752" s="305"/>
      <c r="G752" s="305"/>
      <c r="H752" s="305"/>
      <c r="I752" s="305"/>
      <c r="J752" s="305"/>
      <c r="K752" s="305"/>
      <c r="L752" s="305"/>
      <c r="M752" s="305"/>
      <c r="N752" s="305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  <c r="Y752" s="158"/>
      <c r="Z752" s="158"/>
    </row>
    <row r="753" spans="1:26" ht="15.75" customHeight="1">
      <c r="A753" s="305"/>
      <c r="B753" s="305"/>
      <c r="C753" s="305"/>
      <c r="D753" s="305"/>
      <c r="E753" s="305"/>
      <c r="F753" s="305"/>
      <c r="G753" s="305"/>
      <c r="H753" s="305"/>
      <c r="I753" s="305"/>
      <c r="J753" s="305"/>
      <c r="K753" s="305"/>
      <c r="L753" s="305"/>
      <c r="M753" s="305"/>
      <c r="N753" s="305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  <c r="Y753" s="158"/>
      <c r="Z753" s="158"/>
    </row>
    <row r="754" spans="1:26" ht="15.75" customHeight="1">
      <c r="A754" s="305"/>
      <c r="B754" s="305"/>
      <c r="C754" s="305"/>
      <c r="D754" s="305"/>
      <c r="E754" s="305"/>
      <c r="F754" s="305"/>
      <c r="G754" s="305"/>
      <c r="H754" s="305"/>
      <c r="I754" s="305"/>
      <c r="J754" s="305"/>
      <c r="K754" s="305"/>
      <c r="L754" s="305"/>
      <c r="M754" s="305"/>
      <c r="N754" s="305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  <c r="Y754" s="158"/>
      <c r="Z754" s="158"/>
    </row>
    <row r="755" spans="1:26" ht="15.75" customHeight="1">
      <c r="A755" s="305"/>
      <c r="B755" s="305"/>
      <c r="C755" s="305"/>
      <c r="D755" s="305"/>
      <c r="E755" s="305"/>
      <c r="F755" s="305"/>
      <c r="G755" s="305"/>
      <c r="H755" s="305"/>
      <c r="I755" s="305"/>
      <c r="J755" s="305"/>
      <c r="K755" s="305"/>
      <c r="L755" s="305"/>
      <c r="M755" s="305"/>
      <c r="N755" s="305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  <c r="Y755" s="158"/>
      <c r="Z755" s="158"/>
    </row>
    <row r="756" spans="1:26" ht="15.75" customHeight="1">
      <c r="A756" s="305"/>
      <c r="B756" s="305"/>
      <c r="C756" s="305"/>
      <c r="D756" s="305"/>
      <c r="E756" s="305"/>
      <c r="F756" s="305"/>
      <c r="G756" s="305"/>
      <c r="H756" s="305"/>
      <c r="I756" s="305"/>
      <c r="J756" s="305"/>
      <c r="K756" s="305"/>
      <c r="L756" s="305"/>
      <c r="M756" s="305"/>
      <c r="N756" s="305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  <c r="Y756" s="158"/>
      <c r="Z756" s="158"/>
    </row>
    <row r="757" spans="1:26" ht="15.75" customHeight="1">
      <c r="A757" s="305"/>
      <c r="B757" s="305"/>
      <c r="C757" s="305"/>
      <c r="D757" s="305"/>
      <c r="E757" s="305"/>
      <c r="F757" s="305"/>
      <c r="G757" s="305"/>
      <c r="H757" s="305"/>
      <c r="I757" s="305"/>
      <c r="J757" s="305"/>
      <c r="K757" s="305"/>
      <c r="L757" s="305"/>
      <c r="M757" s="305"/>
      <c r="N757" s="305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  <c r="Y757" s="158"/>
      <c r="Z757" s="158"/>
    </row>
    <row r="758" spans="1:26" ht="15.75" customHeight="1">
      <c r="A758" s="305"/>
      <c r="B758" s="305"/>
      <c r="C758" s="305"/>
      <c r="D758" s="305"/>
      <c r="E758" s="305"/>
      <c r="F758" s="305"/>
      <c r="G758" s="305"/>
      <c r="H758" s="305"/>
      <c r="I758" s="305"/>
      <c r="J758" s="305"/>
      <c r="K758" s="305"/>
      <c r="L758" s="305"/>
      <c r="M758" s="305"/>
      <c r="N758" s="305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  <c r="Y758" s="158"/>
      <c r="Z758" s="158"/>
    </row>
    <row r="759" spans="1:26" ht="15.75" customHeight="1">
      <c r="A759" s="305"/>
      <c r="B759" s="305"/>
      <c r="C759" s="305"/>
      <c r="D759" s="305"/>
      <c r="E759" s="305"/>
      <c r="F759" s="305"/>
      <c r="G759" s="305"/>
      <c r="H759" s="305"/>
      <c r="I759" s="305"/>
      <c r="J759" s="305"/>
      <c r="K759" s="305"/>
      <c r="L759" s="305"/>
      <c r="M759" s="305"/>
      <c r="N759" s="305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  <c r="Y759" s="158"/>
      <c r="Z759" s="158"/>
    </row>
    <row r="760" spans="1:26" ht="15.75" customHeight="1">
      <c r="A760" s="305"/>
      <c r="B760" s="305"/>
      <c r="C760" s="305"/>
      <c r="D760" s="305"/>
      <c r="E760" s="305"/>
      <c r="F760" s="305"/>
      <c r="G760" s="305"/>
      <c r="H760" s="305"/>
      <c r="I760" s="305"/>
      <c r="J760" s="305"/>
      <c r="K760" s="305"/>
      <c r="L760" s="305"/>
      <c r="M760" s="305"/>
      <c r="N760" s="305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  <c r="Y760" s="158"/>
      <c r="Z760" s="158"/>
    </row>
    <row r="761" spans="1:26" ht="15.75" customHeight="1">
      <c r="A761" s="305"/>
      <c r="B761" s="305"/>
      <c r="C761" s="305"/>
      <c r="D761" s="305"/>
      <c r="E761" s="305"/>
      <c r="F761" s="305"/>
      <c r="G761" s="305"/>
      <c r="H761" s="305"/>
      <c r="I761" s="305"/>
      <c r="J761" s="305"/>
      <c r="K761" s="305"/>
      <c r="L761" s="305"/>
      <c r="M761" s="305"/>
      <c r="N761" s="305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  <c r="Y761" s="158"/>
      <c r="Z761" s="158"/>
    </row>
    <row r="762" spans="1:26" ht="15.75" customHeight="1">
      <c r="A762" s="305"/>
      <c r="B762" s="305"/>
      <c r="C762" s="305"/>
      <c r="D762" s="305"/>
      <c r="E762" s="305"/>
      <c r="F762" s="305"/>
      <c r="G762" s="305"/>
      <c r="H762" s="305"/>
      <c r="I762" s="305"/>
      <c r="J762" s="305"/>
      <c r="K762" s="305"/>
      <c r="L762" s="305"/>
      <c r="M762" s="305"/>
      <c r="N762" s="305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  <c r="Y762" s="158"/>
      <c r="Z762" s="158"/>
    </row>
    <row r="763" spans="1:26" ht="15.75" customHeight="1">
      <c r="A763" s="305"/>
      <c r="B763" s="305"/>
      <c r="C763" s="305"/>
      <c r="D763" s="305"/>
      <c r="E763" s="305"/>
      <c r="F763" s="305"/>
      <c r="G763" s="305"/>
      <c r="H763" s="305"/>
      <c r="I763" s="305"/>
      <c r="J763" s="305"/>
      <c r="K763" s="305"/>
      <c r="L763" s="305"/>
      <c r="M763" s="305"/>
      <c r="N763" s="305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  <c r="Y763" s="158"/>
      <c r="Z763" s="158"/>
    </row>
    <row r="764" spans="1:26" ht="15.75" customHeight="1">
      <c r="A764" s="305"/>
      <c r="B764" s="305"/>
      <c r="C764" s="305"/>
      <c r="D764" s="305"/>
      <c r="E764" s="305"/>
      <c r="F764" s="305"/>
      <c r="G764" s="305"/>
      <c r="H764" s="305"/>
      <c r="I764" s="305"/>
      <c r="J764" s="305"/>
      <c r="K764" s="305"/>
      <c r="L764" s="305"/>
      <c r="M764" s="305"/>
      <c r="N764" s="305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  <c r="Y764" s="158"/>
      <c r="Z764" s="158"/>
    </row>
    <row r="765" spans="1:26" ht="15.75" customHeight="1">
      <c r="A765" s="305"/>
      <c r="B765" s="305"/>
      <c r="C765" s="305"/>
      <c r="D765" s="305"/>
      <c r="E765" s="305"/>
      <c r="F765" s="305"/>
      <c r="G765" s="305"/>
      <c r="H765" s="305"/>
      <c r="I765" s="305"/>
      <c r="J765" s="305"/>
      <c r="K765" s="305"/>
      <c r="L765" s="305"/>
      <c r="M765" s="305"/>
      <c r="N765" s="305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  <c r="Y765" s="158"/>
      <c r="Z765" s="158"/>
    </row>
    <row r="766" spans="1:26" ht="15.75" customHeight="1">
      <c r="A766" s="305"/>
      <c r="B766" s="305"/>
      <c r="C766" s="305"/>
      <c r="D766" s="305"/>
      <c r="E766" s="305"/>
      <c r="F766" s="305"/>
      <c r="G766" s="305"/>
      <c r="H766" s="305"/>
      <c r="I766" s="305"/>
      <c r="J766" s="305"/>
      <c r="K766" s="305"/>
      <c r="L766" s="305"/>
      <c r="M766" s="305"/>
      <c r="N766" s="305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  <c r="Y766" s="158"/>
      <c r="Z766" s="158"/>
    </row>
    <row r="767" spans="1:26" ht="15.75" customHeight="1">
      <c r="A767" s="305"/>
      <c r="B767" s="305"/>
      <c r="C767" s="305"/>
      <c r="D767" s="305"/>
      <c r="E767" s="305"/>
      <c r="F767" s="305"/>
      <c r="G767" s="305"/>
      <c r="H767" s="305"/>
      <c r="I767" s="305"/>
      <c r="J767" s="305"/>
      <c r="K767" s="305"/>
      <c r="L767" s="305"/>
      <c r="M767" s="305"/>
      <c r="N767" s="305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  <c r="Y767" s="158"/>
      <c r="Z767" s="158"/>
    </row>
    <row r="768" spans="1:26" ht="15.75" customHeight="1">
      <c r="A768" s="305"/>
      <c r="B768" s="305"/>
      <c r="C768" s="305"/>
      <c r="D768" s="305"/>
      <c r="E768" s="305"/>
      <c r="F768" s="305"/>
      <c r="G768" s="305"/>
      <c r="H768" s="305"/>
      <c r="I768" s="305"/>
      <c r="J768" s="305"/>
      <c r="K768" s="305"/>
      <c r="L768" s="305"/>
      <c r="M768" s="305"/>
      <c r="N768" s="305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  <c r="Y768" s="158"/>
      <c r="Z768" s="158"/>
    </row>
    <row r="769" spans="1:26" ht="15.75" customHeight="1">
      <c r="A769" s="305"/>
      <c r="B769" s="305"/>
      <c r="C769" s="305"/>
      <c r="D769" s="305"/>
      <c r="E769" s="305"/>
      <c r="F769" s="305"/>
      <c r="G769" s="305"/>
      <c r="H769" s="305"/>
      <c r="I769" s="305"/>
      <c r="J769" s="305"/>
      <c r="K769" s="305"/>
      <c r="L769" s="305"/>
      <c r="M769" s="305"/>
      <c r="N769" s="305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  <c r="Y769" s="158"/>
      <c r="Z769" s="158"/>
    </row>
    <row r="770" spans="1:26" ht="15.75" customHeight="1">
      <c r="A770" s="305"/>
      <c r="B770" s="305"/>
      <c r="C770" s="305"/>
      <c r="D770" s="305"/>
      <c r="E770" s="305"/>
      <c r="F770" s="305"/>
      <c r="G770" s="305"/>
      <c r="H770" s="305"/>
      <c r="I770" s="305"/>
      <c r="J770" s="305"/>
      <c r="K770" s="305"/>
      <c r="L770" s="305"/>
      <c r="M770" s="305"/>
      <c r="N770" s="305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  <c r="Y770" s="158"/>
      <c r="Z770" s="158"/>
    </row>
    <row r="771" spans="1:26" ht="15.75" customHeight="1">
      <c r="A771" s="305"/>
      <c r="B771" s="305"/>
      <c r="C771" s="305"/>
      <c r="D771" s="305"/>
      <c r="E771" s="305"/>
      <c r="F771" s="305"/>
      <c r="G771" s="305"/>
      <c r="H771" s="305"/>
      <c r="I771" s="305"/>
      <c r="J771" s="305"/>
      <c r="K771" s="305"/>
      <c r="L771" s="305"/>
      <c r="M771" s="305"/>
      <c r="N771" s="305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  <c r="Y771" s="158"/>
      <c r="Z771" s="158"/>
    </row>
    <row r="772" spans="1:26" ht="15.75" customHeight="1">
      <c r="A772" s="305"/>
      <c r="B772" s="305"/>
      <c r="C772" s="305"/>
      <c r="D772" s="305"/>
      <c r="E772" s="305"/>
      <c r="F772" s="305"/>
      <c r="G772" s="305"/>
      <c r="H772" s="305"/>
      <c r="I772" s="305"/>
      <c r="J772" s="305"/>
      <c r="K772" s="305"/>
      <c r="L772" s="305"/>
      <c r="M772" s="305"/>
      <c r="N772" s="305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  <c r="Y772" s="158"/>
      <c r="Z772" s="158"/>
    </row>
    <row r="773" spans="1:26" ht="15.75" customHeight="1">
      <c r="A773" s="305"/>
      <c r="B773" s="305"/>
      <c r="C773" s="305"/>
      <c r="D773" s="305"/>
      <c r="E773" s="305"/>
      <c r="F773" s="305"/>
      <c r="G773" s="305"/>
      <c r="H773" s="305"/>
      <c r="I773" s="305"/>
      <c r="J773" s="305"/>
      <c r="K773" s="305"/>
      <c r="L773" s="305"/>
      <c r="M773" s="305"/>
      <c r="N773" s="305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  <c r="Y773" s="158"/>
      <c r="Z773" s="158"/>
    </row>
    <row r="774" spans="1:26" ht="15.75" customHeight="1">
      <c r="A774" s="305"/>
      <c r="B774" s="305"/>
      <c r="C774" s="305"/>
      <c r="D774" s="305"/>
      <c r="E774" s="305"/>
      <c r="F774" s="305"/>
      <c r="G774" s="305"/>
      <c r="H774" s="305"/>
      <c r="I774" s="305"/>
      <c r="J774" s="305"/>
      <c r="K774" s="305"/>
      <c r="L774" s="305"/>
      <c r="M774" s="305"/>
      <c r="N774" s="305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  <c r="Y774" s="158"/>
      <c r="Z774" s="158"/>
    </row>
    <row r="775" spans="1:26" ht="15.75" customHeight="1">
      <c r="A775" s="305"/>
      <c r="B775" s="305"/>
      <c r="C775" s="305"/>
      <c r="D775" s="305"/>
      <c r="E775" s="305"/>
      <c r="F775" s="305"/>
      <c r="G775" s="305"/>
      <c r="H775" s="305"/>
      <c r="I775" s="305"/>
      <c r="J775" s="305"/>
      <c r="K775" s="305"/>
      <c r="L775" s="305"/>
      <c r="M775" s="305"/>
      <c r="N775" s="305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  <c r="Y775" s="158"/>
      <c r="Z775" s="158"/>
    </row>
    <row r="776" spans="1:26" ht="15.75" customHeight="1">
      <c r="A776" s="305"/>
      <c r="B776" s="305"/>
      <c r="C776" s="305"/>
      <c r="D776" s="305"/>
      <c r="E776" s="305"/>
      <c r="F776" s="305"/>
      <c r="G776" s="305"/>
      <c r="H776" s="305"/>
      <c r="I776" s="305"/>
      <c r="J776" s="305"/>
      <c r="K776" s="305"/>
      <c r="L776" s="305"/>
      <c r="M776" s="305"/>
      <c r="N776" s="305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  <c r="Y776" s="158"/>
      <c r="Z776" s="158"/>
    </row>
    <row r="777" spans="1:26" ht="15.75" customHeight="1">
      <c r="A777" s="305"/>
      <c r="B777" s="305"/>
      <c r="C777" s="305"/>
      <c r="D777" s="305"/>
      <c r="E777" s="305"/>
      <c r="F777" s="305"/>
      <c r="G777" s="305"/>
      <c r="H777" s="305"/>
      <c r="I777" s="305"/>
      <c r="J777" s="305"/>
      <c r="K777" s="305"/>
      <c r="L777" s="305"/>
      <c r="M777" s="305"/>
      <c r="N777" s="305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  <c r="Y777" s="158"/>
      <c r="Z777" s="158"/>
    </row>
    <row r="778" spans="1:26" ht="15.75" customHeight="1">
      <c r="A778" s="305"/>
      <c r="B778" s="305"/>
      <c r="C778" s="305"/>
      <c r="D778" s="305"/>
      <c r="E778" s="305"/>
      <c r="F778" s="305"/>
      <c r="G778" s="305"/>
      <c r="H778" s="305"/>
      <c r="I778" s="305"/>
      <c r="J778" s="305"/>
      <c r="K778" s="305"/>
      <c r="L778" s="305"/>
      <c r="M778" s="305"/>
      <c r="N778" s="305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  <c r="Y778" s="158"/>
      <c r="Z778" s="158"/>
    </row>
    <row r="779" spans="1:26" ht="15.75" customHeight="1">
      <c r="A779" s="305"/>
      <c r="B779" s="305"/>
      <c r="C779" s="305"/>
      <c r="D779" s="305"/>
      <c r="E779" s="305"/>
      <c r="F779" s="305"/>
      <c r="G779" s="305"/>
      <c r="H779" s="305"/>
      <c r="I779" s="305"/>
      <c r="J779" s="305"/>
      <c r="K779" s="305"/>
      <c r="L779" s="305"/>
      <c r="M779" s="305"/>
      <c r="N779" s="305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  <c r="Y779" s="158"/>
      <c r="Z779" s="158"/>
    </row>
    <row r="780" spans="1:26" ht="15.75" customHeight="1">
      <c r="A780" s="305"/>
      <c r="B780" s="305"/>
      <c r="C780" s="305"/>
      <c r="D780" s="305"/>
      <c r="E780" s="305"/>
      <c r="F780" s="305"/>
      <c r="G780" s="305"/>
      <c r="H780" s="305"/>
      <c r="I780" s="305"/>
      <c r="J780" s="305"/>
      <c r="K780" s="305"/>
      <c r="L780" s="305"/>
      <c r="M780" s="305"/>
      <c r="N780" s="305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  <c r="Y780" s="158"/>
      <c r="Z780" s="158"/>
    </row>
    <row r="781" spans="1:26" ht="15.75" customHeight="1">
      <c r="A781" s="305"/>
      <c r="B781" s="305"/>
      <c r="C781" s="305"/>
      <c r="D781" s="305"/>
      <c r="E781" s="305"/>
      <c r="F781" s="305"/>
      <c r="G781" s="305"/>
      <c r="H781" s="305"/>
      <c r="I781" s="305"/>
      <c r="J781" s="305"/>
      <c r="K781" s="305"/>
      <c r="L781" s="305"/>
      <c r="M781" s="305"/>
      <c r="N781" s="305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  <c r="Y781" s="158"/>
      <c r="Z781" s="158"/>
    </row>
    <row r="782" spans="1:26" ht="15.75" customHeight="1">
      <c r="A782" s="305"/>
      <c r="B782" s="305"/>
      <c r="C782" s="305"/>
      <c r="D782" s="305"/>
      <c r="E782" s="305"/>
      <c r="F782" s="305"/>
      <c r="G782" s="305"/>
      <c r="H782" s="305"/>
      <c r="I782" s="305"/>
      <c r="J782" s="305"/>
      <c r="K782" s="305"/>
      <c r="L782" s="305"/>
      <c r="M782" s="305"/>
      <c r="N782" s="305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  <c r="Y782" s="158"/>
      <c r="Z782" s="158"/>
    </row>
    <row r="783" spans="1:26" ht="15.75" customHeight="1">
      <c r="A783" s="305"/>
      <c r="B783" s="305"/>
      <c r="C783" s="305"/>
      <c r="D783" s="305"/>
      <c r="E783" s="305"/>
      <c r="F783" s="305"/>
      <c r="G783" s="305"/>
      <c r="H783" s="305"/>
      <c r="I783" s="305"/>
      <c r="J783" s="305"/>
      <c r="K783" s="305"/>
      <c r="L783" s="305"/>
      <c r="M783" s="305"/>
      <c r="N783" s="305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  <c r="Y783" s="158"/>
      <c r="Z783" s="158"/>
    </row>
    <row r="784" spans="1:26" ht="15.75" customHeight="1">
      <c r="A784" s="305"/>
      <c r="B784" s="305"/>
      <c r="C784" s="305"/>
      <c r="D784" s="305"/>
      <c r="E784" s="305"/>
      <c r="F784" s="305"/>
      <c r="G784" s="305"/>
      <c r="H784" s="305"/>
      <c r="I784" s="305"/>
      <c r="J784" s="305"/>
      <c r="K784" s="305"/>
      <c r="L784" s="305"/>
      <c r="M784" s="305"/>
      <c r="N784" s="305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  <c r="Y784" s="158"/>
      <c r="Z784" s="158"/>
    </row>
    <row r="785" spans="1:26" ht="15.75" customHeight="1">
      <c r="A785" s="305"/>
      <c r="B785" s="305"/>
      <c r="C785" s="305"/>
      <c r="D785" s="305"/>
      <c r="E785" s="305"/>
      <c r="F785" s="305"/>
      <c r="G785" s="305"/>
      <c r="H785" s="305"/>
      <c r="I785" s="305"/>
      <c r="J785" s="305"/>
      <c r="K785" s="305"/>
      <c r="L785" s="305"/>
      <c r="M785" s="305"/>
      <c r="N785" s="305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  <c r="Y785" s="158"/>
      <c r="Z785" s="158"/>
    </row>
    <row r="786" spans="1:26" ht="15.75" customHeight="1">
      <c r="A786" s="305"/>
      <c r="B786" s="305"/>
      <c r="C786" s="305"/>
      <c r="D786" s="305"/>
      <c r="E786" s="305"/>
      <c r="F786" s="305"/>
      <c r="G786" s="305"/>
      <c r="H786" s="305"/>
      <c r="I786" s="305"/>
      <c r="J786" s="305"/>
      <c r="K786" s="305"/>
      <c r="L786" s="305"/>
      <c r="M786" s="305"/>
      <c r="N786" s="305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  <c r="Y786" s="158"/>
      <c r="Z786" s="158"/>
    </row>
    <row r="787" spans="1:26" ht="15.75" customHeight="1">
      <c r="A787" s="305"/>
      <c r="B787" s="305"/>
      <c r="C787" s="305"/>
      <c r="D787" s="305"/>
      <c r="E787" s="305"/>
      <c r="F787" s="305"/>
      <c r="G787" s="305"/>
      <c r="H787" s="305"/>
      <c r="I787" s="305"/>
      <c r="J787" s="305"/>
      <c r="K787" s="305"/>
      <c r="L787" s="305"/>
      <c r="M787" s="305"/>
      <c r="N787" s="305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  <c r="Y787" s="158"/>
      <c r="Z787" s="158"/>
    </row>
    <row r="788" spans="1:26" ht="15.75" customHeight="1">
      <c r="A788" s="305"/>
      <c r="B788" s="305"/>
      <c r="C788" s="305"/>
      <c r="D788" s="305"/>
      <c r="E788" s="305"/>
      <c r="F788" s="305"/>
      <c r="G788" s="305"/>
      <c r="H788" s="305"/>
      <c r="I788" s="305"/>
      <c r="J788" s="305"/>
      <c r="K788" s="305"/>
      <c r="L788" s="305"/>
      <c r="M788" s="305"/>
      <c r="N788" s="305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  <c r="Y788" s="158"/>
      <c r="Z788" s="158"/>
    </row>
    <row r="789" spans="1:26" ht="15.75" customHeight="1">
      <c r="A789" s="305"/>
      <c r="B789" s="305"/>
      <c r="C789" s="305"/>
      <c r="D789" s="305"/>
      <c r="E789" s="305"/>
      <c r="F789" s="305"/>
      <c r="G789" s="305"/>
      <c r="H789" s="305"/>
      <c r="I789" s="305"/>
      <c r="J789" s="305"/>
      <c r="K789" s="305"/>
      <c r="L789" s="305"/>
      <c r="M789" s="305"/>
      <c r="N789" s="305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  <c r="Y789" s="158"/>
      <c r="Z789" s="158"/>
    </row>
    <row r="790" spans="1:26" ht="15.75" customHeight="1">
      <c r="A790" s="305"/>
      <c r="B790" s="305"/>
      <c r="C790" s="305"/>
      <c r="D790" s="305"/>
      <c r="E790" s="305"/>
      <c r="F790" s="305"/>
      <c r="G790" s="305"/>
      <c r="H790" s="305"/>
      <c r="I790" s="305"/>
      <c r="J790" s="305"/>
      <c r="K790" s="305"/>
      <c r="L790" s="305"/>
      <c r="M790" s="305"/>
      <c r="N790" s="305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  <c r="Y790" s="158"/>
      <c r="Z790" s="158"/>
    </row>
    <row r="791" spans="1:26" ht="15.75" customHeight="1">
      <c r="A791" s="305"/>
      <c r="B791" s="305"/>
      <c r="C791" s="305"/>
      <c r="D791" s="305"/>
      <c r="E791" s="305"/>
      <c r="F791" s="305"/>
      <c r="G791" s="305"/>
      <c r="H791" s="305"/>
      <c r="I791" s="305"/>
      <c r="J791" s="305"/>
      <c r="K791" s="305"/>
      <c r="L791" s="305"/>
      <c r="M791" s="305"/>
      <c r="N791" s="305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  <c r="Y791" s="158"/>
      <c r="Z791" s="158"/>
    </row>
    <row r="792" spans="1:26" ht="15.75" customHeight="1">
      <c r="A792" s="305"/>
      <c r="B792" s="305"/>
      <c r="C792" s="305"/>
      <c r="D792" s="305"/>
      <c r="E792" s="305"/>
      <c r="F792" s="305"/>
      <c r="G792" s="305"/>
      <c r="H792" s="305"/>
      <c r="I792" s="305"/>
      <c r="J792" s="305"/>
      <c r="K792" s="305"/>
      <c r="L792" s="305"/>
      <c r="M792" s="305"/>
      <c r="N792" s="305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  <c r="Y792" s="158"/>
      <c r="Z792" s="158"/>
    </row>
    <row r="793" spans="1:26" ht="15.75" customHeight="1">
      <c r="A793" s="305"/>
      <c r="B793" s="305"/>
      <c r="C793" s="305"/>
      <c r="D793" s="305"/>
      <c r="E793" s="305"/>
      <c r="F793" s="305"/>
      <c r="G793" s="305"/>
      <c r="H793" s="305"/>
      <c r="I793" s="305"/>
      <c r="J793" s="305"/>
      <c r="K793" s="305"/>
      <c r="L793" s="305"/>
      <c r="M793" s="305"/>
      <c r="N793" s="305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  <c r="Y793" s="158"/>
      <c r="Z793" s="158"/>
    </row>
    <row r="794" spans="1:26" ht="15.75" customHeight="1">
      <c r="A794" s="305"/>
      <c r="B794" s="305"/>
      <c r="C794" s="305"/>
      <c r="D794" s="305"/>
      <c r="E794" s="305"/>
      <c r="F794" s="305"/>
      <c r="G794" s="305"/>
      <c r="H794" s="305"/>
      <c r="I794" s="305"/>
      <c r="J794" s="305"/>
      <c r="K794" s="305"/>
      <c r="L794" s="305"/>
      <c r="M794" s="305"/>
      <c r="N794" s="305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  <c r="Y794" s="158"/>
      <c r="Z794" s="158"/>
    </row>
    <row r="795" spans="1:26" ht="15.75" customHeight="1">
      <c r="A795" s="305"/>
      <c r="B795" s="305"/>
      <c r="C795" s="305"/>
      <c r="D795" s="305"/>
      <c r="E795" s="305"/>
      <c r="F795" s="305"/>
      <c r="G795" s="305"/>
      <c r="H795" s="305"/>
      <c r="I795" s="305"/>
      <c r="J795" s="305"/>
      <c r="K795" s="305"/>
      <c r="L795" s="305"/>
      <c r="M795" s="305"/>
      <c r="N795" s="305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  <c r="Y795" s="158"/>
      <c r="Z795" s="158"/>
    </row>
    <row r="796" spans="1:26" ht="15.75" customHeight="1">
      <c r="A796" s="305"/>
      <c r="B796" s="305"/>
      <c r="C796" s="305"/>
      <c r="D796" s="305"/>
      <c r="E796" s="305"/>
      <c r="F796" s="305"/>
      <c r="G796" s="305"/>
      <c r="H796" s="305"/>
      <c r="I796" s="305"/>
      <c r="J796" s="305"/>
      <c r="K796" s="305"/>
      <c r="L796" s="305"/>
      <c r="M796" s="305"/>
      <c r="N796" s="305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  <c r="Y796" s="158"/>
      <c r="Z796" s="158"/>
    </row>
    <row r="797" spans="1:26" ht="15.75" customHeight="1">
      <c r="A797" s="305"/>
      <c r="B797" s="305"/>
      <c r="C797" s="305"/>
      <c r="D797" s="305"/>
      <c r="E797" s="305"/>
      <c r="F797" s="305"/>
      <c r="G797" s="305"/>
      <c r="H797" s="305"/>
      <c r="I797" s="305"/>
      <c r="J797" s="305"/>
      <c r="K797" s="305"/>
      <c r="L797" s="305"/>
      <c r="M797" s="305"/>
      <c r="N797" s="305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  <c r="Y797" s="158"/>
      <c r="Z797" s="158"/>
    </row>
    <row r="798" spans="1:26" ht="15.75" customHeight="1">
      <c r="A798" s="305"/>
      <c r="B798" s="305"/>
      <c r="C798" s="305"/>
      <c r="D798" s="305"/>
      <c r="E798" s="305"/>
      <c r="F798" s="305"/>
      <c r="G798" s="305"/>
      <c r="H798" s="305"/>
      <c r="I798" s="305"/>
      <c r="J798" s="305"/>
      <c r="K798" s="305"/>
      <c r="L798" s="305"/>
      <c r="M798" s="305"/>
      <c r="N798" s="305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  <c r="Y798" s="158"/>
      <c r="Z798" s="158"/>
    </row>
    <row r="799" spans="1:26" ht="15.75" customHeight="1">
      <c r="A799" s="305"/>
      <c r="B799" s="305"/>
      <c r="C799" s="305"/>
      <c r="D799" s="305"/>
      <c r="E799" s="305"/>
      <c r="F799" s="305"/>
      <c r="G799" s="305"/>
      <c r="H799" s="305"/>
      <c r="I799" s="305"/>
      <c r="J799" s="305"/>
      <c r="K799" s="305"/>
      <c r="L799" s="305"/>
      <c r="M799" s="305"/>
      <c r="N799" s="305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  <c r="Y799" s="158"/>
      <c r="Z799" s="158"/>
    </row>
    <row r="800" spans="1:26" ht="15.75" customHeight="1">
      <c r="A800" s="305"/>
      <c r="B800" s="305"/>
      <c r="C800" s="305"/>
      <c r="D800" s="305"/>
      <c r="E800" s="305"/>
      <c r="F800" s="305"/>
      <c r="G800" s="305"/>
      <c r="H800" s="305"/>
      <c r="I800" s="305"/>
      <c r="J800" s="305"/>
      <c r="K800" s="305"/>
      <c r="L800" s="305"/>
      <c r="M800" s="305"/>
      <c r="N800" s="305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  <c r="Y800" s="158"/>
      <c r="Z800" s="158"/>
    </row>
    <row r="801" spans="1:26" ht="15.75" customHeight="1">
      <c r="A801" s="305"/>
      <c r="B801" s="305"/>
      <c r="C801" s="305"/>
      <c r="D801" s="305"/>
      <c r="E801" s="305"/>
      <c r="F801" s="305"/>
      <c r="G801" s="305"/>
      <c r="H801" s="305"/>
      <c r="I801" s="305"/>
      <c r="J801" s="305"/>
      <c r="K801" s="305"/>
      <c r="L801" s="305"/>
      <c r="M801" s="305"/>
      <c r="N801" s="305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  <c r="Y801" s="158"/>
      <c r="Z801" s="158"/>
    </row>
    <row r="802" spans="1:26" ht="15.75" customHeight="1">
      <c r="A802" s="305"/>
      <c r="B802" s="305"/>
      <c r="C802" s="305"/>
      <c r="D802" s="305"/>
      <c r="E802" s="305"/>
      <c r="F802" s="305"/>
      <c r="G802" s="305"/>
      <c r="H802" s="305"/>
      <c r="I802" s="305"/>
      <c r="J802" s="305"/>
      <c r="K802" s="305"/>
      <c r="L802" s="305"/>
      <c r="M802" s="305"/>
      <c r="N802" s="305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  <c r="Y802" s="158"/>
      <c r="Z802" s="158"/>
    </row>
    <row r="803" spans="1:26" ht="15.75" customHeight="1">
      <c r="A803" s="305"/>
      <c r="B803" s="305"/>
      <c r="C803" s="305"/>
      <c r="D803" s="305"/>
      <c r="E803" s="305"/>
      <c r="F803" s="305"/>
      <c r="G803" s="305"/>
      <c r="H803" s="305"/>
      <c r="I803" s="305"/>
      <c r="J803" s="305"/>
      <c r="K803" s="305"/>
      <c r="L803" s="305"/>
      <c r="M803" s="305"/>
      <c r="N803" s="305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  <c r="Y803" s="158"/>
      <c r="Z803" s="158"/>
    </row>
    <row r="804" spans="1:26" ht="15.75" customHeight="1">
      <c r="A804" s="305"/>
      <c r="B804" s="305"/>
      <c r="C804" s="305"/>
      <c r="D804" s="305"/>
      <c r="E804" s="305"/>
      <c r="F804" s="305"/>
      <c r="G804" s="305"/>
      <c r="H804" s="305"/>
      <c r="I804" s="305"/>
      <c r="J804" s="305"/>
      <c r="K804" s="305"/>
      <c r="L804" s="305"/>
      <c r="M804" s="305"/>
      <c r="N804" s="305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  <c r="Y804" s="158"/>
      <c r="Z804" s="158"/>
    </row>
    <row r="805" spans="1:26" ht="15.75" customHeight="1">
      <c r="A805" s="305"/>
      <c r="B805" s="305"/>
      <c r="C805" s="305"/>
      <c r="D805" s="305"/>
      <c r="E805" s="305"/>
      <c r="F805" s="305"/>
      <c r="G805" s="305"/>
      <c r="H805" s="305"/>
      <c r="I805" s="305"/>
      <c r="J805" s="305"/>
      <c r="K805" s="305"/>
      <c r="L805" s="305"/>
      <c r="M805" s="305"/>
      <c r="N805" s="305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  <c r="Y805" s="158"/>
      <c r="Z805" s="158"/>
    </row>
    <row r="806" spans="1:26" ht="15.75" customHeight="1">
      <c r="A806" s="305"/>
      <c r="B806" s="305"/>
      <c r="C806" s="305"/>
      <c r="D806" s="305"/>
      <c r="E806" s="305"/>
      <c r="F806" s="305"/>
      <c r="G806" s="305"/>
      <c r="H806" s="305"/>
      <c r="I806" s="305"/>
      <c r="J806" s="305"/>
      <c r="K806" s="305"/>
      <c r="L806" s="305"/>
      <c r="M806" s="305"/>
      <c r="N806" s="305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  <c r="Y806" s="158"/>
      <c r="Z806" s="158"/>
    </row>
    <row r="807" spans="1:26" ht="15.75" customHeight="1">
      <c r="A807" s="305"/>
      <c r="B807" s="305"/>
      <c r="C807" s="305"/>
      <c r="D807" s="305"/>
      <c r="E807" s="305"/>
      <c r="F807" s="305"/>
      <c r="G807" s="305"/>
      <c r="H807" s="305"/>
      <c r="I807" s="305"/>
      <c r="J807" s="305"/>
      <c r="K807" s="305"/>
      <c r="L807" s="305"/>
      <c r="M807" s="305"/>
      <c r="N807" s="305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  <c r="Y807" s="158"/>
      <c r="Z807" s="158"/>
    </row>
    <row r="808" spans="1:26" ht="15.75" customHeight="1">
      <c r="A808" s="305"/>
      <c r="B808" s="305"/>
      <c r="C808" s="305"/>
      <c r="D808" s="305"/>
      <c r="E808" s="305"/>
      <c r="F808" s="305"/>
      <c r="G808" s="305"/>
      <c r="H808" s="305"/>
      <c r="I808" s="305"/>
      <c r="J808" s="305"/>
      <c r="K808" s="305"/>
      <c r="L808" s="305"/>
      <c r="M808" s="305"/>
      <c r="N808" s="305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  <c r="Y808" s="158"/>
      <c r="Z808" s="158"/>
    </row>
    <row r="809" spans="1:26" ht="15.75" customHeight="1">
      <c r="A809" s="305"/>
      <c r="B809" s="305"/>
      <c r="C809" s="305"/>
      <c r="D809" s="305"/>
      <c r="E809" s="305"/>
      <c r="F809" s="305"/>
      <c r="G809" s="305"/>
      <c r="H809" s="305"/>
      <c r="I809" s="305"/>
      <c r="J809" s="305"/>
      <c r="K809" s="305"/>
      <c r="L809" s="305"/>
      <c r="M809" s="305"/>
      <c r="N809" s="305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  <c r="Y809" s="158"/>
      <c r="Z809" s="158"/>
    </row>
    <row r="810" spans="1:26" ht="15.75" customHeight="1">
      <c r="A810" s="305"/>
      <c r="B810" s="305"/>
      <c r="C810" s="305"/>
      <c r="D810" s="305"/>
      <c r="E810" s="305"/>
      <c r="F810" s="305"/>
      <c r="G810" s="305"/>
      <c r="H810" s="305"/>
      <c r="I810" s="305"/>
      <c r="J810" s="305"/>
      <c r="K810" s="305"/>
      <c r="L810" s="305"/>
      <c r="M810" s="305"/>
      <c r="N810" s="305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  <c r="Y810" s="158"/>
      <c r="Z810" s="158"/>
    </row>
    <row r="811" spans="1:26" ht="15.75" customHeight="1">
      <c r="A811" s="305"/>
      <c r="B811" s="305"/>
      <c r="C811" s="305"/>
      <c r="D811" s="305"/>
      <c r="E811" s="305"/>
      <c r="F811" s="305"/>
      <c r="G811" s="305"/>
      <c r="H811" s="305"/>
      <c r="I811" s="305"/>
      <c r="J811" s="305"/>
      <c r="K811" s="305"/>
      <c r="L811" s="305"/>
      <c r="M811" s="305"/>
      <c r="N811" s="305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  <c r="Y811" s="158"/>
      <c r="Z811" s="158"/>
    </row>
    <row r="812" spans="1:26" ht="15.75" customHeight="1">
      <c r="A812" s="305"/>
      <c r="B812" s="305"/>
      <c r="C812" s="305"/>
      <c r="D812" s="305"/>
      <c r="E812" s="305"/>
      <c r="F812" s="305"/>
      <c r="G812" s="305"/>
      <c r="H812" s="305"/>
      <c r="I812" s="305"/>
      <c r="J812" s="305"/>
      <c r="K812" s="305"/>
      <c r="L812" s="305"/>
      <c r="M812" s="305"/>
      <c r="N812" s="305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  <c r="Y812" s="158"/>
      <c r="Z812" s="158"/>
    </row>
    <row r="813" spans="1:26" ht="15.75" customHeight="1">
      <c r="A813" s="305"/>
      <c r="B813" s="305"/>
      <c r="C813" s="305"/>
      <c r="D813" s="305"/>
      <c r="E813" s="305"/>
      <c r="F813" s="305"/>
      <c r="G813" s="305"/>
      <c r="H813" s="305"/>
      <c r="I813" s="305"/>
      <c r="J813" s="305"/>
      <c r="K813" s="305"/>
      <c r="L813" s="305"/>
      <c r="M813" s="305"/>
      <c r="N813" s="305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  <c r="Y813" s="158"/>
      <c r="Z813" s="158"/>
    </row>
    <row r="814" spans="1:26" ht="15.75" customHeight="1">
      <c r="A814" s="305"/>
      <c r="B814" s="305"/>
      <c r="C814" s="305"/>
      <c r="D814" s="305"/>
      <c r="E814" s="305"/>
      <c r="F814" s="305"/>
      <c r="G814" s="305"/>
      <c r="H814" s="305"/>
      <c r="I814" s="305"/>
      <c r="J814" s="305"/>
      <c r="K814" s="305"/>
      <c r="L814" s="305"/>
      <c r="M814" s="305"/>
      <c r="N814" s="305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  <c r="Y814" s="158"/>
      <c r="Z814" s="158"/>
    </row>
    <row r="815" spans="1:26" ht="15.75" customHeight="1">
      <c r="A815" s="305"/>
      <c r="B815" s="305"/>
      <c r="C815" s="305"/>
      <c r="D815" s="305"/>
      <c r="E815" s="305"/>
      <c r="F815" s="305"/>
      <c r="G815" s="305"/>
      <c r="H815" s="305"/>
      <c r="I815" s="305"/>
      <c r="J815" s="305"/>
      <c r="K815" s="305"/>
      <c r="L815" s="305"/>
      <c r="M815" s="305"/>
      <c r="N815" s="305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  <c r="Y815" s="158"/>
      <c r="Z815" s="158"/>
    </row>
    <row r="816" spans="1:26" ht="15.75" customHeight="1">
      <c r="A816" s="305"/>
      <c r="B816" s="305"/>
      <c r="C816" s="305"/>
      <c r="D816" s="305"/>
      <c r="E816" s="305"/>
      <c r="F816" s="305"/>
      <c r="G816" s="305"/>
      <c r="H816" s="305"/>
      <c r="I816" s="305"/>
      <c r="J816" s="305"/>
      <c r="K816" s="305"/>
      <c r="L816" s="305"/>
      <c r="M816" s="305"/>
      <c r="N816" s="305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  <c r="Y816" s="158"/>
      <c r="Z816" s="158"/>
    </row>
    <row r="817" spans="1:26" ht="15.75" customHeight="1">
      <c r="A817" s="305"/>
      <c r="B817" s="305"/>
      <c r="C817" s="305"/>
      <c r="D817" s="305"/>
      <c r="E817" s="305"/>
      <c r="F817" s="305"/>
      <c r="G817" s="305"/>
      <c r="H817" s="305"/>
      <c r="I817" s="305"/>
      <c r="J817" s="305"/>
      <c r="K817" s="305"/>
      <c r="L817" s="305"/>
      <c r="M817" s="305"/>
      <c r="N817" s="305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  <c r="Y817" s="158"/>
      <c r="Z817" s="158"/>
    </row>
    <row r="818" spans="1:26" ht="15.75" customHeight="1">
      <c r="A818" s="305"/>
      <c r="B818" s="305"/>
      <c r="C818" s="305"/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  <c r="Y818" s="158"/>
      <c r="Z818" s="158"/>
    </row>
    <row r="819" spans="1:26" ht="15.75" customHeight="1">
      <c r="A819" s="305"/>
      <c r="B819" s="305"/>
      <c r="C819" s="305"/>
      <c r="D819" s="305"/>
      <c r="E819" s="305"/>
      <c r="F819" s="305"/>
      <c r="G819" s="305"/>
      <c r="H819" s="305"/>
      <c r="I819" s="305"/>
      <c r="J819" s="305"/>
      <c r="K819" s="305"/>
      <c r="L819" s="305"/>
      <c r="M819" s="305"/>
      <c r="N819" s="305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  <c r="Y819" s="158"/>
      <c r="Z819" s="158"/>
    </row>
    <row r="820" spans="1:26" ht="15.75" customHeight="1">
      <c r="A820" s="305"/>
      <c r="B820" s="305"/>
      <c r="C820" s="305"/>
      <c r="D820" s="305"/>
      <c r="E820" s="305"/>
      <c r="F820" s="305"/>
      <c r="G820" s="305"/>
      <c r="H820" s="305"/>
      <c r="I820" s="305"/>
      <c r="J820" s="305"/>
      <c r="K820" s="305"/>
      <c r="L820" s="305"/>
      <c r="M820" s="305"/>
      <c r="N820" s="305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  <c r="Y820" s="158"/>
      <c r="Z820" s="158"/>
    </row>
    <row r="821" spans="1:26" ht="15.75" customHeight="1">
      <c r="A821" s="305"/>
      <c r="B821" s="305"/>
      <c r="C821" s="305"/>
      <c r="D821" s="305"/>
      <c r="E821" s="305"/>
      <c r="F821" s="305"/>
      <c r="G821" s="305"/>
      <c r="H821" s="305"/>
      <c r="I821" s="305"/>
      <c r="J821" s="305"/>
      <c r="K821" s="305"/>
      <c r="L821" s="305"/>
      <c r="M821" s="305"/>
      <c r="N821" s="305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  <c r="Y821" s="158"/>
      <c r="Z821" s="158"/>
    </row>
    <row r="822" spans="1:26" ht="15.75" customHeight="1">
      <c r="A822" s="305"/>
      <c r="B822" s="305"/>
      <c r="C822" s="305"/>
      <c r="D822" s="305"/>
      <c r="E822" s="305"/>
      <c r="F822" s="305"/>
      <c r="G822" s="305"/>
      <c r="H822" s="305"/>
      <c r="I822" s="305"/>
      <c r="J822" s="305"/>
      <c r="K822" s="305"/>
      <c r="L822" s="305"/>
      <c r="M822" s="305"/>
      <c r="N822" s="305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  <c r="Y822" s="158"/>
      <c r="Z822" s="158"/>
    </row>
    <row r="823" spans="1:26" ht="15.75" customHeight="1">
      <c r="A823" s="305"/>
      <c r="B823" s="305"/>
      <c r="C823" s="305"/>
      <c r="D823" s="305"/>
      <c r="E823" s="305"/>
      <c r="F823" s="305"/>
      <c r="G823" s="305"/>
      <c r="H823" s="305"/>
      <c r="I823" s="305"/>
      <c r="J823" s="305"/>
      <c r="K823" s="305"/>
      <c r="L823" s="305"/>
      <c r="M823" s="305"/>
      <c r="N823" s="305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  <c r="Y823" s="158"/>
      <c r="Z823" s="158"/>
    </row>
    <row r="824" spans="1:26" ht="15.75" customHeight="1">
      <c r="A824" s="305"/>
      <c r="B824" s="305"/>
      <c r="C824" s="305"/>
      <c r="D824" s="305"/>
      <c r="E824" s="305"/>
      <c r="F824" s="305"/>
      <c r="G824" s="305"/>
      <c r="H824" s="305"/>
      <c r="I824" s="305"/>
      <c r="J824" s="305"/>
      <c r="K824" s="305"/>
      <c r="L824" s="305"/>
      <c r="M824" s="305"/>
      <c r="N824" s="305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  <c r="Y824" s="158"/>
      <c r="Z824" s="158"/>
    </row>
    <row r="825" spans="1:26" ht="15.75" customHeight="1">
      <c r="A825" s="305"/>
      <c r="B825" s="305"/>
      <c r="C825" s="305"/>
      <c r="D825" s="305"/>
      <c r="E825" s="305"/>
      <c r="F825" s="305"/>
      <c r="G825" s="305"/>
      <c r="H825" s="305"/>
      <c r="I825" s="305"/>
      <c r="J825" s="305"/>
      <c r="K825" s="305"/>
      <c r="L825" s="305"/>
      <c r="M825" s="305"/>
      <c r="N825" s="305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  <c r="Y825" s="158"/>
      <c r="Z825" s="158"/>
    </row>
    <row r="826" spans="1:26" ht="15.75" customHeight="1">
      <c r="A826" s="305"/>
      <c r="B826" s="305"/>
      <c r="C826" s="305"/>
      <c r="D826" s="305"/>
      <c r="E826" s="305"/>
      <c r="F826" s="305"/>
      <c r="G826" s="305"/>
      <c r="H826" s="305"/>
      <c r="I826" s="305"/>
      <c r="J826" s="305"/>
      <c r="K826" s="305"/>
      <c r="L826" s="305"/>
      <c r="M826" s="305"/>
      <c r="N826" s="305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  <c r="Y826" s="158"/>
      <c r="Z826" s="158"/>
    </row>
    <row r="827" spans="1:26" ht="15.75" customHeight="1">
      <c r="A827" s="305"/>
      <c r="B827" s="305"/>
      <c r="C827" s="305"/>
      <c r="D827" s="305"/>
      <c r="E827" s="305"/>
      <c r="F827" s="305"/>
      <c r="G827" s="305"/>
      <c r="H827" s="305"/>
      <c r="I827" s="305"/>
      <c r="J827" s="305"/>
      <c r="K827" s="305"/>
      <c r="L827" s="305"/>
      <c r="M827" s="305"/>
      <c r="N827" s="305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  <c r="Y827" s="158"/>
      <c r="Z827" s="158"/>
    </row>
    <row r="828" spans="1:26" ht="15.75" customHeight="1">
      <c r="A828" s="305"/>
      <c r="B828" s="305"/>
      <c r="C828" s="305"/>
      <c r="D828" s="305"/>
      <c r="E828" s="305"/>
      <c r="F828" s="305"/>
      <c r="G828" s="305"/>
      <c r="H828" s="305"/>
      <c r="I828" s="305"/>
      <c r="J828" s="305"/>
      <c r="K828" s="305"/>
      <c r="L828" s="305"/>
      <c r="M828" s="305"/>
      <c r="N828" s="305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  <c r="Y828" s="158"/>
      <c r="Z828" s="158"/>
    </row>
    <row r="829" spans="1:26" ht="15.75" customHeight="1">
      <c r="A829" s="305"/>
      <c r="B829" s="305"/>
      <c r="C829" s="305"/>
      <c r="D829" s="305"/>
      <c r="E829" s="305"/>
      <c r="F829" s="305"/>
      <c r="G829" s="305"/>
      <c r="H829" s="305"/>
      <c r="I829" s="305"/>
      <c r="J829" s="305"/>
      <c r="K829" s="305"/>
      <c r="L829" s="305"/>
      <c r="M829" s="305"/>
      <c r="N829" s="305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  <c r="Y829" s="158"/>
      <c r="Z829" s="158"/>
    </row>
    <row r="830" spans="1:26" ht="15.75" customHeight="1">
      <c r="A830" s="305"/>
      <c r="B830" s="305"/>
      <c r="C830" s="305"/>
      <c r="D830" s="305"/>
      <c r="E830" s="305"/>
      <c r="F830" s="305"/>
      <c r="G830" s="305"/>
      <c r="H830" s="305"/>
      <c r="I830" s="305"/>
      <c r="J830" s="305"/>
      <c r="K830" s="305"/>
      <c r="L830" s="305"/>
      <c r="M830" s="305"/>
      <c r="N830" s="305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  <c r="Y830" s="158"/>
      <c r="Z830" s="158"/>
    </row>
    <row r="831" spans="1:26" ht="15.75" customHeight="1">
      <c r="A831" s="305"/>
      <c r="B831" s="305"/>
      <c r="C831" s="305"/>
      <c r="D831" s="305"/>
      <c r="E831" s="305"/>
      <c r="F831" s="305"/>
      <c r="G831" s="305"/>
      <c r="H831" s="305"/>
      <c r="I831" s="305"/>
      <c r="J831" s="305"/>
      <c r="K831" s="305"/>
      <c r="L831" s="305"/>
      <c r="M831" s="305"/>
      <c r="N831" s="305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  <c r="Y831" s="158"/>
      <c r="Z831" s="158"/>
    </row>
    <row r="832" spans="1:26" ht="15.75" customHeight="1">
      <c r="A832" s="305"/>
      <c r="B832" s="305"/>
      <c r="C832" s="305"/>
      <c r="D832" s="305"/>
      <c r="E832" s="305"/>
      <c r="F832" s="305"/>
      <c r="G832" s="305"/>
      <c r="H832" s="305"/>
      <c r="I832" s="305"/>
      <c r="J832" s="305"/>
      <c r="K832" s="305"/>
      <c r="L832" s="305"/>
      <c r="M832" s="305"/>
      <c r="N832" s="305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  <c r="Y832" s="158"/>
      <c r="Z832" s="158"/>
    </row>
    <row r="833" spans="1:26" ht="15.75" customHeight="1">
      <c r="A833" s="305"/>
      <c r="B833" s="305"/>
      <c r="C833" s="305"/>
      <c r="D833" s="305"/>
      <c r="E833" s="305"/>
      <c r="F833" s="305"/>
      <c r="G833" s="305"/>
      <c r="H833" s="305"/>
      <c r="I833" s="305"/>
      <c r="J833" s="305"/>
      <c r="K833" s="305"/>
      <c r="L833" s="305"/>
      <c r="M833" s="305"/>
      <c r="N833" s="305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  <c r="Y833" s="158"/>
      <c r="Z833" s="158"/>
    </row>
    <row r="834" spans="1:26" ht="15.75" customHeight="1">
      <c r="A834" s="305"/>
      <c r="B834" s="305"/>
      <c r="C834" s="305"/>
      <c r="D834" s="305"/>
      <c r="E834" s="305"/>
      <c r="F834" s="305"/>
      <c r="G834" s="305"/>
      <c r="H834" s="305"/>
      <c r="I834" s="305"/>
      <c r="J834" s="305"/>
      <c r="K834" s="305"/>
      <c r="L834" s="305"/>
      <c r="M834" s="305"/>
      <c r="N834" s="305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  <c r="Y834" s="158"/>
      <c r="Z834" s="158"/>
    </row>
    <row r="835" spans="1:26" ht="15.75" customHeight="1">
      <c r="A835" s="305"/>
      <c r="B835" s="305"/>
      <c r="C835" s="305"/>
      <c r="D835" s="305"/>
      <c r="E835" s="305"/>
      <c r="F835" s="305"/>
      <c r="G835" s="305"/>
      <c r="H835" s="305"/>
      <c r="I835" s="305"/>
      <c r="J835" s="305"/>
      <c r="K835" s="305"/>
      <c r="L835" s="305"/>
      <c r="M835" s="305"/>
      <c r="N835" s="305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  <c r="Y835" s="158"/>
      <c r="Z835" s="158"/>
    </row>
    <row r="836" spans="1:26" ht="15.75" customHeight="1">
      <c r="A836" s="305"/>
      <c r="B836" s="305"/>
      <c r="C836" s="305"/>
      <c r="D836" s="305"/>
      <c r="E836" s="305"/>
      <c r="F836" s="305"/>
      <c r="G836" s="305"/>
      <c r="H836" s="305"/>
      <c r="I836" s="305"/>
      <c r="J836" s="305"/>
      <c r="K836" s="305"/>
      <c r="L836" s="305"/>
      <c r="M836" s="305"/>
      <c r="N836" s="305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  <c r="Y836" s="158"/>
      <c r="Z836" s="158"/>
    </row>
    <row r="837" spans="1:26" ht="15.75" customHeight="1">
      <c r="A837" s="305"/>
      <c r="B837" s="305"/>
      <c r="C837" s="305"/>
      <c r="D837" s="305"/>
      <c r="E837" s="305"/>
      <c r="F837" s="305"/>
      <c r="G837" s="305"/>
      <c r="H837" s="305"/>
      <c r="I837" s="305"/>
      <c r="J837" s="305"/>
      <c r="K837" s="305"/>
      <c r="L837" s="305"/>
      <c r="M837" s="305"/>
      <c r="N837" s="305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  <c r="Y837" s="158"/>
      <c r="Z837" s="158"/>
    </row>
    <row r="838" spans="1:26" ht="15.75" customHeight="1">
      <c r="A838" s="305"/>
      <c r="B838" s="305"/>
      <c r="C838" s="305"/>
      <c r="D838" s="305"/>
      <c r="E838" s="305"/>
      <c r="F838" s="305"/>
      <c r="G838" s="305"/>
      <c r="H838" s="305"/>
      <c r="I838" s="305"/>
      <c r="J838" s="305"/>
      <c r="K838" s="305"/>
      <c r="L838" s="305"/>
      <c r="M838" s="305"/>
      <c r="N838" s="305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  <c r="Y838" s="158"/>
      <c r="Z838" s="158"/>
    </row>
    <row r="839" spans="1:26" ht="15.75" customHeight="1">
      <c r="A839" s="305"/>
      <c r="B839" s="305"/>
      <c r="C839" s="305"/>
      <c r="D839" s="305"/>
      <c r="E839" s="305"/>
      <c r="F839" s="305"/>
      <c r="G839" s="305"/>
      <c r="H839" s="305"/>
      <c r="I839" s="305"/>
      <c r="J839" s="305"/>
      <c r="K839" s="305"/>
      <c r="L839" s="305"/>
      <c r="M839" s="305"/>
      <c r="N839" s="305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  <c r="Y839" s="158"/>
      <c r="Z839" s="158"/>
    </row>
    <row r="840" spans="1:26" ht="15.75" customHeight="1">
      <c r="A840" s="305"/>
      <c r="B840" s="305"/>
      <c r="C840" s="305"/>
      <c r="D840" s="305"/>
      <c r="E840" s="305"/>
      <c r="F840" s="305"/>
      <c r="G840" s="305"/>
      <c r="H840" s="305"/>
      <c r="I840" s="305"/>
      <c r="J840" s="305"/>
      <c r="K840" s="305"/>
      <c r="L840" s="305"/>
      <c r="M840" s="305"/>
      <c r="N840" s="305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  <c r="Y840" s="158"/>
      <c r="Z840" s="158"/>
    </row>
    <row r="841" spans="1:26" ht="15.75" customHeight="1">
      <c r="A841" s="305"/>
      <c r="B841" s="305"/>
      <c r="C841" s="305"/>
      <c r="D841" s="305"/>
      <c r="E841" s="305"/>
      <c r="F841" s="305"/>
      <c r="G841" s="305"/>
      <c r="H841" s="305"/>
      <c r="I841" s="305"/>
      <c r="J841" s="305"/>
      <c r="K841" s="305"/>
      <c r="L841" s="305"/>
      <c r="M841" s="305"/>
      <c r="N841" s="305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  <c r="Y841" s="158"/>
      <c r="Z841" s="158"/>
    </row>
    <row r="842" spans="1:26" ht="15.75" customHeight="1">
      <c r="A842" s="305"/>
      <c r="B842" s="305"/>
      <c r="C842" s="305"/>
      <c r="D842" s="305"/>
      <c r="E842" s="305"/>
      <c r="F842" s="305"/>
      <c r="G842" s="305"/>
      <c r="H842" s="305"/>
      <c r="I842" s="305"/>
      <c r="J842" s="305"/>
      <c r="K842" s="305"/>
      <c r="L842" s="305"/>
      <c r="M842" s="305"/>
      <c r="N842" s="305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  <c r="Y842" s="158"/>
      <c r="Z842" s="158"/>
    </row>
    <row r="843" spans="1:26" ht="15.75" customHeight="1">
      <c r="A843" s="305"/>
      <c r="B843" s="305"/>
      <c r="C843" s="305"/>
      <c r="D843" s="305"/>
      <c r="E843" s="305"/>
      <c r="F843" s="305"/>
      <c r="G843" s="305"/>
      <c r="H843" s="305"/>
      <c r="I843" s="305"/>
      <c r="J843" s="305"/>
      <c r="K843" s="305"/>
      <c r="L843" s="305"/>
      <c r="M843" s="305"/>
      <c r="N843" s="305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  <c r="Y843" s="158"/>
      <c r="Z843" s="158"/>
    </row>
    <row r="844" spans="1:26" ht="15.75" customHeight="1">
      <c r="A844" s="305"/>
      <c r="B844" s="305"/>
      <c r="C844" s="305"/>
      <c r="D844" s="305"/>
      <c r="E844" s="305"/>
      <c r="F844" s="305"/>
      <c r="G844" s="305"/>
      <c r="H844" s="305"/>
      <c r="I844" s="305"/>
      <c r="J844" s="305"/>
      <c r="K844" s="305"/>
      <c r="L844" s="305"/>
      <c r="M844" s="305"/>
      <c r="N844" s="305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  <c r="Y844" s="158"/>
      <c r="Z844" s="158"/>
    </row>
    <row r="845" spans="1:26" ht="15.75" customHeight="1">
      <c r="A845" s="305"/>
      <c r="B845" s="305"/>
      <c r="C845" s="305"/>
      <c r="D845" s="305"/>
      <c r="E845" s="305"/>
      <c r="F845" s="305"/>
      <c r="G845" s="305"/>
      <c r="H845" s="305"/>
      <c r="I845" s="305"/>
      <c r="J845" s="305"/>
      <c r="K845" s="305"/>
      <c r="L845" s="305"/>
      <c r="M845" s="305"/>
      <c r="N845" s="305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  <c r="Y845" s="158"/>
      <c r="Z845" s="158"/>
    </row>
    <row r="846" spans="1:26" ht="15.75" customHeight="1">
      <c r="A846" s="305"/>
      <c r="B846" s="305"/>
      <c r="C846" s="305"/>
      <c r="D846" s="305"/>
      <c r="E846" s="305"/>
      <c r="F846" s="305"/>
      <c r="G846" s="305"/>
      <c r="H846" s="305"/>
      <c r="I846" s="305"/>
      <c r="J846" s="305"/>
      <c r="K846" s="305"/>
      <c r="L846" s="305"/>
      <c r="M846" s="305"/>
      <c r="N846" s="305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  <c r="Y846" s="158"/>
      <c r="Z846" s="158"/>
    </row>
    <row r="847" spans="1:26" ht="15.75" customHeight="1">
      <c r="A847" s="305"/>
      <c r="B847" s="305"/>
      <c r="C847" s="305"/>
      <c r="D847" s="305"/>
      <c r="E847" s="305"/>
      <c r="F847" s="305"/>
      <c r="G847" s="305"/>
      <c r="H847" s="305"/>
      <c r="I847" s="305"/>
      <c r="J847" s="305"/>
      <c r="K847" s="305"/>
      <c r="L847" s="305"/>
      <c r="M847" s="305"/>
      <c r="N847" s="305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  <c r="Y847" s="158"/>
      <c r="Z847" s="158"/>
    </row>
    <row r="848" spans="1:26" ht="15.75" customHeight="1">
      <c r="A848" s="305"/>
      <c r="B848" s="305"/>
      <c r="C848" s="305"/>
      <c r="D848" s="305"/>
      <c r="E848" s="305"/>
      <c r="F848" s="305"/>
      <c r="G848" s="305"/>
      <c r="H848" s="305"/>
      <c r="I848" s="305"/>
      <c r="J848" s="305"/>
      <c r="K848" s="305"/>
      <c r="L848" s="305"/>
      <c r="M848" s="305"/>
      <c r="N848" s="305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  <c r="Y848" s="158"/>
      <c r="Z848" s="158"/>
    </row>
    <row r="849" spans="1:26" ht="15.75" customHeight="1">
      <c r="A849" s="305"/>
      <c r="B849" s="305"/>
      <c r="C849" s="305"/>
      <c r="D849" s="305"/>
      <c r="E849" s="305"/>
      <c r="F849" s="305"/>
      <c r="G849" s="305"/>
      <c r="H849" s="305"/>
      <c r="I849" s="305"/>
      <c r="J849" s="305"/>
      <c r="K849" s="305"/>
      <c r="L849" s="305"/>
      <c r="M849" s="305"/>
      <c r="N849" s="305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  <c r="Y849" s="158"/>
      <c r="Z849" s="158"/>
    </row>
    <row r="850" spans="1:26" ht="15.75" customHeight="1">
      <c r="A850" s="305"/>
      <c r="B850" s="305"/>
      <c r="C850" s="305"/>
      <c r="D850" s="305"/>
      <c r="E850" s="305"/>
      <c r="F850" s="305"/>
      <c r="G850" s="305"/>
      <c r="H850" s="305"/>
      <c r="I850" s="305"/>
      <c r="J850" s="305"/>
      <c r="K850" s="305"/>
      <c r="L850" s="305"/>
      <c r="M850" s="305"/>
      <c r="N850" s="305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  <c r="Y850" s="158"/>
      <c r="Z850" s="158"/>
    </row>
    <row r="851" spans="1:26" ht="15.75" customHeight="1">
      <c r="A851" s="305"/>
      <c r="B851" s="305"/>
      <c r="C851" s="305"/>
      <c r="D851" s="305"/>
      <c r="E851" s="305"/>
      <c r="F851" s="305"/>
      <c r="G851" s="305"/>
      <c r="H851" s="305"/>
      <c r="I851" s="305"/>
      <c r="J851" s="305"/>
      <c r="K851" s="305"/>
      <c r="L851" s="305"/>
      <c r="M851" s="305"/>
      <c r="N851" s="305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  <c r="Y851" s="158"/>
      <c r="Z851" s="158"/>
    </row>
    <row r="852" spans="1:26" ht="15.75" customHeight="1">
      <c r="A852" s="305"/>
      <c r="B852" s="305"/>
      <c r="C852" s="305"/>
      <c r="D852" s="305"/>
      <c r="E852" s="305"/>
      <c r="F852" s="305"/>
      <c r="G852" s="305"/>
      <c r="H852" s="305"/>
      <c r="I852" s="305"/>
      <c r="J852" s="305"/>
      <c r="K852" s="305"/>
      <c r="L852" s="305"/>
      <c r="M852" s="305"/>
      <c r="N852" s="305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  <c r="Y852" s="158"/>
      <c r="Z852" s="158"/>
    </row>
    <row r="853" spans="1:26" ht="15.75" customHeight="1">
      <c r="A853" s="305"/>
      <c r="B853" s="305"/>
      <c r="C853" s="305"/>
      <c r="D853" s="305"/>
      <c r="E853" s="305"/>
      <c r="F853" s="305"/>
      <c r="G853" s="305"/>
      <c r="H853" s="305"/>
      <c r="I853" s="305"/>
      <c r="J853" s="305"/>
      <c r="K853" s="305"/>
      <c r="L853" s="305"/>
      <c r="M853" s="305"/>
      <c r="N853" s="305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  <c r="Y853" s="158"/>
      <c r="Z853" s="158"/>
    </row>
    <row r="854" spans="1:26" ht="15.75" customHeight="1">
      <c r="A854" s="305"/>
      <c r="B854" s="305"/>
      <c r="C854" s="305"/>
      <c r="D854" s="305"/>
      <c r="E854" s="305"/>
      <c r="F854" s="305"/>
      <c r="G854" s="305"/>
      <c r="H854" s="305"/>
      <c r="I854" s="305"/>
      <c r="J854" s="305"/>
      <c r="K854" s="305"/>
      <c r="L854" s="305"/>
      <c r="M854" s="305"/>
      <c r="N854" s="305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  <c r="Y854" s="158"/>
      <c r="Z854" s="158"/>
    </row>
    <row r="855" spans="1:26" ht="15.75" customHeight="1">
      <c r="A855" s="305"/>
      <c r="B855" s="305"/>
      <c r="C855" s="305"/>
      <c r="D855" s="305"/>
      <c r="E855" s="305"/>
      <c r="F855" s="305"/>
      <c r="G855" s="305"/>
      <c r="H855" s="305"/>
      <c r="I855" s="305"/>
      <c r="J855" s="305"/>
      <c r="K855" s="305"/>
      <c r="L855" s="305"/>
      <c r="M855" s="305"/>
      <c r="N855" s="305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  <c r="Y855" s="158"/>
      <c r="Z855" s="158"/>
    </row>
    <row r="856" spans="1:26" ht="15.75" customHeight="1">
      <c r="A856" s="305"/>
      <c r="B856" s="305"/>
      <c r="C856" s="305"/>
      <c r="D856" s="305"/>
      <c r="E856" s="305"/>
      <c r="F856" s="305"/>
      <c r="G856" s="305"/>
      <c r="H856" s="305"/>
      <c r="I856" s="305"/>
      <c r="J856" s="305"/>
      <c r="K856" s="305"/>
      <c r="L856" s="305"/>
      <c r="M856" s="305"/>
      <c r="N856" s="305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  <c r="Y856" s="158"/>
      <c r="Z856" s="158"/>
    </row>
    <row r="857" spans="1:26" ht="15.75" customHeight="1">
      <c r="A857" s="305"/>
      <c r="B857" s="305"/>
      <c r="C857" s="305"/>
      <c r="D857" s="305"/>
      <c r="E857" s="305"/>
      <c r="F857" s="305"/>
      <c r="G857" s="305"/>
      <c r="H857" s="305"/>
      <c r="I857" s="305"/>
      <c r="J857" s="305"/>
      <c r="K857" s="305"/>
      <c r="L857" s="305"/>
      <c r="M857" s="305"/>
      <c r="N857" s="305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  <c r="Y857" s="158"/>
      <c r="Z857" s="158"/>
    </row>
    <row r="858" spans="1:26" ht="15.75" customHeight="1">
      <c r="A858" s="305"/>
      <c r="B858" s="305"/>
      <c r="C858" s="305"/>
      <c r="D858" s="305"/>
      <c r="E858" s="305"/>
      <c r="F858" s="305"/>
      <c r="G858" s="305"/>
      <c r="H858" s="305"/>
      <c r="I858" s="305"/>
      <c r="J858" s="305"/>
      <c r="K858" s="305"/>
      <c r="L858" s="305"/>
      <c r="M858" s="305"/>
      <c r="N858" s="305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  <c r="Y858" s="158"/>
      <c r="Z858" s="158"/>
    </row>
    <row r="859" spans="1:26" ht="15.75" customHeight="1">
      <c r="A859" s="305"/>
      <c r="B859" s="305"/>
      <c r="C859" s="305"/>
      <c r="D859" s="305"/>
      <c r="E859" s="305"/>
      <c r="F859" s="305"/>
      <c r="G859" s="305"/>
      <c r="H859" s="305"/>
      <c r="I859" s="305"/>
      <c r="J859" s="305"/>
      <c r="K859" s="305"/>
      <c r="L859" s="305"/>
      <c r="M859" s="305"/>
      <c r="N859" s="305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  <c r="Y859" s="158"/>
      <c r="Z859" s="158"/>
    </row>
    <row r="860" spans="1:26" ht="15.75" customHeight="1">
      <c r="A860" s="305"/>
      <c r="B860" s="305"/>
      <c r="C860" s="305"/>
      <c r="D860" s="305"/>
      <c r="E860" s="305"/>
      <c r="F860" s="305"/>
      <c r="G860" s="305"/>
      <c r="H860" s="305"/>
      <c r="I860" s="305"/>
      <c r="J860" s="305"/>
      <c r="K860" s="305"/>
      <c r="L860" s="305"/>
      <c r="M860" s="305"/>
      <c r="N860" s="305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  <c r="Y860" s="158"/>
      <c r="Z860" s="158"/>
    </row>
    <row r="861" spans="1:26" ht="15.75" customHeight="1">
      <c r="A861" s="305"/>
      <c r="B861" s="305"/>
      <c r="C861" s="305"/>
      <c r="D861" s="305"/>
      <c r="E861" s="305"/>
      <c r="F861" s="305"/>
      <c r="G861" s="305"/>
      <c r="H861" s="305"/>
      <c r="I861" s="305"/>
      <c r="J861" s="305"/>
      <c r="K861" s="305"/>
      <c r="L861" s="305"/>
      <c r="M861" s="305"/>
      <c r="N861" s="305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  <c r="Y861" s="158"/>
      <c r="Z861" s="158"/>
    </row>
    <row r="862" spans="1:26" ht="15.75" customHeight="1">
      <c r="A862" s="305"/>
      <c r="B862" s="305"/>
      <c r="C862" s="305"/>
      <c r="D862" s="305"/>
      <c r="E862" s="305"/>
      <c r="F862" s="305"/>
      <c r="G862" s="305"/>
      <c r="H862" s="305"/>
      <c r="I862" s="305"/>
      <c r="J862" s="305"/>
      <c r="K862" s="305"/>
      <c r="L862" s="305"/>
      <c r="M862" s="305"/>
      <c r="N862" s="305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  <c r="Y862" s="158"/>
      <c r="Z862" s="158"/>
    </row>
    <row r="863" spans="1:26" ht="15.75" customHeight="1">
      <c r="A863" s="305"/>
      <c r="B863" s="305"/>
      <c r="C863" s="305"/>
      <c r="D863" s="305"/>
      <c r="E863" s="305"/>
      <c r="F863" s="305"/>
      <c r="G863" s="305"/>
      <c r="H863" s="305"/>
      <c r="I863" s="305"/>
      <c r="J863" s="305"/>
      <c r="K863" s="305"/>
      <c r="L863" s="305"/>
      <c r="M863" s="305"/>
      <c r="N863" s="305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  <c r="Y863" s="158"/>
      <c r="Z863" s="158"/>
    </row>
    <row r="864" spans="1:26" ht="15.75" customHeight="1">
      <c r="A864" s="305"/>
      <c r="B864" s="305"/>
      <c r="C864" s="305"/>
      <c r="D864" s="305"/>
      <c r="E864" s="305"/>
      <c r="F864" s="305"/>
      <c r="G864" s="305"/>
      <c r="H864" s="305"/>
      <c r="I864" s="305"/>
      <c r="J864" s="305"/>
      <c r="K864" s="305"/>
      <c r="L864" s="305"/>
      <c r="M864" s="305"/>
      <c r="N864" s="305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  <c r="Y864" s="158"/>
      <c r="Z864" s="158"/>
    </row>
    <row r="865" spans="1:26" ht="15.75" customHeight="1">
      <c r="A865" s="305"/>
      <c r="B865" s="305"/>
      <c r="C865" s="305"/>
      <c r="D865" s="305"/>
      <c r="E865" s="305"/>
      <c r="F865" s="305"/>
      <c r="G865" s="305"/>
      <c r="H865" s="305"/>
      <c r="I865" s="305"/>
      <c r="J865" s="305"/>
      <c r="K865" s="305"/>
      <c r="L865" s="305"/>
      <c r="M865" s="305"/>
      <c r="N865" s="305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  <c r="Y865" s="158"/>
      <c r="Z865" s="158"/>
    </row>
    <row r="866" spans="1:26" ht="15.75" customHeight="1">
      <c r="A866" s="305"/>
      <c r="B866" s="305"/>
      <c r="C866" s="305"/>
      <c r="D866" s="305"/>
      <c r="E866" s="305"/>
      <c r="F866" s="305"/>
      <c r="G866" s="305"/>
      <c r="H866" s="305"/>
      <c r="I866" s="305"/>
      <c r="J866" s="305"/>
      <c r="K866" s="305"/>
      <c r="L866" s="305"/>
      <c r="M866" s="305"/>
      <c r="N866" s="305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  <c r="Y866" s="158"/>
      <c r="Z866" s="158"/>
    </row>
    <row r="867" spans="1:26" ht="15.75" customHeight="1">
      <c r="A867" s="305"/>
      <c r="B867" s="305"/>
      <c r="C867" s="305"/>
      <c r="D867" s="305"/>
      <c r="E867" s="305"/>
      <c r="F867" s="305"/>
      <c r="G867" s="305"/>
      <c r="H867" s="305"/>
      <c r="I867" s="305"/>
      <c r="J867" s="305"/>
      <c r="K867" s="305"/>
      <c r="L867" s="305"/>
      <c r="M867" s="305"/>
      <c r="N867" s="305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  <c r="Y867" s="158"/>
      <c r="Z867" s="158"/>
    </row>
    <row r="868" spans="1:26" ht="15.75" customHeight="1">
      <c r="A868" s="305"/>
      <c r="B868" s="305"/>
      <c r="C868" s="305"/>
      <c r="D868" s="305"/>
      <c r="E868" s="305"/>
      <c r="F868" s="305"/>
      <c r="G868" s="305"/>
      <c r="H868" s="305"/>
      <c r="I868" s="305"/>
      <c r="J868" s="305"/>
      <c r="K868" s="305"/>
      <c r="L868" s="305"/>
      <c r="M868" s="305"/>
      <c r="N868" s="305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  <c r="Y868" s="158"/>
      <c r="Z868" s="158"/>
    </row>
    <row r="869" spans="1:26" ht="15.75" customHeight="1">
      <c r="A869" s="305"/>
      <c r="B869" s="305"/>
      <c r="C869" s="305"/>
      <c r="D869" s="305"/>
      <c r="E869" s="305"/>
      <c r="F869" s="305"/>
      <c r="G869" s="305"/>
      <c r="H869" s="305"/>
      <c r="I869" s="305"/>
      <c r="J869" s="305"/>
      <c r="K869" s="305"/>
      <c r="L869" s="305"/>
      <c r="M869" s="305"/>
      <c r="N869" s="305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  <c r="Y869" s="158"/>
      <c r="Z869" s="158"/>
    </row>
    <row r="870" spans="1:26" ht="15.75" customHeight="1">
      <c r="A870" s="305"/>
      <c r="B870" s="305"/>
      <c r="C870" s="305"/>
      <c r="D870" s="305"/>
      <c r="E870" s="305"/>
      <c r="F870" s="305"/>
      <c r="G870" s="305"/>
      <c r="H870" s="305"/>
      <c r="I870" s="305"/>
      <c r="J870" s="305"/>
      <c r="K870" s="305"/>
      <c r="L870" s="305"/>
      <c r="M870" s="305"/>
      <c r="N870" s="305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  <c r="Y870" s="158"/>
      <c r="Z870" s="158"/>
    </row>
    <row r="871" spans="1:26" ht="15.75" customHeight="1">
      <c r="A871" s="305"/>
      <c r="B871" s="305"/>
      <c r="C871" s="305"/>
      <c r="D871" s="305"/>
      <c r="E871" s="305"/>
      <c r="F871" s="305"/>
      <c r="G871" s="305"/>
      <c r="H871" s="305"/>
      <c r="I871" s="305"/>
      <c r="J871" s="305"/>
      <c r="K871" s="305"/>
      <c r="L871" s="305"/>
      <c r="M871" s="305"/>
      <c r="N871" s="305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  <c r="Y871" s="158"/>
      <c r="Z871" s="158"/>
    </row>
    <row r="872" spans="1:26" ht="15.75" customHeight="1">
      <c r="A872" s="305"/>
      <c r="B872" s="305"/>
      <c r="C872" s="305"/>
      <c r="D872" s="305"/>
      <c r="E872" s="305"/>
      <c r="F872" s="305"/>
      <c r="G872" s="305"/>
      <c r="H872" s="305"/>
      <c r="I872" s="305"/>
      <c r="J872" s="305"/>
      <c r="K872" s="305"/>
      <c r="L872" s="305"/>
      <c r="M872" s="305"/>
      <c r="N872" s="305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  <c r="Y872" s="158"/>
      <c r="Z872" s="158"/>
    </row>
    <row r="873" spans="1:26" ht="15.75" customHeight="1">
      <c r="A873" s="305"/>
      <c r="B873" s="305"/>
      <c r="C873" s="305"/>
      <c r="D873" s="305"/>
      <c r="E873" s="305"/>
      <c r="F873" s="305"/>
      <c r="G873" s="305"/>
      <c r="H873" s="305"/>
      <c r="I873" s="305"/>
      <c r="J873" s="305"/>
      <c r="K873" s="305"/>
      <c r="L873" s="305"/>
      <c r="M873" s="305"/>
      <c r="N873" s="305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  <c r="Y873" s="158"/>
      <c r="Z873" s="158"/>
    </row>
    <row r="874" spans="1:26" ht="15.75" customHeight="1">
      <c r="A874" s="305"/>
      <c r="B874" s="305"/>
      <c r="C874" s="305"/>
      <c r="D874" s="305"/>
      <c r="E874" s="305"/>
      <c r="F874" s="305"/>
      <c r="G874" s="305"/>
      <c r="H874" s="305"/>
      <c r="I874" s="305"/>
      <c r="J874" s="305"/>
      <c r="K874" s="305"/>
      <c r="L874" s="305"/>
      <c r="M874" s="305"/>
      <c r="N874" s="305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  <c r="Y874" s="158"/>
      <c r="Z874" s="158"/>
    </row>
    <row r="875" spans="1:26" ht="15.75" customHeight="1">
      <c r="A875" s="305"/>
      <c r="B875" s="305"/>
      <c r="C875" s="305"/>
      <c r="D875" s="305"/>
      <c r="E875" s="305"/>
      <c r="F875" s="305"/>
      <c r="G875" s="305"/>
      <c r="H875" s="305"/>
      <c r="I875" s="305"/>
      <c r="J875" s="305"/>
      <c r="K875" s="305"/>
      <c r="L875" s="305"/>
      <c r="M875" s="305"/>
      <c r="N875" s="305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  <c r="Y875" s="158"/>
      <c r="Z875" s="158"/>
    </row>
    <row r="876" spans="1:26" ht="15.75" customHeight="1">
      <c r="A876" s="305"/>
      <c r="B876" s="305"/>
      <c r="C876" s="305"/>
      <c r="D876" s="305"/>
      <c r="E876" s="305"/>
      <c r="F876" s="305"/>
      <c r="G876" s="305"/>
      <c r="H876" s="305"/>
      <c r="I876" s="305"/>
      <c r="J876" s="305"/>
      <c r="K876" s="305"/>
      <c r="L876" s="305"/>
      <c r="M876" s="305"/>
      <c r="N876" s="305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  <c r="Y876" s="158"/>
      <c r="Z876" s="158"/>
    </row>
    <row r="877" spans="1:26" ht="15.75" customHeight="1">
      <c r="A877" s="305"/>
      <c r="B877" s="305"/>
      <c r="C877" s="305"/>
      <c r="D877" s="305"/>
      <c r="E877" s="305"/>
      <c r="F877" s="305"/>
      <c r="G877" s="305"/>
      <c r="H877" s="305"/>
      <c r="I877" s="305"/>
      <c r="J877" s="305"/>
      <c r="K877" s="305"/>
      <c r="L877" s="305"/>
      <c r="M877" s="305"/>
      <c r="N877" s="305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  <c r="Y877" s="158"/>
      <c r="Z877" s="158"/>
    </row>
    <row r="878" spans="1:26" ht="15.75" customHeight="1">
      <c r="A878" s="305"/>
      <c r="B878" s="305"/>
      <c r="C878" s="305"/>
      <c r="D878" s="305"/>
      <c r="E878" s="305"/>
      <c r="F878" s="305"/>
      <c r="G878" s="305"/>
      <c r="H878" s="305"/>
      <c r="I878" s="305"/>
      <c r="J878" s="305"/>
      <c r="K878" s="305"/>
      <c r="L878" s="305"/>
      <c r="M878" s="305"/>
      <c r="N878" s="305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  <c r="Y878" s="158"/>
      <c r="Z878" s="158"/>
    </row>
    <row r="879" spans="1:26" ht="15.75" customHeight="1">
      <c r="A879" s="305"/>
      <c r="B879" s="305"/>
      <c r="C879" s="305"/>
      <c r="D879" s="305"/>
      <c r="E879" s="305"/>
      <c r="F879" s="305"/>
      <c r="G879" s="305"/>
      <c r="H879" s="305"/>
      <c r="I879" s="305"/>
      <c r="J879" s="305"/>
      <c r="K879" s="305"/>
      <c r="L879" s="305"/>
      <c r="M879" s="305"/>
      <c r="N879" s="305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  <c r="Y879" s="158"/>
      <c r="Z879" s="158"/>
    </row>
    <row r="880" spans="1:26" ht="15.75" customHeight="1">
      <c r="A880" s="305"/>
      <c r="B880" s="305"/>
      <c r="C880" s="305"/>
      <c r="D880" s="305"/>
      <c r="E880" s="305"/>
      <c r="F880" s="305"/>
      <c r="G880" s="305"/>
      <c r="H880" s="305"/>
      <c r="I880" s="305"/>
      <c r="J880" s="305"/>
      <c r="K880" s="305"/>
      <c r="L880" s="305"/>
      <c r="M880" s="305"/>
      <c r="N880" s="305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  <c r="Y880" s="158"/>
      <c r="Z880" s="158"/>
    </row>
    <row r="881" spans="1:26" ht="15.75" customHeight="1">
      <c r="A881" s="305"/>
      <c r="B881" s="305"/>
      <c r="C881" s="305"/>
      <c r="D881" s="305"/>
      <c r="E881" s="305"/>
      <c r="F881" s="305"/>
      <c r="G881" s="305"/>
      <c r="H881" s="305"/>
      <c r="I881" s="305"/>
      <c r="J881" s="305"/>
      <c r="K881" s="305"/>
      <c r="L881" s="305"/>
      <c r="M881" s="305"/>
      <c r="N881" s="305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  <c r="Y881" s="158"/>
      <c r="Z881" s="158"/>
    </row>
    <row r="882" spans="1:26" ht="15.75" customHeight="1">
      <c r="A882" s="305"/>
      <c r="B882" s="305"/>
      <c r="C882" s="305"/>
      <c r="D882" s="305"/>
      <c r="E882" s="305"/>
      <c r="F882" s="305"/>
      <c r="G882" s="305"/>
      <c r="H882" s="305"/>
      <c r="I882" s="305"/>
      <c r="J882" s="305"/>
      <c r="K882" s="305"/>
      <c r="L882" s="305"/>
      <c r="M882" s="305"/>
      <c r="N882" s="305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  <c r="Y882" s="158"/>
      <c r="Z882" s="158"/>
    </row>
    <row r="883" spans="1:26" ht="15.75" customHeight="1">
      <c r="A883" s="305"/>
      <c r="B883" s="305"/>
      <c r="C883" s="305"/>
      <c r="D883" s="305"/>
      <c r="E883" s="305"/>
      <c r="F883" s="305"/>
      <c r="G883" s="305"/>
      <c r="H883" s="305"/>
      <c r="I883" s="305"/>
      <c r="J883" s="305"/>
      <c r="K883" s="305"/>
      <c r="L883" s="305"/>
      <c r="M883" s="305"/>
      <c r="N883" s="305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  <c r="Y883" s="158"/>
      <c r="Z883" s="158"/>
    </row>
    <row r="884" spans="1:26" ht="15.75" customHeight="1">
      <c r="A884" s="305"/>
      <c r="B884" s="305"/>
      <c r="C884" s="305"/>
      <c r="D884" s="305"/>
      <c r="E884" s="305"/>
      <c r="F884" s="305"/>
      <c r="G884" s="305"/>
      <c r="H884" s="305"/>
      <c r="I884" s="305"/>
      <c r="J884" s="305"/>
      <c r="K884" s="305"/>
      <c r="L884" s="305"/>
      <c r="M884" s="305"/>
      <c r="N884" s="305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  <c r="Y884" s="158"/>
      <c r="Z884" s="158"/>
    </row>
    <row r="885" spans="1:26" ht="15.75" customHeight="1">
      <c r="A885" s="305"/>
      <c r="B885" s="305"/>
      <c r="C885" s="305"/>
      <c r="D885" s="305"/>
      <c r="E885" s="305"/>
      <c r="F885" s="305"/>
      <c r="G885" s="305"/>
      <c r="H885" s="305"/>
      <c r="I885" s="305"/>
      <c r="J885" s="305"/>
      <c r="K885" s="305"/>
      <c r="L885" s="305"/>
      <c r="M885" s="305"/>
      <c r="N885" s="305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  <c r="Y885" s="158"/>
      <c r="Z885" s="158"/>
    </row>
    <row r="886" spans="1:26" ht="15.75" customHeight="1">
      <c r="A886" s="305"/>
      <c r="B886" s="305"/>
      <c r="C886" s="305"/>
      <c r="D886" s="305"/>
      <c r="E886" s="305"/>
      <c r="F886" s="305"/>
      <c r="G886" s="305"/>
      <c r="H886" s="305"/>
      <c r="I886" s="305"/>
      <c r="J886" s="305"/>
      <c r="K886" s="305"/>
      <c r="L886" s="305"/>
      <c r="M886" s="305"/>
      <c r="N886" s="305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  <c r="Y886" s="158"/>
      <c r="Z886" s="158"/>
    </row>
    <row r="887" spans="1:26" ht="15.75" customHeight="1">
      <c r="A887" s="305"/>
      <c r="B887" s="305"/>
      <c r="C887" s="305"/>
      <c r="D887" s="305"/>
      <c r="E887" s="305"/>
      <c r="F887" s="305"/>
      <c r="G887" s="305"/>
      <c r="H887" s="305"/>
      <c r="I887" s="305"/>
      <c r="J887" s="305"/>
      <c r="K887" s="305"/>
      <c r="L887" s="305"/>
      <c r="M887" s="305"/>
      <c r="N887" s="305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  <c r="Y887" s="158"/>
      <c r="Z887" s="158"/>
    </row>
    <row r="888" spans="1:26" ht="15.75" customHeight="1">
      <c r="A888" s="305"/>
      <c r="B888" s="305"/>
      <c r="C888" s="305"/>
      <c r="D888" s="305"/>
      <c r="E888" s="305"/>
      <c r="F888" s="305"/>
      <c r="G888" s="305"/>
      <c r="H888" s="305"/>
      <c r="I888" s="305"/>
      <c r="J888" s="305"/>
      <c r="K888" s="305"/>
      <c r="L888" s="305"/>
      <c r="M888" s="305"/>
      <c r="N888" s="305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  <c r="Y888" s="158"/>
      <c r="Z888" s="158"/>
    </row>
    <row r="889" spans="1:26" ht="15.75" customHeight="1">
      <c r="A889" s="305"/>
      <c r="B889" s="305"/>
      <c r="C889" s="305"/>
      <c r="D889" s="305"/>
      <c r="E889" s="305"/>
      <c r="F889" s="305"/>
      <c r="G889" s="305"/>
      <c r="H889" s="305"/>
      <c r="I889" s="305"/>
      <c r="J889" s="305"/>
      <c r="K889" s="305"/>
      <c r="L889" s="305"/>
      <c r="M889" s="305"/>
      <c r="N889" s="305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  <c r="Y889" s="158"/>
      <c r="Z889" s="158"/>
    </row>
    <row r="890" spans="1:26" ht="15.75" customHeight="1">
      <c r="A890" s="305"/>
      <c r="B890" s="305"/>
      <c r="C890" s="305"/>
      <c r="D890" s="305"/>
      <c r="E890" s="305"/>
      <c r="F890" s="305"/>
      <c r="G890" s="305"/>
      <c r="H890" s="305"/>
      <c r="I890" s="305"/>
      <c r="J890" s="305"/>
      <c r="K890" s="305"/>
      <c r="L890" s="305"/>
      <c r="M890" s="305"/>
      <c r="N890" s="305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  <c r="Y890" s="158"/>
      <c r="Z890" s="158"/>
    </row>
    <row r="891" spans="1:26" ht="15.75" customHeight="1">
      <c r="A891" s="305"/>
      <c r="B891" s="305"/>
      <c r="C891" s="305"/>
      <c r="D891" s="305"/>
      <c r="E891" s="305"/>
      <c r="F891" s="305"/>
      <c r="G891" s="305"/>
      <c r="H891" s="305"/>
      <c r="I891" s="305"/>
      <c r="J891" s="305"/>
      <c r="K891" s="305"/>
      <c r="L891" s="305"/>
      <c r="M891" s="305"/>
      <c r="N891" s="305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  <c r="Y891" s="158"/>
      <c r="Z891" s="158"/>
    </row>
    <row r="892" spans="1:26" ht="15.75" customHeight="1">
      <c r="A892" s="305"/>
      <c r="B892" s="305"/>
      <c r="C892" s="305"/>
      <c r="D892" s="305"/>
      <c r="E892" s="305"/>
      <c r="F892" s="305"/>
      <c r="G892" s="305"/>
      <c r="H892" s="305"/>
      <c r="I892" s="305"/>
      <c r="J892" s="305"/>
      <c r="K892" s="305"/>
      <c r="L892" s="305"/>
      <c r="M892" s="305"/>
      <c r="N892" s="305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  <c r="Y892" s="158"/>
      <c r="Z892" s="158"/>
    </row>
    <row r="893" spans="1:26" ht="15.75" customHeight="1">
      <c r="A893" s="305"/>
      <c r="B893" s="305"/>
      <c r="C893" s="305"/>
      <c r="D893" s="305"/>
      <c r="E893" s="305"/>
      <c r="F893" s="305"/>
      <c r="G893" s="305"/>
      <c r="H893" s="305"/>
      <c r="I893" s="305"/>
      <c r="J893" s="305"/>
      <c r="K893" s="305"/>
      <c r="L893" s="305"/>
      <c r="M893" s="305"/>
      <c r="N893" s="305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  <c r="Y893" s="158"/>
      <c r="Z893" s="158"/>
    </row>
    <row r="894" spans="1:26" ht="15.75" customHeight="1">
      <c r="A894" s="305"/>
      <c r="B894" s="305"/>
      <c r="C894" s="305"/>
      <c r="D894" s="305"/>
      <c r="E894" s="305"/>
      <c r="F894" s="305"/>
      <c r="G894" s="305"/>
      <c r="H894" s="305"/>
      <c r="I894" s="305"/>
      <c r="J894" s="305"/>
      <c r="K894" s="305"/>
      <c r="L894" s="305"/>
      <c r="M894" s="305"/>
      <c r="N894" s="305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  <c r="Y894" s="158"/>
      <c r="Z894" s="158"/>
    </row>
    <row r="895" spans="1:26" ht="15.75" customHeight="1">
      <c r="A895" s="305"/>
      <c r="B895" s="305"/>
      <c r="C895" s="305"/>
      <c r="D895" s="305"/>
      <c r="E895" s="305"/>
      <c r="F895" s="305"/>
      <c r="G895" s="305"/>
      <c r="H895" s="305"/>
      <c r="I895" s="305"/>
      <c r="J895" s="305"/>
      <c r="K895" s="305"/>
      <c r="L895" s="305"/>
      <c r="M895" s="305"/>
      <c r="N895" s="305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  <c r="Y895" s="158"/>
      <c r="Z895" s="158"/>
    </row>
    <row r="896" spans="1:26" ht="15.75" customHeight="1">
      <c r="A896" s="305"/>
      <c r="B896" s="305"/>
      <c r="C896" s="305"/>
      <c r="D896" s="305"/>
      <c r="E896" s="305"/>
      <c r="F896" s="305"/>
      <c r="G896" s="305"/>
      <c r="H896" s="305"/>
      <c r="I896" s="305"/>
      <c r="J896" s="305"/>
      <c r="K896" s="305"/>
      <c r="L896" s="305"/>
      <c r="M896" s="305"/>
      <c r="N896" s="305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  <c r="Y896" s="158"/>
      <c r="Z896" s="158"/>
    </row>
    <row r="897" spans="1:26" ht="15.75" customHeight="1">
      <c r="A897" s="305"/>
      <c r="B897" s="305"/>
      <c r="C897" s="305"/>
      <c r="D897" s="305"/>
      <c r="E897" s="305"/>
      <c r="F897" s="305"/>
      <c r="G897" s="305"/>
      <c r="H897" s="305"/>
      <c r="I897" s="305"/>
      <c r="J897" s="305"/>
      <c r="K897" s="305"/>
      <c r="L897" s="305"/>
      <c r="M897" s="305"/>
      <c r="N897" s="305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  <c r="Y897" s="158"/>
      <c r="Z897" s="158"/>
    </row>
    <row r="898" spans="1:26" ht="15.75" customHeight="1">
      <c r="A898" s="305"/>
      <c r="B898" s="305"/>
      <c r="C898" s="305"/>
      <c r="D898" s="305"/>
      <c r="E898" s="305"/>
      <c r="F898" s="305"/>
      <c r="G898" s="305"/>
      <c r="H898" s="305"/>
      <c r="I898" s="305"/>
      <c r="J898" s="305"/>
      <c r="K898" s="305"/>
      <c r="L898" s="305"/>
      <c r="M898" s="305"/>
      <c r="N898" s="305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  <c r="Y898" s="158"/>
      <c r="Z898" s="158"/>
    </row>
    <row r="899" spans="1:26" ht="15.75" customHeight="1">
      <c r="A899" s="305"/>
      <c r="B899" s="305"/>
      <c r="C899" s="305"/>
      <c r="D899" s="305"/>
      <c r="E899" s="305"/>
      <c r="F899" s="305"/>
      <c r="G899" s="305"/>
      <c r="H899" s="305"/>
      <c r="I899" s="305"/>
      <c r="J899" s="305"/>
      <c r="K899" s="305"/>
      <c r="L899" s="305"/>
      <c r="M899" s="305"/>
      <c r="N899" s="305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  <c r="Y899" s="158"/>
      <c r="Z899" s="158"/>
    </row>
    <row r="900" spans="1:26" ht="15.75" customHeight="1">
      <c r="A900" s="305"/>
      <c r="B900" s="305"/>
      <c r="C900" s="305"/>
      <c r="D900" s="305"/>
      <c r="E900" s="305"/>
      <c r="F900" s="305"/>
      <c r="G900" s="305"/>
      <c r="H900" s="305"/>
      <c r="I900" s="305"/>
      <c r="J900" s="305"/>
      <c r="K900" s="305"/>
      <c r="L900" s="305"/>
      <c r="M900" s="305"/>
      <c r="N900" s="305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  <c r="Y900" s="158"/>
      <c r="Z900" s="158"/>
    </row>
    <row r="901" spans="1:26" ht="15.75" customHeight="1">
      <c r="A901" s="305"/>
      <c r="B901" s="305"/>
      <c r="C901" s="305"/>
      <c r="D901" s="305"/>
      <c r="E901" s="305"/>
      <c r="F901" s="305"/>
      <c r="G901" s="305"/>
      <c r="H901" s="305"/>
      <c r="I901" s="305"/>
      <c r="J901" s="305"/>
      <c r="K901" s="305"/>
      <c r="L901" s="305"/>
      <c r="M901" s="305"/>
      <c r="N901" s="305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  <c r="Y901" s="158"/>
      <c r="Z901" s="158"/>
    </row>
    <row r="902" spans="1:26" ht="15.75" customHeight="1">
      <c r="A902" s="305"/>
      <c r="B902" s="305"/>
      <c r="C902" s="305"/>
      <c r="D902" s="305"/>
      <c r="E902" s="305"/>
      <c r="F902" s="305"/>
      <c r="G902" s="305"/>
      <c r="H902" s="305"/>
      <c r="I902" s="305"/>
      <c r="J902" s="305"/>
      <c r="K902" s="305"/>
      <c r="L902" s="305"/>
      <c r="M902" s="305"/>
      <c r="N902" s="305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  <c r="Y902" s="158"/>
      <c r="Z902" s="158"/>
    </row>
    <row r="903" spans="1:26" ht="15.75" customHeight="1">
      <c r="A903" s="305"/>
      <c r="B903" s="305"/>
      <c r="C903" s="305"/>
      <c r="D903" s="305"/>
      <c r="E903" s="305"/>
      <c r="F903" s="305"/>
      <c r="G903" s="305"/>
      <c r="H903" s="305"/>
      <c r="I903" s="305"/>
      <c r="J903" s="305"/>
      <c r="K903" s="305"/>
      <c r="L903" s="305"/>
      <c r="M903" s="305"/>
      <c r="N903" s="305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  <c r="Y903" s="158"/>
      <c r="Z903" s="158"/>
    </row>
    <row r="904" spans="1:26" ht="15.75" customHeight="1">
      <c r="A904" s="305"/>
      <c r="B904" s="305"/>
      <c r="C904" s="305"/>
      <c r="D904" s="305"/>
      <c r="E904" s="305"/>
      <c r="F904" s="305"/>
      <c r="G904" s="305"/>
      <c r="H904" s="305"/>
      <c r="I904" s="305"/>
      <c r="J904" s="305"/>
      <c r="K904" s="305"/>
      <c r="L904" s="305"/>
      <c r="M904" s="305"/>
      <c r="N904" s="305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  <c r="Y904" s="158"/>
      <c r="Z904" s="158"/>
    </row>
    <row r="905" spans="1:26" ht="15.75" customHeight="1">
      <c r="A905" s="305"/>
      <c r="B905" s="305"/>
      <c r="C905" s="305"/>
      <c r="D905" s="305"/>
      <c r="E905" s="305"/>
      <c r="F905" s="305"/>
      <c r="G905" s="305"/>
      <c r="H905" s="305"/>
      <c r="I905" s="305"/>
      <c r="J905" s="305"/>
      <c r="K905" s="305"/>
      <c r="L905" s="305"/>
      <c r="M905" s="305"/>
      <c r="N905" s="305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  <c r="Y905" s="158"/>
      <c r="Z905" s="158"/>
    </row>
    <row r="906" spans="1:26" ht="15.75" customHeight="1">
      <c r="A906" s="305"/>
      <c r="B906" s="305"/>
      <c r="C906" s="305"/>
      <c r="D906" s="305"/>
      <c r="E906" s="305"/>
      <c r="F906" s="305"/>
      <c r="G906" s="305"/>
      <c r="H906" s="305"/>
      <c r="I906" s="305"/>
      <c r="J906" s="305"/>
      <c r="K906" s="305"/>
      <c r="L906" s="305"/>
      <c r="M906" s="305"/>
      <c r="N906" s="305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  <c r="Y906" s="158"/>
      <c r="Z906" s="158"/>
    </row>
    <row r="907" spans="1:26" ht="15.75" customHeight="1">
      <c r="A907" s="305"/>
      <c r="B907" s="305"/>
      <c r="C907" s="305"/>
      <c r="D907" s="305"/>
      <c r="E907" s="305"/>
      <c r="F907" s="305"/>
      <c r="G907" s="305"/>
      <c r="H907" s="305"/>
      <c r="I907" s="305"/>
      <c r="J907" s="305"/>
      <c r="K907" s="305"/>
      <c r="L907" s="305"/>
      <c r="M907" s="305"/>
      <c r="N907" s="305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  <c r="Y907" s="158"/>
      <c r="Z907" s="158"/>
    </row>
    <row r="908" spans="1:26" ht="15.75" customHeight="1">
      <c r="A908" s="305"/>
      <c r="B908" s="305"/>
      <c r="C908" s="305"/>
      <c r="D908" s="305"/>
      <c r="E908" s="305"/>
      <c r="F908" s="305"/>
      <c r="G908" s="305"/>
      <c r="H908" s="305"/>
      <c r="I908" s="305"/>
      <c r="J908" s="305"/>
      <c r="K908" s="305"/>
      <c r="L908" s="305"/>
      <c r="M908" s="305"/>
      <c r="N908" s="305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  <c r="Y908" s="158"/>
      <c r="Z908" s="158"/>
    </row>
    <row r="909" spans="1:26" ht="15.75" customHeight="1">
      <c r="A909" s="305"/>
      <c r="B909" s="305"/>
      <c r="C909" s="305"/>
      <c r="D909" s="305"/>
      <c r="E909" s="305"/>
      <c r="F909" s="305"/>
      <c r="G909" s="305"/>
      <c r="H909" s="305"/>
      <c r="I909" s="305"/>
      <c r="J909" s="305"/>
      <c r="K909" s="305"/>
      <c r="L909" s="305"/>
      <c r="M909" s="305"/>
      <c r="N909" s="305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  <c r="Y909" s="158"/>
      <c r="Z909" s="158"/>
    </row>
    <row r="910" spans="1:26" ht="15.75" customHeight="1">
      <c r="A910" s="305"/>
      <c r="B910" s="305"/>
      <c r="C910" s="305"/>
      <c r="D910" s="305"/>
      <c r="E910" s="305"/>
      <c r="F910" s="305"/>
      <c r="G910" s="305"/>
      <c r="H910" s="305"/>
      <c r="I910" s="305"/>
      <c r="J910" s="305"/>
      <c r="K910" s="305"/>
      <c r="L910" s="305"/>
      <c r="M910" s="305"/>
      <c r="N910" s="305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  <c r="Y910" s="158"/>
      <c r="Z910" s="158"/>
    </row>
    <row r="911" spans="1:26" ht="15.75" customHeight="1">
      <c r="A911" s="305"/>
      <c r="B911" s="305"/>
      <c r="C911" s="305"/>
      <c r="D911" s="305"/>
      <c r="E911" s="305"/>
      <c r="F911" s="305"/>
      <c r="G911" s="305"/>
      <c r="H911" s="305"/>
      <c r="I911" s="305"/>
      <c r="J911" s="305"/>
      <c r="K911" s="305"/>
      <c r="L911" s="305"/>
      <c r="M911" s="305"/>
      <c r="N911" s="305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  <c r="Y911" s="158"/>
      <c r="Z911" s="158"/>
    </row>
    <row r="912" spans="1:26" ht="15.75" customHeight="1">
      <c r="A912" s="305"/>
      <c r="B912" s="305"/>
      <c r="C912" s="305"/>
      <c r="D912" s="305"/>
      <c r="E912" s="305"/>
      <c r="F912" s="305"/>
      <c r="G912" s="305"/>
      <c r="H912" s="305"/>
      <c r="I912" s="305"/>
      <c r="J912" s="305"/>
      <c r="K912" s="305"/>
      <c r="L912" s="305"/>
      <c r="M912" s="305"/>
      <c r="N912" s="305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  <c r="Y912" s="158"/>
      <c r="Z912" s="158"/>
    </row>
    <row r="913" spans="1:26" ht="15.75" customHeight="1">
      <c r="A913" s="305"/>
      <c r="B913" s="305"/>
      <c r="C913" s="305"/>
      <c r="D913" s="305"/>
      <c r="E913" s="305"/>
      <c r="F913" s="305"/>
      <c r="G913" s="305"/>
      <c r="H913" s="305"/>
      <c r="I913" s="305"/>
      <c r="J913" s="305"/>
      <c r="K913" s="305"/>
      <c r="L913" s="305"/>
      <c r="M913" s="305"/>
      <c r="N913" s="305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  <c r="Y913" s="158"/>
      <c r="Z913" s="158"/>
    </row>
    <row r="914" spans="1:26" ht="15.75" customHeight="1">
      <c r="A914" s="305"/>
      <c r="B914" s="305"/>
      <c r="C914" s="305"/>
      <c r="D914" s="305"/>
      <c r="E914" s="305"/>
      <c r="F914" s="305"/>
      <c r="G914" s="305"/>
      <c r="H914" s="305"/>
      <c r="I914" s="305"/>
      <c r="J914" s="305"/>
      <c r="K914" s="305"/>
      <c r="L914" s="305"/>
      <c r="M914" s="305"/>
      <c r="N914" s="305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  <c r="Y914" s="158"/>
      <c r="Z914" s="158"/>
    </row>
    <row r="915" spans="1:26" ht="15.75" customHeight="1">
      <c r="A915" s="305"/>
      <c r="B915" s="305"/>
      <c r="C915" s="305"/>
      <c r="D915" s="305"/>
      <c r="E915" s="305"/>
      <c r="F915" s="305"/>
      <c r="G915" s="305"/>
      <c r="H915" s="305"/>
      <c r="I915" s="305"/>
      <c r="J915" s="305"/>
      <c r="K915" s="305"/>
      <c r="L915" s="305"/>
      <c r="M915" s="305"/>
      <c r="N915" s="305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  <c r="Y915" s="158"/>
      <c r="Z915" s="158"/>
    </row>
    <row r="916" spans="1:26" ht="15.75" customHeight="1">
      <c r="A916" s="305"/>
      <c r="B916" s="305"/>
      <c r="C916" s="305"/>
      <c r="D916" s="305"/>
      <c r="E916" s="305"/>
      <c r="F916" s="305"/>
      <c r="G916" s="305"/>
      <c r="H916" s="305"/>
      <c r="I916" s="305"/>
      <c r="J916" s="305"/>
      <c r="K916" s="305"/>
      <c r="L916" s="305"/>
      <c r="M916" s="305"/>
      <c r="N916" s="305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  <c r="Y916" s="158"/>
      <c r="Z916" s="158"/>
    </row>
    <row r="917" spans="1:26" ht="15.75" customHeight="1">
      <c r="A917" s="305"/>
      <c r="B917" s="305"/>
      <c r="C917" s="305"/>
      <c r="D917" s="305"/>
      <c r="E917" s="305"/>
      <c r="F917" s="305"/>
      <c r="G917" s="305"/>
      <c r="H917" s="305"/>
      <c r="I917" s="305"/>
      <c r="J917" s="305"/>
      <c r="K917" s="305"/>
      <c r="L917" s="305"/>
      <c r="M917" s="305"/>
      <c r="N917" s="305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  <c r="Y917" s="158"/>
      <c r="Z917" s="158"/>
    </row>
    <row r="918" spans="1:26" ht="15.75" customHeight="1">
      <c r="A918" s="305"/>
      <c r="B918" s="305"/>
      <c r="C918" s="305"/>
      <c r="D918" s="305"/>
      <c r="E918" s="305"/>
      <c r="F918" s="305"/>
      <c r="G918" s="305"/>
      <c r="H918" s="305"/>
      <c r="I918" s="305"/>
      <c r="J918" s="305"/>
      <c r="K918" s="305"/>
      <c r="L918" s="305"/>
      <c r="M918" s="305"/>
      <c r="N918" s="305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  <c r="Y918" s="158"/>
      <c r="Z918" s="158"/>
    </row>
    <row r="919" spans="1:26" ht="15.75" customHeight="1">
      <c r="A919" s="305"/>
      <c r="B919" s="305"/>
      <c r="C919" s="305"/>
      <c r="D919" s="305"/>
      <c r="E919" s="305"/>
      <c r="F919" s="305"/>
      <c r="G919" s="305"/>
      <c r="H919" s="305"/>
      <c r="I919" s="305"/>
      <c r="J919" s="305"/>
      <c r="K919" s="305"/>
      <c r="L919" s="305"/>
      <c r="M919" s="305"/>
      <c r="N919" s="305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  <c r="Y919" s="158"/>
      <c r="Z919" s="158"/>
    </row>
    <row r="920" spans="1:26" ht="15.75" customHeight="1">
      <c r="A920" s="305"/>
      <c r="B920" s="305"/>
      <c r="C920" s="305"/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  <c r="Y920" s="158"/>
      <c r="Z920" s="158"/>
    </row>
    <row r="921" spans="1:26" ht="15.75" customHeight="1">
      <c r="A921" s="305"/>
      <c r="B921" s="305"/>
      <c r="C921" s="305"/>
      <c r="D921" s="305"/>
      <c r="E921" s="305"/>
      <c r="F921" s="305"/>
      <c r="G921" s="305"/>
      <c r="H921" s="305"/>
      <c r="I921" s="305"/>
      <c r="J921" s="305"/>
      <c r="K921" s="305"/>
      <c r="L921" s="305"/>
      <c r="M921" s="305"/>
      <c r="N921" s="305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  <c r="Y921" s="158"/>
      <c r="Z921" s="158"/>
    </row>
    <row r="922" spans="1:26" ht="15.75" customHeight="1">
      <c r="A922" s="305"/>
      <c r="B922" s="305"/>
      <c r="C922" s="305"/>
      <c r="D922" s="305"/>
      <c r="E922" s="305"/>
      <c r="F922" s="305"/>
      <c r="G922" s="305"/>
      <c r="H922" s="305"/>
      <c r="I922" s="305"/>
      <c r="J922" s="305"/>
      <c r="K922" s="305"/>
      <c r="L922" s="305"/>
      <c r="M922" s="305"/>
      <c r="N922" s="305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  <c r="Y922" s="158"/>
      <c r="Z922" s="158"/>
    </row>
    <row r="923" spans="1:26" ht="15.75" customHeight="1">
      <c r="A923" s="305"/>
      <c r="B923" s="305"/>
      <c r="C923" s="305"/>
      <c r="D923" s="305"/>
      <c r="E923" s="305"/>
      <c r="F923" s="305"/>
      <c r="G923" s="305"/>
      <c r="H923" s="305"/>
      <c r="I923" s="305"/>
      <c r="J923" s="305"/>
      <c r="K923" s="305"/>
      <c r="L923" s="305"/>
      <c r="M923" s="305"/>
      <c r="N923" s="305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  <c r="Y923" s="158"/>
      <c r="Z923" s="158"/>
    </row>
    <row r="924" spans="1:26" ht="15.75" customHeight="1">
      <c r="A924" s="305"/>
      <c r="B924" s="305"/>
      <c r="C924" s="305"/>
      <c r="D924" s="305"/>
      <c r="E924" s="305"/>
      <c r="F924" s="305"/>
      <c r="G924" s="305"/>
      <c r="H924" s="305"/>
      <c r="I924" s="305"/>
      <c r="J924" s="305"/>
      <c r="K924" s="305"/>
      <c r="L924" s="305"/>
      <c r="M924" s="305"/>
      <c r="N924" s="305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  <c r="Y924" s="158"/>
      <c r="Z924" s="158"/>
    </row>
    <row r="925" spans="1:26" ht="15.75" customHeight="1">
      <c r="A925" s="305"/>
      <c r="B925" s="305"/>
      <c r="C925" s="305"/>
      <c r="D925" s="305"/>
      <c r="E925" s="305"/>
      <c r="F925" s="305"/>
      <c r="G925" s="305"/>
      <c r="H925" s="305"/>
      <c r="I925" s="305"/>
      <c r="J925" s="305"/>
      <c r="K925" s="305"/>
      <c r="L925" s="305"/>
      <c r="M925" s="305"/>
      <c r="N925" s="305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  <c r="Y925" s="158"/>
      <c r="Z925" s="158"/>
    </row>
    <row r="926" spans="1:26" ht="15.75" customHeight="1">
      <c r="A926" s="305"/>
      <c r="B926" s="305"/>
      <c r="C926" s="305"/>
      <c r="D926" s="305"/>
      <c r="E926" s="305"/>
      <c r="F926" s="305"/>
      <c r="G926" s="305"/>
      <c r="H926" s="305"/>
      <c r="I926" s="305"/>
      <c r="J926" s="305"/>
      <c r="K926" s="305"/>
      <c r="L926" s="305"/>
      <c r="M926" s="305"/>
      <c r="N926" s="305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  <c r="Y926" s="158"/>
      <c r="Z926" s="158"/>
    </row>
    <row r="927" spans="1:26" ht="15.75" customHeight="1">
      <c r="A927" s="305"/>
      <c r="B927" s="305"/>
      <c r="C927" s="305"/>
      <c r="D927" s="305"/>
      <c r="E927" s="305"/>
      <c r="F927" s="305"/>
      <c r="G927" s="305"/>
      <c r="H927" s="305"/>
      <c r="I927" s="305"/>
      <c r="J927" s="305"/>
      <c r="K927" s="305"/>
      <c r="L927" s="305"/>
      <c r="M927" s="305"/>
      <c r="N927" s="305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  <c r="Y927" s="158"/>
      <c r="Z927" s="158"/>
    </row>
    <row r="928" spans="1:26" ht="15.75" customHeight="1">
      <c r="A928" s="305"/>
      <c r="B928" s="305"/>
      <c r="C928" s="305"/>
      <c r="D928" s="305"/>
      <c r="E928" s="305"/>
      <c r="F928" s="305"/>
      <c r="G928" s="305"/>
      <c r="H928" s="305"/>
      <c r="I928" s="305"/>
      <c r="J928" s="305"/>
      <c r="K928" s="305"/>
      <c r="L928" s="305"/>
      <c r="M928" s="305"/>
      <c r="N928" s="305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  <c r="Y928" s="158"/>
      <c r="Z928" s="158"/>
    </row>
    <row r="929" spans="1:26" ht="15.75" customHeight="1">
      <c r="A929" s="305"/>
      <c r="B929" s="305"/>
      <c r="C929" s="305"/>
      <c r="D929" s="305"/>
      <c r="E929" s="305"/>
      <c r="F929" s="305"/>
      <c r="G929" s="305"/>
      <c r="H929" s="305"/>
      <c r="I929" s="305"/>
      <c r="J929" s="305"/>
      <c r="K929" s="305"/>
      <c r="L929" s="305"/>
      <c r="M929" s="305"/>
      <c r="N929" s="305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  <c r="Y929" s="158"/>
      <c r="Z929" s="158"/>
    </row>
    <row r="930" spans="1:26" ht="15.75" customHeight="1">
      <c r="A930" s="305"/>
      <c r="B930" s="305"/>
      <c r="C930" s="305"/>
      <c r="D930" s="305"/>
      <c r="E930" s="305"/>
      <c r="F930" s="305"/>
      <c r="G930" s="305"/>
      <c r="H930" s="305"/>
      <c r="I930" s="305"/>
      <c r="J930" s="305"/>
      <c r="K930" s="305"/>
      <c r="L930" s="305"/>
      <c r="M930" s="305"/>
      <c r="N930" s="305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  <c r="Y930" s="158"/>
      <c r="Z930" s="158"/>
    </row>
    <row r="931" spans="1:26" ht="15.75" customHeight="1">
      <c r="A931" s="305"/>
      <c r="B931" s="305"/>
      <c r="C931" s="305"/>
      <c r="D931" s="305"/>
      <c r="E931" s="305"/>
      <c r="F931" s="305"/>
      <c r="G931" s="305"/>
      <c r="H931" s="305"/>
      <c r="I931" s="305"/>
      <c r="J931" s="305"/>
      <c r="K931" s="305"/>
      <c r="L931" s="305"/>
      <c r="M931" s="305"/>
      <c r="N931" s="305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  <c r="Y931" s="158"/>
      <c r="Z931" s="158"/>
    </row>
    <row r="932" spans="1:26" ht="15.75" customHeight="1">
      <c r="A932" s="305"/>
      <c r="B932" s="305"/>
      <c r="C932" s="305"/>
      <c r="D932" s="305"/>
      <c r="E932" s="305"/>
      <c r="F932" s="305"/>
      <c r="G932" s="305"/>
      <c r="H932" s="305"/>
      <c r="I932" s="305"/>
      <c r="J932" s="305"/>
      <c r="K932" s="305"/>
      <c r="L932" s="305"/>
      <c r="M932" s="305"/>
      <c r="N932" s="305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  <c r="Y932" s="158"/>
      <c r="Z932" s="158"/>
    </row>
    <row r="933" spans="1:26" ht="15.75" customHeight="1">
      <c r="A933" s="305"/>
      <c r="B933" s="305"/>
      <c r="C933" s="305"/>
      <c r="D933" s="305"/>
      <c r="E933" s="305"/>
      <c r="F933" s="305"/>
      <c r="G933" s="305"/>
      <c r="H933" s="305"/>
      <c r="I933" s="305"/>
      <c r="J933" s="305"/>
      <c r="K933" s="305"/>
      <c r="L933" s="305"/>
      <c r="M933" s="305"/>
      <c r="N933" s="305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  <c r="Y933" s="158"/>
      <c r="Z933" s="158"/>
    </row>
    <row r="934" spans="1:26" ht="15.75" customHeight="1">
      <c r="A934" s="305"/>
      <c r="B934" s="305"/>
      <c r="C934" s="305"/>
      <c r="D934" s="305"/>
      <c r="E934" s="305"/>
      <c r="F934" s="305"/>
      <c r="G934" s="305"/>
      <c r="H934" s="305"/>
      <c r="I934" s="305"/>
      <c r="J934" s="305"/>
      <c r="K934" s="305"/>
      <c r="L934" s="305"/>
      <c r="M934" s="305"/>
      <c r="N934" s="305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  <c r="Y934" s="158"/>
      <c r="Z934" s="158"/>
    </row>
    <row r="935" spans="1:26" ht="15.75" customHeight="1">
      <c r="A935" s="305"/>
      <c r="B935" s="305"/>
      <c r="C935" s="305"/>
      <c r="D935" s="305"/>
      <c r="E935" s="305"/>
      <c r="F935" s="305"/>
      <c r="G935" s="305"/>
      <c r="H935" s="305"/>
      <c r="I935" s="305"/>
      <c r="J935" s="305"/>
      <c r="K935" s="305"/>
      <c r="L935" s="305"/>
      <c r="M935" s="305"/>
      <c r="N935" s="305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  <c r="Y935" s="158"/>
      <c r="Z935" s="158"/>
    </row>
    <row r="936" spans="1:26" ht="15.75" customHeight="1">
      <c r="A936" s="305"/>
      <c r="B936" s="305"/>
      <c r="C936" s="305"/>
      <c r="D936" s="305"/>
      <c r="E936" s="305"/>
      <c r="F936" s="305"/>
      <c r="G936" s="305"/>
      <c r="H936" s="305"/>
      <c r="I936" s="305"/>
      <c r="J936" s="305"/>
      <c r="K936" s="305"/>
      <c r="L936" s="305"/>
      <c r="M936" s="305"/>
      <c r="N936" s="305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  <c r="Y936" s="158"/>
      <c r="Z936" s="158"/>
    </row>
    <row r="937" spans="1:26" ht="15.75" customHeight="1">
      <c r="A937" s="305"/>
      <c r="B937" s="305"/>
      <c r="C937" s="305"/>
      <c r="D937" s="305"/>
      <c r="E937" s="305"/>
      <c r="F937" s="305"/>
      <c r="G937" s="305"/>
      <c r="H937" s="305"/>
      <c r="I937" s="305"/>
      <c r="J937" s="305"/>
      <c r="K937" s="305"/>
      <c r="L937" s="305"/>
      <c r="M937" s="305"/>
      <c r="N937" s="305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  <c r="Y937" s="158"/>
      <c r="Z937" s="158"/>
    </row>
    <row r="938" spans="1:26" ht="15.75" customHeight="1">
      <c r="A938" s="305"/>
      <c r="B938" s="305"/>
      <c r="C938" s="305"/>
      <c r="D938" s="305"/>
      <c r="E938" s="305"/>
      <c r="F938" s="305"/>
      <c r="G938" s="305"/>
      <c r="H938" s="305"/>
      <c r="I938" s="305"/>
      <c r="J938" s="305"/>
      <c r="K938" s="305"/>
      <c r="L938" s="305"/>
      <c r="M938" s="305"/>
      <c r="N938" s="305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  <c r="Y938" s="158"/>
      <c r="Z938" s="158"/>
    </row>
    <row r="939" spans="1:26" ht="15.75" customHeight="1">
      <c r="A939" s="305"/>
      <c r="B939" s="305"/>
      <c r="C939" s="305"/>
      <c r="D939" s="305"/>
      <c r="E939" s="305"/>
      <c r="F939" s="305"/>
      <c r="G939" s="305"/>
      <c r="H939" s="305"/>
      <c r="I939" s="305"/>
      <c r="J939" s="305"/>
      <c r="K939" s="305"/>
      <c r="L939" s="305"/>
      <c r="M939" s="305"/>
      <c r="N939" s="305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  <c r="Y939" s="158"/>
      <c r="Z939" s="158"/>
    </row>
    <row r="940" spans="1:26" ht="15.75" customHeight="1">
      <c r="A940" s="305"/>
      <c r="B940" s="305"/>
      <c r="C940" s="305"/>
      <c r="D940" s="305"/>
      <c r="E940" s="305"/>
      <c r="F940" s="305"/>
      <c r="G940" s="305"/>
      <c r="H940" s="305"/>
      <c r="I940" s="305"/>
      <c r="J940" s="305"/>
      <c r="K940" s="305"/>
      <c r="L940" s="305"/>
      <c r="M940" s="305"/>
      <c r="N940" s="305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  <c r="Y940" s="158"/>
      <c r="Z940" s="158"/>
    </row>
    <row r="941" spans="1:26" ht="15.75" customHeight="1">
      <c r="A941" s="305"/>
      <c r="B941" s="305"/>
      <c r="C941" s="305"/>
      <c r="D941" s="305"/>
      <c r="E941" s="305"/>
      <c r="F941" s="305"/>
      <c r="G941" s="305"/>
      <c r="H941" s="305"/>
      <c r="I941" s="305"/>
      <c r="J941" s="305"/>
      <c r="K941" s="305"/>
      <c r="L941" s="305"/>
      <c r="M941" s="305"/>
      <c r="N941" s="305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  <c r="Y941" s="158"/>
      <c r="Z941" s="158"/>
    </row>
    <row r="942" spans="1:26" ht="15.75" customHeight="1">
      <c r="A942" s="305"/>
      <c r="B942" s="305"/>
      <c r="C942" s="305"/>
      <c r="D942" s="305"/>
      <c r="E942" s="305"/>
      <c r="F942" s="305"/>
      <c r="G942" s="305"/>
      <c r="H942" s="305"/>
      <c r="I942" s="305"/>
      <c r="J942" s="305"/>
      <c r="K942" s="305"/>
      <c r="L942" s="305"/>
      <c r="M942" s="305"/>
      <c r="N942" s="305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  <c r="Y942" s="158"/>
      <c r="Z942" s="158"/>
    </row>
    <row r="943" spans="1:26" ht="15.75" customHeight="1">
      <c r="A943" s="305"/>
      <c r="B943" s="305"/>
      <c r="C943" s="305"/>
      <c r="D943" s="305"/>
      <c r="E943" s="305"/>
      <c r="F943" s="305"/>
      <c r="G943" s="305"/>
      <c r="H943" s="305"/>
      <c r="I943" s="305"/>
      <c r="J943" s="305"/>
      <c r="K943" s="305"/>
      <c r="L943" s="305"/>
      <c r="M943" s="305"/>
      <c r="N943" s="305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  <c r="Y943" s="158"/>
      <c r="Z943" s="158"/>
    </row>
    <row r="944" spans="1:26" ht="15.75" customHeight="1">
      <c r="A944" s="305"/>
      <c r="B944" s="305"/>
      <c r="C944" s="305"/>
      <c r="D944" s="305"/>
      <c r="E944" s="305"/>
      <c r="F944" s="305"/>
      <c r="G944" s="305"/>
      <c r="H944" s="305"/>
      <c r="I944" s="305"/>
      <c r="J944" s="305"/>
      <c r="K944" s="305"/>
      <c r="L944" s="305"/>
      <c r="M944" s="305"/>
      <c r="N944" s="305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  <c r="Y944" s="158"/>
      <c r="Z944" s="158"/>
    </row>
    <row r="945" spans="1:26" ht="15.75" customHeight="1">
      <c r="A945" s="305"/>
      <c r="B945" s="305"/>
      <c r="C945" s="305"/>
      <c r="D945" s="305"/>
      <c r="E945" s="305"/>
      <c r="F945" s="305"/>
      <c r="G945" s="305"/>
      <c r="H945" s="305"/>
      <c r="I945" s="305"/>
      <c r="J945" s="305"/>
      <c r="K945" s="305"/>
      <c r="L945" s="305"/>
      <c r="M945" s="305"/>
      <c r="N945" s="305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  <c r="Y945" s="158"/>
      <c r="Z945" s="158"/>
    </row>
    <row r="946" spans="1:26" ht="15.75" customHeight="1">
      <c r="A946" s="305"/>
      <c r="B946" s="305"/>
      <c r="C946" s="305"/>
      <c r="D946" s="305"/>
      <c r="E946" s="305"/>
      <c r="F946" s="305"/>
      <c r="G946" s="305"/>
      <c r="H946" s="305"/>
      <c r="I946" s="305"/>
      <c r="J946" s="305"/>
      <c r="K946" s="305"/>
      <c r="L946" s="305"/>
      <c r="M946" s="305"/>
      <c r="N946" s="305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  <c r="Y946" s="158"/>
      <c r="Z946" s="158"/>
    </row>
    <row r="947" spans="1:26" ht="15.75" customHeight="1">
      <c r="A947" s="305"/>
      <c r="B947" s="305"/>
      <c r="C947" s="305"/>
      <c r="D947" s="305"/>
      <c r="E947" s="305"/>
      <c r="F947" s="305"/>
      <c r="G947" s="305"/>
      <c r="H947" s="305"/>
      <c r="I947" s="305"/>
      <c r="J947" s="305"/>
      <c r="K947" s="305"/>
      <c r="L947" s="305"/>
      <c r="M947" s="305"/>
      <c r="N947" s="305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  <c r="Y947" s="158"/>
      <c r="Z947" s="158"/>
    </row>
    <row r="948" spans="1:26" ht="15.75" customHeight="1">
      <c r="A948" s="305"/>
      <c r="B948" s="305"/>
      <c r="C948" s="305"/>
      <c r="D948" s="305"/>
      <c r="E948" s="305"/>
      <c r="F948" s="305"/>
      <c r="G948" s="305"/>
      <c r="H948" s="305"/>
      <c r="I948" s="305"/>
      <c r="J948" s="305"/>
      <c r="K948" s="305"/>
      <c r="L948" s="305"/>
      <c r="M948" s="305"/>
      <c r="N948" s="305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  <c r="Y948" s="158"/>
      <c r="Z948" s="158"/>
    </row>
    <row r="949" spans="1:26" ht="15.75" customHeight="1">
      <c r="A949" s="305"/>
      <c r="B949" s="305"/>
      <c r="C949" s="305"/>
      <c r="D949" s="305"/>
      <c r="E949" s="305"/>
      <c r="F949" s="305"/>
      <c r="G949" s="305"/>
      <c r="H949" s="305"/>
      <c r="I949" s="305"/>
      <c r="J949" s="305"/>
      <c r="K949" s="305"/>
      <c r="L949" s="305"/>
      <c r="M949" s="305"/>
      <c r="N949" s="305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  <c r="Y949" s="158"/>
      <c r="Z949" s="158"/>
    </row>
    <row r="950" spans="1:26" ht="15.75" customHeight="1">
      <c r="A950" s="305"/>
      <c r="B950" s="305"/>
      <c r="C950" s="305"/>
      <c r="D950" s="305"/>
      <c r="E950" s="305"/>
      <c r="F950" s="305"/>
      <c r="G950" s="305"/>
      <c r="H950" s="305"/>
      <c r="I950" s="305"/>
      <c r="J950" s="305"/>
      <c r="K950" s="305"/>
      <c r="L950" s="305"/>
      <c r="M950" s="305"/>
      <c r="N950" s="305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  <c r="Y950" s="158"/>
      <c r="Z950" s="158"/>
    </row>
    <row r="951" spans="1:26" ht="15.75" customHeight="1">
      <c r="A951" s="305"/>
      <c r="B951" s="305"/>
      <c r="C951" s="305"/>
      <c r="D951" s="305"/>
      <c r="E951" s="305"/>
      <c r="F951" s="305"/>
      <c r="G951" s="305"/>
      <c r="H951" s="305"/>
      <c r="I951" s="305"/>
      <c r="J951" s="305"/>
      <c r="K951" s="305"/>
      <c r="L951" s="305"/>
      <c r="M951" s="305"/>
      <c r="N951" s="305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  <c r="Y951" s="158"/>
      <c r="Z951" s="158"/>
    </row>
    <row r="952" spans="1:26" ht="15.75" customHeight="1">
      <c r="A952" s="305"/>
      <c r="B952" s="305"/>
      <c r="C952" s="305"/>
      <c r="D952" s="305"/>
      <c r="E952" s="305"/>
      <c r="F952" s="305"/>
      <c r="G952" s="305"/>
      <c r="H952" s="305"/>
      <c r="I952" s="305"/>
      <c r="J952" s="305"/>
      <c r="K952" s="305"/>
      <c r="L952" s="305"/>
      <c r="M952" s="305"/>
      <c r="N952" s="305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  <c r="Y952" s="158"/>
      <c r="Z952" s="158"/>
    </row>
    <row r="953" spans="1:26" ht="15.75" customHeight="1">
      <c r="A953" s="305"/>
      <c r="B953" s="305"/>
      <c r="C953" s="305"/>
      <c r="D953" s="305"/>
      <c r="E953" s="305"/>
      <c r="F953" s="305"/>
      <c r="G953" s="305"/>
      <c r="H953" s="305"/>
      <c r="I953" s="305"/>
      <c r="J953" s="305"/>
      <c r="K953" s="305"/>
      <c r="L953" s="305"/>
      <c r="M953" s="305"/>
      <c r="N953" s="305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  <c r="Y953" s="158"/>
      <c r="Z953" s="158"/>
    </row>
    <row r="954" spans="1:26" ht="15.75" customHeight="1">
      <c r="A954" s="305"/>
      <c r="B954" s="305"/>
      <c r="C954" s="305"/>
      <c r="D954" s="305"/>
      <c r="E954" s="305"/>
      <c r="F954" s="305"/>
      <c r="G954" s="305"/>
      <c r="H954" s="305"/>
      <c r="I954" s="305"/>
      <c r="J954" s="305"/>
      <c r="K954" s="305"/>
      <c r="L954" s="305"/>
      <c r="M954" s="305"/>
      <c r="N954" s="305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  <c r="Y954" s="158"/>
      <c r="Z954" s="158"/>
    </row>
    <row r="955" spans="1:26" ht="15.75" customHeight="1">
      <c r="A955" s="305"/>
      <c r="B955" s="305"/>
      <c r="C955" s="305"/>
      <c r="D955" s="305"/>
      <c r="E955" s="305"/>
      <c r="F955" s="305"/>
      <c r="G955" s="305"/>
      <c r="H955" s="305"/>
      <c r="I955" s="305"/>
      <c r="J955" s="305"/>
      <c r="K955" s="305"/>
      <c r="L955" s="305"/>
      <c r="M955" s="305"/>
      <c r="N955" s="305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  <c r="Y955" s="158"/>
      <c r="Z955" s="158"/>
    </row>
    <row r="956" spans="1:26" ht="15.75" customHeight="1">
      <c r="A956" s="305"/>
      <c r="B956" s="305"/>
      <c r="C956" s="305"/>
      <c r="D956" s="305"/>
      <c r="E956" s="305"/>
      <c r="F956" s="305"/>
      <c r="G956" s="305"/>
      <c r="H956" s="305"/>
      <c r="I956" s="305"/>
      <c r="J956" s="305"/>
      <c r="K956" s="305"/>
      <c r="L956" s="305"/>
      <c r="M956" s="305"/>
      <c r="N956" s="305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  <c r="Y956" s="158"/>
      <c r="Z956" s="158"/>
    </row>
    <row r="957" spans="1:26" ht="15.75" customHeight="1">
      <c r="A957" s="305"/>
      <c r="B957" s="305"/>
      <c r="C957" s="305"/>
      <c r="D957" s="305"/>
      <c r="E957" s="305"/>
      <c r="F957" s="305"/>
      <c r="G957" s="305"/>
      <c r="H957" s="305"/>
      <c r="I957" s="305"/>
      <c r="J957" s="305"/>
      <c r="K957" s="305"/>
      <c r="L957" s="305"/>
      <c r="M957" s="305"/>
      <c r="N957" s="305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  <c r="Y957" s="158"/>
      <c r="Z957" s="158"/>
    </row>
    <row r="958" spans="1:26" ht="15.75" customHeight="1">
      <c r="A958" s="305"/>
      <c r="B958" s="305"/>
      <c r="C958" s="305"/>
      <c r="D958" s="305"/>
      <c r="E958" s="305"/>
      <c r="F958" s="305"/>
      <c r="G958" s="305"/>
      <c r="H958" s="305"/>
      <c r="I958" s="305"/>
      <c r="J958" s="305"/>
      <c r="K958" s="305"/>
      <c r="L958" s="305"/>
      <c r="M958" s="305"/>
      <c r="N958" s="305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  <c r="Y958" s="158"/>
      <c r="Z958" s="158"/>
    </row>
    <row r="959" spans="1:26" ht="15.75" customHeight="1">
      <c r="A959" s="305"/>
      <c r="B959" s="305"/>
      <c r="C959" s="305"/>
      <c r="D959" s="305"/>
      <c r="E959" s="305"/>
      <c r="F959" s="305"/>
      <c r="G959" s="305"/>
      <c r="H959" s="305"/>
      <c r="I959" s="305"/>
      <c r="J959" s="305"/>
      <c r="K959" s="305"/>
      <c r="L959" s="305"/>
      <c r="M959" s="305"/>
      <c r="N959" s="305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  <c r="Y959" s="158"/>
      <c r="Z959" s="158"/>
    </row>
    <row r="960" spans="1:26" ht="15.75" customHeight="1">
      <c r="A960" s="305"/>
      <c r="B960" s="305"/>
      <c r="C960" s="305"/>
      <c r="D960" s="305"/>
      <c r="E960" s="305"/>
      <c r="F960" s="305"/>
      <c r="G960" s="305"/>
      <c r="H960" s="305"/>
      <c r="I960" s="305"/>
      <c r="J960" s="305"/>
      <c r="K960" s="305"/>
      <c r="L960" s="305"/>
      <c r="M960" s="305"/>
      <c r="N960" s="305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  <c r="Y960" s="158"/>
      <c r="Z960" s="158"/>
    </row>
    <row r="961" spans="1:26" ht="15.75" customHeight="1">
      <c r="A961" s="305"/>
      <c r="B961" s="305"/>
      <c r="C961" s="305"/>
      <c r="D961" s="305"/>
      <c r="E961" s="305"/>
      <c r="F961" s="305"/>
      <c r="G961" s="305"/>
      <c r="H961" s="305"/>
      <c r="I961" s="305"/>
      <c r="J961" s="305"/>
      <c r="K961" s="305"/>
      <c r="L961" s="305"/>
      <c r="M961" s="305"/>
      <c r="N961" s="305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  <c r="Y961" s="158"/>
      <c r="Z961" s="158"/>
    </row>
    <row r="962" spans="1:26" ht="15.75" customHeight="1">
      <c r="A962" s="305"/>
      <c r="B962" s="305"/>
      <c r="C962" s="305"/>
      <c r="D962" s="305"/>
      <c r="E962" s="305"/>
      <c r="F962" s="305"/>
      <c r="G962" s="305"/>
      <c r="H962" s="305"/>
      <c r="I962" s="305"/>
      <c r="J962" s="305"/>
      <c r="K962" s="305"/>
      <c r="L962" s="305"/>
      <c r="M962" s="305"/>
      <c r="N962" s="305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  <c r="Y962" s="158"/>
      <c r="Z962" s="158"/>
    </row>
    <row r="963" spans="1:26" ht="15.75" customHeight="1">
      <c r="A963" s="305"/>
      <c r="B963" s="305"/>
      <c r="C963" s="305"/>
      <c r="D963" s="305"/>
      <c r="E963" s="305"/>
      <c r="F963" s="305"/>
      <c r="G963" s="305"/>
      <c r="H963" s="305"/>
      <c r="I963" s="305"/>
      <c r="J963" s="305"/>
      <c r="K963" s="305"/>
      <c r="L963" s="305"/>
      <c r="M963" s="305"/>
      <c r="N963" s="305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  <c r="Y963" s="158"/>
      <c r="Z963" s="158"/>
    </row>
    <row r="964" spans="1:26" ht="15.75" customHeight="1">
      <c r="A964" s="305"/>
      <c r="B964" s="305"/>
      <c r="C964" s="305"/>
      <c r="D964" s="305"/>
      <c r="E964" s="305"/>
      <c r="F964" s="305"/>
      <c r="G964" s="305"/>
      <c r="H964" s="305"/>
      <c r="I964" s="305"/>
      <c r="J964" s="305"/>
      <c r="K964" s="305"/>
      <c r="L964" s="305"/>
      <c r="M964" s="305"/>
      <c r="N964" s="305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  <c r="Y964" s="158"/>
      <c r="Z964" s="158"/>
    </row>
    <row r="965" spans="1:26" ht="15.75" customHeight="1">
      <c r="A965" s="305"/>
      <c r="B965" s="305"/>
      <c r="C965" s="305"/>
      <c r="D965" s="305"/>
      <c r="E965" s="305"/>
      <c r="F965" s="305"/>
      <c r="G965" s="305"/>
      <c r="H965" s="305"/>
      <c r="I965" s="305"/>
      <c r="J965" s="305"/>
      <c r="K965" s="305"/>
      <c r="L965" s="305"/>
      <c r="M965" s="305"/>
      <c r="N965" s="305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  <c r="Y965" s="158"/>
      <c r="Z965" s="158"/>
    </row>
    <row r="966" spans="1:26" ht="15.75" customHeight="1">
      <c r="A966" s="305"/>
      <c r="B966" s="305"/>
      <c r="C966" s="305"/>
      <c r="D966" s="305"/>
      <c r="E966" s="305"/>
      <c r="F966" s="305"/>
      <c r="G966" s="305"/>
      <c r="H966" s="305"/>
      <c r="I966" s="305"/>
      <c r="J966" s="305"/>
      <c r="K966" s="305"/>
      <c r="L966" s="305"/>
      <c r="M966" s="305"/>
      <c r="N966" s="305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  <c r="Y966" s="158"/>
      <c r="Z966" s="158"/>
    </row>
    <row r="967" spans="1:26" ht="15.75" customHeight="1">
      <c r="A967" s="305"/>
      <c r="B967" s="305"/>
      <c r="C967" s="305"/>
      <c r="D967" s="305"/>
      <c r="E967" s="305"/>
      <c r="F967" s="305"/>
      <c r="G967" s="305"/>
      <c r="H967" s="305"/>
      <c r="I967" s="305"/>
      <c r="J967" s="305"/>
      <c r="K967" s="305"/>
      <c r="L967" s="305"/>
      <c r="M967" s="305"/>
      <c r="N967" s="305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  <c r="Y967" s="158"/>
      <c r="Z967" s="158"/>
    </row>
    <row r="968" spans="1:26" ht="15.75" customHeight="1">
      <c r="A968" s="305"/>
      <c r="B968" s="305"/>
      <c r="C968" s="305"/>
      <c r="D968" s="305"/>
      <c r="E968" s="305"/>
      <c r="F968" s="305"/>
      <c r="G968" s="305"/>
      <c r="H968" s="305"/>
      <c r="I968" s="305"/>
      <c r="J968" s="305"/>
      <c r="K968" s="305"/>
      <c r="L968" s="305"/>
      <c r="M968" s="305"/>
      <c r="N968" s="305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  <c r="Y968" s="158"/>
      <c r="Z968" s="158"/>
    </row>
    <row r="969" spans="1:26" ht="15.75" customHeight="1">
      <c r="A969" s="305"/>
      <c r="B969" s="305"/>
      <c r="C969" s="305"/>
      <c r="D969" s="305"/>
      <c r="E969" s="305"/>
      <c r="F969" s="305"/>
      <c r="G969" s="305"/>
      <c r="H969" s="305"/>
      <c r="I969" s="305"/>
      <c r="J969" s="305"/>
      <c r="K969" s="305"/>
      <c r="L969" s="305"/>
      <c r="M969" s="305"/>
      <c r="N969" s="305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  <c r="Y969" s="158"/>
      <c r="Z969" s="158"/>
    </row>
    <row r="970" spans="1:26" ht="15.75" customHeight="1">
      <c r="A970" s="305"/>
      <c r="B970" s="305"/>
      <c r="C970" s="305"/>
      <c r="D970" s="305"/>
      <c r="E970" s="305"/>
      <c r="F970" s="305"/>
      <c r="G970" s="305"/>
      <c r="H970" s="305"/>
      <c r="I970" s="305"/>
      <c r="J970" s="305"/>
      <c r="K970" s="305"/>
      <c r="L970" s="305"/>
      <c r="M970" s="305"/>
      <c r="N970" s="305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  <c r="Y970" s="158"/>
      <c r="Z970" s="158"/>
    </row>
    <row r="971" spans="1:26" ht="15.75" customHeight="1">
      <c r="A971" s="305"/>
      <c r="B971" s="305"/>
      <c r="C971" s="305"/>
      <c r="D971" s="305"/>
      <c r="E971" s="305"/>
      <c r="F971" s="305"/>
      <c r="G971" s="305"/>
      <c r="H971" s="305"/>
      <c r="I971" s="305"/>
      <c r="J971" s="305"/>
      <c r="K971" s="305"/>
      <c r="L971" s="305"/>
      <c r="M971" s="305"/>
      <c r="N971" s="305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  <c r="Y971" s="158"/>
      <c r="Z971" s="158"/>
    </row>
    <row r="972" spans="1:26" ht="15.75" customHeight="1">
      <c r="A972" s="305"/>
      <c r="B972" s="305"/>
      <c r="C972" s="305"/>
      <c r="D972" s="305"/>
      <c r="E972" s="305"/>
      <c r="F972" s="305"/>
      <c r="G972" s="305"/>
      <c r="H972" s="305"/>
      <c r="I972" s="305"/>
      <c r="J972" s="305"/>
      <c r="K972" s="305"/>
      <c r="L972" s="305"/>
      <c r="M972" s="305"/>
      <c r="N972" s="305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  <c r="Y972" s="158"/>
      <c r="Z972" s="158"/>
    </row>
    <row r="973" spans="1:26" ht="15.75" customHeight="1">
      <c r="A973" s="305"/>
      <c r="B973" s="305"/>
      <c r="C973" s="305"/>
      <c r="D973" s="305"/>
      <c r="E973" s="305"/>
      <c r="F973" s="305"/>
      <c r="G973" s="305"/>
      <c r="H973" s="305"/>
      <c r="I973" s="305"/>
      <c r="J973" s="305"/>
      <c r="K973" s="305"/>
      <c r="L973" s="305"/>
      <c r="M973" s="305"/>
      <c r="N973" s="305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  <c r="Y973" s="158"/>
      <c r="Z973" s="158"/>
    </row>
    <row r="974" spans="1:26" ht="15.75" customHeight="1">
      <c r="A974" s="305"/>
      <c r="B974" s="305"/>
      <c r="C974" s="305"/>
      <c r="D974" s="305"/>
      <c r="E974" s="305"/>
      <c r="F974" s="305"/>
      <c r="G974" s="305"/>
      <c r="H974" s="305"/>
      <c r="I974" s="305"/>
      <c r="J974" s="305"/>
      <c r="K974" s="305"/>
      <c r="L974" s="305"/>
      <c r="M974" s="305"/>
      <c r="N974" s="305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  <c r="Y974" s="158"/>
      <c r="Z974" s="158"/>
    </row>
    <row r="975" spans="1:26" ht="15.75" customHeight="1">
      <c r="A975" s="305"/>
      <c r="B975" s="305"/>
      <c r="C975" s="305"/>
      <c r="D975" s="305"/>
      <c r="E975" s="305"/>
      <c r="F975" s="305"/>
      <c r="G975" s="305"/>
      <c r="H975" s="305"/>
      <c r="I975" s="305"/>
      <c r="J975" s="305"/>
      <c r="K975" s="305"/>
      <c r="L975" s="305"/>
      <c r="M975" s="305"/>
      <c r="N975" s="305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  <c r="Y975" s="158"/>
      <c r="Z975" s="158"/>
    </row>
    <row r="976" spans="1:26" ht="15.75" customHeight="1">
      <c r="A976" s="305"/>
      <c r="B976" s="305"/>
      <c r="C976" s="305"/>
      <c r="D976" s="305"/>
      <c r="E976" s="305"/>
      <c r="F976" s="305"/>
      <c r="G976" s="305"/>
      <c r="H976" s="305"/>
      <c r="I976" s="305"/>
      <c r="J976" s="305"/>
      <c r="K976" s="305"/>
      <c r="L976" s="305"/>
      <c r="M976" s="305"/>
      <c r="N976" s="305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  <c r="Y976" s="158"/>
      <c r="Z976" s="158"/>
    </row>
    <row r="977" spans="1:26" ht="15.75" customHeight="1">
      <c r="A977" s="305"/>
      <c r="B977" s="305"/>
      <c r="C977" s="305"/>
      <c r="D977" s="305"/>
      <c r="E977" s="305"/>
      <c r="F977" s="305"/>
      <c r="G977" s="305"/>
      <c r="H977" s="305"/>
      <c r="I977" s="305"/>
      <c r="J977" s="305"/>
      <c r="K977" s="305"/>
      <c r="L977" s="305"/>
      <c r="M977" s="305"/>
      <c r="N977" s="305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  <c r="Y977" s="158"/>
      <c r="Z977" s="158"/>
    </row>
    <row r="978" spans="1:26" ht="15.75" customHeight="1">
      <c r="A978" s="305"/>
      <c r="B978" s="305"/>
      <c r="C978" s="305"/>
      <c r="D978" s="305"/>
      <c r="E978" s="305"/>
      <c r="F978" s="305"/>
      <c r="G978" s="305"/>
      <c r="H978" s="305"/>
      <c r="I978" s="305"/>
      <c r="J978" s="305"/>
      <c r="K978" s="305"/>
      <c r="L978" s="305"/>
      <c r="M978" s="305"/>
      <c r="N978" s="305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  <c r="Y978" s="158"/>
      <c r="Z978" s="158"/>
    </row>
    <row r="979" spans="1:26" ht="15.75" customHeight="1">
      <c r="A979" s="305"/>
      <c r="B979" s="305"/>
      <c r="C979" s="305"/>
      <c r="D979" s="305"/>
      <c r="E979" s="305"/>
      <c r="F979" s="305"/>
      <c r="G979" s="305"/>
      <c r="H979" s="305"/>
      <c r="I979" s="305"/>
      <c r="J979" s="305"/>
      <c r="K979" s="305"/>
      <c r="L979" s="305"/>
      <c r="M979" s="305"/>
      <c r="N979" s="305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  <c r="Y979" s="158"/>
      <c r="Z979" s="158"/>
    </row>
    <row r="980" spans="1:26" ht="15.75" customHeight="1">
      <c r="A980" s="305"/>
      <c r="B980" s="305"/>
      <c r="C980" s="305"/>
      <c r="D980" s="305"/>
      <c r="E980" s="305"/>
      <c r="F980" s="305"/>
      <c r="G980" s="305"/>
      <c r="H980" s="305"/>
      <c r="I980" s="305"/>
      <c r="J980" s="305"/>
      <c r="K980" s="305"/>
      <c r="L980" s="305"/>
      <c r="M980" s="305"/>
      <c r="N980" s="305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  <c r="Y980" s="158"/>
      <c r="Z980" s="158"/>
    </row>
    <row r="981" spans="1:26" ht="15.75" customHeight="1">
      <c r="A981" s="305"/>
      <c r="B981" s="305"/>
      <c r="C981" s="305"/>
      <c r="D981" s="305"/>
      <c r="E981" s="305"/>
      <c r="F981" s="305"/>
      <c r="G981" s="305"/>
      <c r="H981" s="305"/>
      <c r="I981" s="305"/>
      <c r="J981" s="305"/>
      <c r="K981" s="305"/>
      <c r="L981" s="305"/>
      <c r="M981" s="305"/>
      <c r="N981" s="305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  <c r="Y981" s="158"/>
      <c r="Z981" s="158"/>
    </row>
    <row r="982" spans="1:26" ht="15.75" customHeight="1">
      <c r="A982" s="305"/>
      <c r="B982" s="305"/>
      <c r="C982" s="305"/>
      <c r="D982" s="305"/>
      <c r="E982" s="305"/>
      <c r="F982" s="305"/>
      <c r="G982" s="305"/>
      <c r="H982" s="305"/>
      <c r="I982" s="305"/>
      <c r="J982" s="305"/>
      <c r="K982" s="305"/>
      <c r="L982" s="305"/>
      <c r="M982" s="305"/>
      <c r="N982" s="305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  <c r="Y982" s="158"/>
      <c r="Z982" s="158"/>
    </row>
    <row r="983" spans="1:26" ht="15.75" customHeight="1">
      <c r="A983" s="305"/>
      <c r="B983" s="305"/>
      <c r="C983" s="305"/>
      <c r="D983" s="305"/>
      <c r="E983" s="305"/>
      <c r="F983" s="305"/>
      <c r="G983" s="305"/>
      <c r="H983" s="305"/>
      <c r="I983" s="305"/>
      <c r="J983" s="305"/>
      <c r="K983" s="305"/>
      <c r="L983" s="305"/>
      <c r="M983" s="305"/>
      <c r="N983" s="305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  <c r="Y983" s="158"/>
      <c r="Z983" s="158"/>
    </row>
    <row r="984" spans="1:26" ht="15.75" customHeight="1">
      <c r="A984" s="305"/>
      <c r="B984" s="305"/>
      <c r="C984" s="305"/>
      <c r="D984" s="305"/>
      <c r="E984" s="305"/>
      <c r="F984" s="305"/>
      <c r="G984" s="305"/>
      <c r="H984" s="305"/>
      <c r="I984" s="305"/>
      <c r="J984" s="305"/>
      <c r="K984" s="305"/>
      <c r="L984" s="305"/>
      <c r="M984" s="305"/>
      <c r="N984" s="305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  <c r="Y984" s="158"/>
      <c r="Z984" s="158"/>
    </row>
    <row r="985" spans="1:26" ht="15.75" customHeight="1">
      <c r="A985" s="305"/>
      <c r="B985" s="305"/>
      <c r="C985" s="305"/>
      <c r="D985" s="305"/>
      <c r="E985" s="305"/>
      <c r="F985" s="305"/>
      <c r="G985" s="305"/>
      <c r="H985" s="305"/>
      <c r="I985" s="305"/>
      <c r="J985" s="305"/>
      <c r="K985" s="305"/>
      <c r="L985" s="305"/>
      <c r="M985" s="305"/>
      <c r="N985" s="305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  <c r="Y985" s="158"/>
      <c r="Z985" s="158"/>
    </row>
    <row r="986" spans="1:26" ht="15.75" customHeight="1">
      <c r="A986" s="305"/>
      <c r="B986" s="305"/>
      <c r="C986" s="305"/>
      <c r="D986" s="305"/>
      <c r="E986" s="305"/>
      <c r="F986" s="305"/>
      <c r="G986" s="305"/>
      <c r="H986" s="305"/>
      <c r="I986" s="305"/>
      <c r="J986" s="305"/>
      <c r="K986" s="305"/>
      <c r="L986" s="305"/>
      <c r="M986" s="305"/>
      <c r="N986" s="305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  <c r="Y986" s="158"/>
      <c r="Z986" s="158"/>
    </row>
    <row r="987" spans="1:26" ht="15.75" customHeight="1">
      <c r="A987" s="305"/>
      <c r="B987" s="305"/>
      <c r="C987" s="305"/>
      <c r="D987" s="305"/>
      <c r="E987" s="305"/>
      <c r="F987" s="305"/>
      <c r="G987" s="305"/>
      <c r="H987" s="305"/>
      <c r="I987" s="305"/>
      <c r="J987" s="305"/>
      <c r="K987" s="305"/>
      <c r="L987" s="305"/>
      <c r="M987" s="305"/>
      <c r="N987" s="305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  <c r="Y987" s="158"/>
      <c r="Z987" s="158"/>
    </row>
    <row r="988" spans="1:26" ht="15.75" customHeight="1">
      <c r="A988" s="305"/>
      <c r="B988" s="305"/>
      <c r="C988" s="305"/>
      <c r="D988" s="305"/>
      <c r="E988" s="305"/>
      <c r="F988" s="305"/>
      <c r="G988" s="305"/>
      <c r="H988" s="305"/>
      <c r="I988" s="305"/>
      <c r="J988" s="305"/>
      <c r="K988" s="305"/>
      <c r="L988" s="305"/>
      <c r="M988" s="305"/>
      <c r="N988" s="305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  <c r="Y988" s="158"/>
      <c r="Z988" s="158"/>
    </row>
    <row r="989" spans="1:26" ht="15.75" customHeight="1">
      <c r="A989" s="305"/>
      <c r="B989" s="305"/>
      <c r="C989" s="305"/>
      <c r="D989" s="305"/>
      <c r="E989" s="305"/>
      <c r="F989" s="305"/>
      <c r="G989" s="305"/>
      <c r="H989" s="305"/>
      <c r="I989" s="305"/>
      <c r="J989" s="305"/>
      <c r="K989" s="305"/>
      <c r="L989" s="305"/>
      <c r="M989" s="305"/>
      <c r="N989" s="305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  <c r="Y989" s="158"/>
      <c r="Z989" s="158"/>
    </row>
    <row r="990" spans="1:26" ht="15.75" customHeight="1">
      <c r="A990" s="305"/>
      <c r="B990" s="305"/>
      <c r="C990" s="305"/>
      <c r="D990" s="305"/>
      <c r="E990" s="305"/>
      <c r="F990" s="305"/>
      <c r="G990" s="305"/>
      <c r="H990" s="305"/>
      <c r="I990" s="305"/>
      <c r="J990" s="305"/>
      <c r="K990" s="305"/>
      <c r="L990" s="305"/>
      <c r="M990" s="305"/>
      <c r="N990" s="305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  <c r="Y990" s="158"/>
      <c r="Z990" s="158"/>
    </row>
    <row r="991" spans="1:26" ht="15.75" customHeight="1">
      <c r="A991" s="305"/>
      <c r="B991" s="305"/>
      <c r="C991" s="305"/>
      <c r="D991" s="305"/>
      <c r="E991" s="305"/>
      <c r="F991" s="305"/>
      <c r="G991" s="305"/>
      <c r="H991" s="305"/>
      <c r="I991" s="305"/>
      <c r="J991" s="305"/>
      <c r="K991" s="305"/>
      <c r="L991" s="305"/>
      <c r="M991" s="305"/>
      <c r="N991" s="305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  <c r="Y991" s="158"/>
      <c r="Z991" s="158"/>
    </row>
    <row r="992" spans="1:26" ht="15.75" customHeight="1">
      <c r="A992" s="305"/>
      <c r="B992" s="305"/>
      <c r="C992" s="305"/>
      <c r="D992" s="305"/>
      <c r="E992" s="305"/>
      <c r="F992" s="305"/>
      <c r="G992" s="305"/>
      <c r="H992" s="305"/>
      <c r="I992" s="305"/>
      <c r="J992" s="305"/>
      <c r="K992" s="305"/>
      <c r="L992" s="305"/>
      <c r="M992" s="305"/>
      <c r="N992" s="305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  <c r="Y992" s="158"/>
      <c r="Z992" s="158"/>
    </row>
    <row r="993" spans="1:26" ht="15.75" customHeight="1">
      <c r="A993" s="305"/>
      <c r="B993" s="305"/>
      <c r="C993" s="305"/>
      <c r="D993" s="305"/>
      <c r="E993" s="305"/>
      <c r="F993" s="305"/>
      <c r="G993" s="305"/>
      <c r="H993" s="305"/>
      <c r="I993" s="305"/>
      <c r="J993" s="305"/>
      <c r="K993" s="305"/>
      <c r="L993" s="305"/>
      <c r="M993" s="305"/>
      <c r="N993" s="305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  <c r="Y993" s="158"/>
      <c r="Z993" s="158"/>
    </row>
    <row r="994" spans="1:26" ht="15.75" customHeight="1">
      <c r="A994" s="305"/>
      <c r="B994" s="305"/>
      <c r="C994" s="305"/>
      <c r="D994" s="305"/>
      <c r="E994" s="305"/>
      <c r="F994" s="305"/>
      <c r="G994" s="305"/>
      <c r="H994" s="305"/>
      <c r="I994" s="305"/>
      <c r="J994" s="305"/>
      <c r="K994" s="305"/>
      <c r="L994" s="305"/>
      <c r="M994" s="305"/>
      <c r="N994" s="305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  <c r="Y994" s="158"/>
      <c r="Z994" s="158"/>
    </row>
    <row r="995" spans="1:26" ht="15.75" customHeight="1">
      <c r="A995" s="305"/>
      <c r="B995" s="305"/>
      <c r="C995" s="305"/>
      <c r="D995" s="305"/>
      <c r="E995" s="305"/>
      <c r="F995" s="305"/>
      <c r="G995" s="305"/>
      <c r="H995" s="305"/>
      <c r="I995" s="305"/>
      <c r="J995" s="305"/>
      <c r="K995" s="305"/>
      <c r="L995" s="305"/>
      <c r="M995" s="305"/>
      <c r="N995" s="305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  <c r="Y995" s="158"/>
      <c r="Z995" s="158"/>
    </row>
    <row r="996" spans="1:26" ht="15.75" customHeight="1">
      <c r="A996" s="305"/>
      <c r="B996" s="305"/>
      <c r="C996" s="305"/>
      <c r="D996" s="305"/>
      <c r="E996" s="305"/>
      <c r="F996" s="305"/>
      <c r="G996" s="305"/>
      <c r="H996" s="305"/>
      <c r="I996" s="305"/>
      <c r="J996" s="305"/>
      <c r="K996" s="305"/>
      <c r="L996" s="305"/>
      <c r="M996" s="305"/>
      <c r="N996" s="305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  <c r="Y996" s="158"/>
      <c r="Z996" s="158"/>
    </row>
    <row r="997" spans="1:26" ht="15.75" customHeight="1">
      <c r="A997" s="305"/>
      <c r="B997" s="305"/>
      <c r="C997" s="305"/>
      <c r="D997" s="305"/>
      <c r="E997" s="305"/>
      <c r="F997" s="305"/>
      <c r="G997" s="305"/>
      <c r="H997" s="305"/>
      <c r="I997" s="305"/>
      <c r="J997" s="305"/>
      <c r="K997" s="305"/>
      <c r="L997" s="305"/>
      <c r="M997" s="305"/>
      <c r="N997" s="305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  <c r="Y997" s="158"/>
      <c r="Z997" s="158"/>
    </row>
    <row r="998" spans="1:26" ht="15.75" customHeight="1">
      <c r="A998" s="305"/>
      <c r="B998" s="305"/>
      <c r="C998" s="305"/>
      <c r="D998" s="305"/>
      <c r="E998" s="305"/>
      <c r="F998" s="305"/>
      <c r="G998" s="305"/>
      <c r="H998" s="305"/>
      <c r="I998" s="305"/>
      <c r="J998" s="305"/>
      <c r="K998" s="305"/>
      <c r="L998" s="305"/>
      <c r="M998" s="305"/>
      <c r="N998" s="305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  <c r="Y998" s="158"/>
      <c r="Z998" s="158"/>
    </row>
    <row r="999" spans="1:26" ht="15.75" customHeight="1">
      <c r="A999" s="305"/>
      <c r="B999" s="305"/>
      <c r="C999" s="305"/>
      <c r="D999" s="305"/>
      <c r="E999" s="305"/>
      <c r="F999" s="305"/>
      <c r="G999" s="305"/>
      <c r="H999" s="305"/>
      <c r="I999" s="305"/>
      <c r="J999" s="305"/>
      <c r="K999" s="305"/>
      <c r="L999" s="305"/>
      <c r="M999" s="305"/>
      <c r="N999" s="305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  <c r="Y999" s="158"/>
      <c r="Z999" s="158"/>
    </row>
    <row r="1000" spans="1:26" ht="15.75" customHeight="1">
      <c r="A1000" s="305"/>
      <c r="B1000" s="305"/>
      <c r="C1000" s="305"/>
      <c r="D1000" s="305"/>
      <c r="E1000" s="305"/>
      <c r="F1000" s="305"/>
      <c r="G1000" s="305"/>
      <c r="H1000" s="305"/>
      <c r="I1000" s="305"/>
      <c r="J1000" s="305"/>
      <c r="K1000" s="305"/>
      <c r="L1000" s="305"/>
      <c r="M1000" s="305"/>
      <c r="N1000" s="305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  <c r="Y1000" s="158"/>
      <c r="Z1000" s="158"/>
    </row>
  </sheetData>
  <mergeCells count="76">
    <mergeCell ref="A117:A118"/>
    <mergeCell ref="A119:A120"/>
    <mergeCell ref="A97:A104"/>
    <mergeCell ref="A105:E105"/>
    <mergeCell ref="G105:I105"/>
    <mergeCell ref="A106:A107"/>
    <mergeCell ref="A108:A109"/>
    <mergeCell ref="A110:A111"/>
    <mergeCell ref="A112:A113"/>
    <mergeCell ref="A41:A43"/>
    <mergeCell ref="A44:E44"/>
    <mergeCell ref="G44:I44"/>
    <mergeCell ref="A45:A46"/>
    <mergeCell ref="A115:E115"/>
    <mergeCell ref="G115:I115"/>
    <mergeCell ref="A86:A90"/>
    <mergeCell ref="A91:E91"/>
    <mergeCell ref="G91:I91"/>
    <mergeCell ref="A92:A95"/>
    <mergeCell ref="A96:B96"/>
    <mergeCell ref="A75:A78"/>
    <mergeCell ref="A79:E79"/>
    <mergeCell ref="G79:I79"/>
    <mergeCell ref="A80:A84"/>
    <mergeCell ref="A85:E85"/>
    <mergeCell ref="A34:A35"/>
    <mergeCell ref="A36:E36"/>
    <mergeCell ref="G36:I36"/>
    <mergeCell ref="A37:A39"/>
    <mergeCell ref="A40:E40"/>
    <mergeCell ref="G40:I40"/>
    <mergeCell ref="A27:E27"/>
    <mergeCell ref="G27:I27"/>
    <mergeCell ref="A23:A26"/>
    <mergeCell ref="A28:A32"/>
    <mergeCell ref="A33:E33"/>
    <mergeCell ref="G33:I33"/>
    <mergeCell ref="A13:A15"/>
    <mergeCell ref="A16:E16"/>
    <mergeCell ref="G16:I16"/>
    <mergeCell ref="A17:A21"/>
    <mergeCell ref="A22:E22"/>
    <mergeCell ref="G22:I22"/>
    <mergeCell ref="A5:A8"/>
    <mergeCell ref="A9:E9"/>
    <mergeCell ref="G9:I9"/>
    <mergeCell ref="A10:A11"/>
    <mergeCell ref="A12:E12"/>
    <mergeCell ref="G12:I12"/>
    <mergeCell ref="K2:M2"/>
    <mergeCell ref="M3:M4"/>
    <mergeCell ref="A1:M1"/>
    <mergeCell ref="B2:E2"/>
    <mergeCell ref="G2:I2"/>
    <mergeCell ref="A3:A4"/>
    <mergeCell ref="B3:B4"/>
    <mergeCell ref="E3:E4"/>
    <mergeCell ref="I3:I4"/>
    <mergeCell ref="G85:I85"/>
    <mergeCell ref="A63:A67"/>
    <mergeCell ref="A68:E68"/>
    <mergeCell ref="G68:I68"/>
    <mergeCell ref="A69:A73"/>
    <mergeCell ref="A74:E74"/>
    <mergeCell ref="G74:I74"/>
    <mergeCell ref="A56:E56"/>
    <mergeCell ref="G56:I56"/>
    <mergeCell ref="A53:A55"/>
    <mergeCell ref="A57:A61"/>
    <mergeCell ref="A62:E62"/>
    <mergeCell ref="G62:I62"/>
    <mergeCell ref="A47:E47"/>
    <mergeCell ref="G47:I47"/>
    <mergeCell ref="A48:A51"/>
    <mergeCell ref="A52:E52"/>
    <mergeCell ref="G52:I52"/>
  </mergeCells>
  <printOptions horizontalCentered="1" gridLines="1"/>
  <pageMargins left="0.7" right="0.7" top="0.75" bottom="0.75" header="0" footer="0"/>
  <pageSetup paperSize="9" pageOrder="overThenDown" orientation="landscape" cellComments="atEnd"/>
  <rowBreaks count="4" manualBreakCount="4">
    <brk man="1"/>
    <brk id="84" man="1"/>
    <brk id="39" man="1"/>
    <brk id="121" man="1"/>
  </rowBreaks>
  <colBreaks count="2" manualBreakCount="2">
    <brk man="1"/>
    <brk id="1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7514-441F-4A1D-B565-16717A655773}">
  <sheetPr>
    <outlinePr summaryBelow="0" summaryRight="0"/>
    <pageSetUpPr fitToPage="1"/>
  </sheetPr>
  <dimension ref="A1:Z1002"/>
  <sheetViews>
    <sheetView tabSelected="1" workbookViewId="0">
      <pane ySplit="2" topLeftCell="A97" activePane="bottomLeft" state="frozen"/>
      <selection pane="bottomLeft" activeCell="B3" sqref="B3:B4"/>
    </sheetView>
  </sheetViews>
  <sheetFormatPr defaultColWidth="12.625" defaultRowHeight="15" customHeight="1"/>
  <cols>
    <col min="1" max="1" width="19.875" style="668" customWidth="1"/>
    <col min="2" max="2" width="14.125" style="668" customWidth="1"/>
    <col min="3" max="3" width="13" style="668" customWidth="1"/>
    <col min="4" max="4" width="12.375" style="668" customWidth="1"/>
    <col min="5" max="5" width="11.625" style="668" customWidth="1"/>
    <col min="6" max="6" width="1.25" style="668" customWidth="1"/>
    <col min="7" max="7" width="11.875" style="668" customWidth="1"/>
    <col min="8" max="8" width="11.25" style="668" customWidth="1"/>
    <col min="9" max="9" width="11.625" style="668" customWidth="1"/>
    <col min="10" max="10" width="1.25" style="668" customWidth="1"/>
    <col min="11" max="11" width="11.875" style="668" customWidth="1"/>
    <col min="12" max="12" width="12.5" style="668" customWidth="1"/>
    <col min="13" max="13" width="12.625" style="668" customWidth="1"/>
    <col min="14" max="14" width="9.875" style="668" customWidth="1"/>
    <col min="15" max="15" width="11.25" style="668" customWidth="1"/>
    <col min="16" max="16" width="4.875" style="668" customWidth="1"/>
    <col min="17" max="24" width="7.875" style="668" customWidth="1"/>
    <col min="25" max="16384" width="12.625" style="668"/>
  </cols>
  <sheetData>
    <row r="1" spans="1:26" ht="15.75" customHeight="1" thickBot="1">
      <c r="A1" s="909" t="s">
        <v>210</v>
      </c>
      <c r="B1" s="895"/>
      <c r="C1" s="895"/>
      <c r="D1" s="895"/>
      <c r="E1" s="895"/>
      <c r="F1" s="895"/>
      <c r="G1" s="895"/>
      <c r="H1" s="895"/>
      <c r="I1" s="895"/>
      <c r="J1" s="895"/>
      <c r="K1" s="895"/>
      <c r="L1" s="895"/>
      <c r="M1" s="891"/>
      <c r="N1" s="666"/>
      <c r="O1" s="666"/>
      <c r="P1" s="666"/>
      <c r="Q1" s="666"/>
      <c r="R1" s="666"/>
      <c r="S1" s="666"/>
      <c r="T1" s="666"/>
      <c r="U1" s="666"/>
      <c r="V1" s="666"/>
      <c r="W1" s="666"/>
      <c r="X1" s="666"/>
      <c r="Y1" s="667"/>
      <c r="Z1" s="667"/>
    </row>
    <row r="2" spans="1:26" ht="16.5" customHeight="1" thickBot="1">
      <c r="A2" s="669"/>
      <c r="B2" s="910" t="s">
        <v>156</v>
      </c>
      <c r="C2" s="895"/>
      <c r="D2" s="895"/>
      <c r="E2" s="891"/>
      <c r="F2" s="670"/>
      <c r="G2" s="911" t="s">
        <v>4</v>
      </c>
      <c r="H2" s="895"/>
      <c r="I2" s="895"/>
      <c r="J2" s="671"/>
      <c r="K2" s="912" t="s">
        <v>1</v>
      </c>
      <c r="L2" s="895"/>
      <c r="M2" s="891"/>
      <c r="N2" s="666"/>
      <c r="O2" s="666"/>
      <c r="P2" s="666"/>
      <c r="Q2" s="666"/>
      <c r="R2" s="666"/>
      <c r="S2" s="666"/>
      <c r="T2" s="666"/>
      <c r="U2" s="666"/>
      <c r="V2" s="666"/>
      <c r="W2" s="666"/>
      <c r="X2" s="666"/>
      <c r="Y2" s="667"/>
      <c r="Z2" s="667"/>
    </row>
    <row r="3" spans="1:26" ht="48" customHeight="1" thickBot="1">
      <c r="A3" s="888" t="s">
        <v>129</v>
      </c>
      <c r="B3" s="888" t="s">
        <v>7</v>
      </c>
      <c r="C3" s="672" t="str">
        <f>K3</f>
        <v xml:space="preserve">RG 2021-22 </v>
      </c>
      <c r="D3" s="673" t="str">
        <f t="shared" ref="D3:E3" si="0">H3</f>
        <v>Actual Exp. up to Jan -2022</v>
      </c>
      <c r="E3" s="896" t="str">
        <f t="shared" si="0"/>
        <v>%age utilization of fund on RG</v>
      </c>
      <c r="F3" s="674"/>
      <c r="G3" s="675" t="str">
        <f>K3</f>
        <v xml:space="preserve">RG 2021-22 </v>
      </c>
      <c r="H3" s="676" t="s">
        <v>203</v>
      </c>
      <c r="I3" s="896" t="str">
        <f>M3</f>
        <v>%age utilization of fund on RG</v>
      </c>
      <c r="J3" s="677"/>
      <c r="K3" s="678" t="s">
        <v>192</v>
      </c>
      <c r="L3" s="676" t="str">
        <f>H3</f>
        <v>Actual Exp. up to Jan -2022</v>
      </c>
      <c r="M3" s="914" t="s">
        <v>193</v>
      </c>
      <c r="N3" s="666"/>
      <c r="O3" s="666"/>
      <c r="P3" s="666"/>
      <c r="Q3" s="666"/>
      <c r="R3" s="666"/>
      <c r="S3" s="666"/>
      <c r="T3" s="666"/>
      <c r="U3" s="666"/>
      <c r="V3" s="666"/>
      <c r="W3" s="666"/>
      <c r="X3" s="666"/>
      <c r="Y3" s="667"/>
      <c r="Z3" s="667"/>
    </row>
    <row r="4" spans="1:26" ht="17.25" customHeight="1" thickBot="1">
      <c r="A4" s="899"/>
      <c r="B4" s="899"/>
      <c r="C4" s="679" t="s">
        <v>19</v>
      </c>
      <c r="D4" s="680" t="s">
        <v>19</v>
      </c>
      <c r="E4" s="913"/>
      <c r="F4" s="677"/>
      <c r="G4" s="681" t="s">
        <v>19</v>
      </c>
      <c r="H4" s="680"/>
      <c r="I4" s="913"/>
      <c r="J4" s="677"/>
      <c r="K4" s="682" t="s">
        <v>19</v>
      </c>
      <c r="L4" s="683" t="s">
        <v>19</v>
      </c>
      <c r="M4" s="915"/>
      <c r="N4" s="666"/>
      <c r="O4" s="666"/>
      <c r="P4" s="666"/>
      <c r="Q4" s="666"/>
      <c r="R4" s="666"/>
      <c r="S4" s="666"/>
      <c r="T4" s="666"/>
      <c r="U4" s="666"/>
      <c r="V4" s="666"/>
      <c r="W4" s="666"/>
      <c r="X4" s="666"/>
      <c r="Y4" s="667"/>
      <c r="Z4" s="667"/>
    </row>
    <row r="5" spans="1:26" ht="15.75" customHeight="1">
      <c r="A5" s="904" t="s">
        <v>97</v>
      </c>
      <c r="B5" s="684" t="s">
        <v>21</v>
      </c>
      <c r="C5" s="685">
        <v>1</v>
      </c>
      <c r="D5" s="685">
        <v>1731</v>
      </c>
      <c r="E5" s="686">
        <f>D5/C5</f>
        <v>1731</v>
      </c>
      <c r="F5" s="687"/>
      <c r="G5" s="688"/>
      <c r="H5" s="688"/>
      <c r="I5" s="689"/>
      <c r="J5" s="690"/>
      <c r="K5" s="685">
        <v>1</v>
      </c>
      <c r="L5" s="691">
        <v>1731</v>
      </c>
      <c r="M5" s="692">
        <f>L5/K5</f>
        <v>1731</v>
      </c>
      <c r="N5" s="666"/>
      <c r="O5" s="666"/>
      <c r="P5" s="666"/>
      <c r="Q5" s="666"/>
      <c r="R5" s="666"/>
      <c r="S5" s="666"/>
      <c r="T5" s="666"/>
      <c r="U5" s="666"/>
      <c r="V5" s="666"/>
      <c r="W5" s="666"/>
      <c r="X5" s="666"/>
      <c r="Y5" s="667"/>
      <c r="Z5" s="667"/>
    </row>
    <row r="6" spans="1:26" ht="15.75" customHeight="1">
      <c r="A6" s="905"/>
      <c r="B6" s="693" t="s">
        <v>22</v>
      </c>
      <c r="C6" s="694">
        <v>10000</v>
      </c>
      <c r="D6" s="694">
        <v>0</v>
      </c>
      <c r="E6" s="695">
        <v>0</v>
      </c>
      <c r="F6" s="687"/>
      <c r="G6" s="696"/>
      <c r="H6" s="696"/>
      <c r="I6" s="689"/>
      <c r="J6" s="690"/>
      <c r="K6" s="694">
        <v>10000</v>
      </c>
      <c r="L6" s="697">
        <v>0</v>
      </c>
      <c r="M6" s="698">
        <v>0</v>
      </c>
      <c r="N6" s="666"/>
      <c r="O6" s="666"/>
      <c r="P6" s="666"/>
      <c r="Q6" s="666"/>
      <c r="R6" s="666"/>
      <c r="S6" s="666"/>
      <c r="T6" s="666"/>
      <c r="U6" s="666"/>
      <c r="V6" s="666"/>
      <c r="W6" s="666"/>
      <c r="X6" s="666"/>
      <c r="Y6" s="667"/>
      <c r="Z6" s="667"/>
    </row>
    <row r="7" spans="1:26" ht="15.75" customHeight="1">
      <c r="A7" s="905"/>
      <c r="B7" s="693" t="s">
        <v>40</v>
      </c>
      <c r="C7" s="694">
        <v>635</v>
      </c>
      <c r="D7" s="694">
        <v>469</v>
      </c>
      <c r="E7" s="695">
        <f t="shared" ref="E7:E8" si="1">D7/C7</f>
        <v>0.73858267716535431</v>
      </c>
      <c r="F7" s="687"/>
      <c r="G7" s="696"/>
      <c r="H7" s="696"/>
      <c r="I7" s="689"/>
      <c r="J7" s="690"/>
      <c r="K7" s="694">
        <v>635</v>
      </c>
      <c r="L7" s="697">
        <v>469</v>
      </c>
      <c r="M7" s="698">
        <f t="shared" ref="M7:M8" si="2">L7/K7</f>
        <v>0.73858267716535431</v>
      </c>
      <c r="N7" s="666"/>
      <c r="O7" s="666"/>
      <c r="P7" s="666"/>
      <c r="Q7" s="666"/>
      <c r="R7" s="666"/>
      <c r="S7" s="666"/>
      <c r="T7" s="666"/>
      <c r="U7" s="666"/>
      <c r="V7" s="666"/>
      <c r="W7" s="666"/>
      <c r="X7" s="666"/>
      <c r="Y7" s="667"/>
      <c r="Z7" s="667"/>
    </row>
    <row r="8" spans="1:26" ht="15.75" customHeight="1" thickBot="1">
      <c r="A8" s="906"/>
      <c r="B8" s="699" t="s">
        <v>25</v>
      </c>
      <c r="C8" s="700">
        <f t="shared" ref="C8:D8" si="3">SUM(C5:C7)</f>
        <v>10636</v>
      </c>
      <c r="D8" s="700">
        <f t="shared" si="3"/>
        <v>2200</v>
      </c>
      <c r="E8" s="701">
        <f t="shared" si="1"/>
        <v>0.20684467845054533</v>
      </c>
      <c r="F8" s="702"/>
      <c r="G8" s="703"/>
      <c r="H8" s="704"/>
      <c r="I8" s="705"/>
      <c r="J8" s="690"/>
      <c r="K8" s="700">
        <f t="shared" ref="K8:L8" si="4">SUM(K5:K7)</f>
        <v>10636</v>
      </c>
      <c r="L8" s="706">
        <f t="shared" si="4"/>
        <v>2200</v>
      </c>
      <c r="M8" s="707">
        <f t="shared" si="2"/>
        <v>0.20684467845054533</v>
      </c>
      <c r="N8" s="666"/>
      <c r="O8" s="666"/>
      <c r="P8" s="666"/>
      <c r="Q8" s="666"/>
      <c r="R8" s="666"/>
      <c r="S8" s="666"/>
      <c r="T8" s="666"/>
      <c r="U8" s="666"/>
      <c r="V8" s="666"/>
      <c r="W8" s="666"/>
      <c r="X8" s="666"/>
      <c r="Y8" s="667"/>
      <c r="Z8" s="667"/>
    </row>
    <row r="9" spans="1:26" ht="6.75" customHeight="1" thickBot="1">
      <c r="A9" s="894"/>
      <c r="B9" s="895"/>
      <c r="C9" s="895"/>
      <c r="D9" s="895"/>
      <c r="E9" s="895"/>
      <c r="F9" s="673"/>
      <c r="G9" s="901"/>
      <c r="H9" s="895"/>
      <c r="I9" s="895"/>
      <c r="J9" s="673"/>
      <c r="K9" s="708"/>
      <c r="L9" s="709"/>
      <c r="M9" s="710"/>
      <c r="N9" s="666"/>
      <c r="O9" s="666"/>
      <c r="P9" s="666"/>
      <c r="Q9" s="666"/>
      <c r="R9" s="666"/>
      <c r="S9" s="666"/>
      <c r="T9" s="666"/>
      <c r="U9" s="666"/>
      <c r="V9" s="666"/>
      <c r="W9" s="666"/>
      <c r="X9" s="666"/>
      <c r="Y9" s="667"/>
      <c r="Z9" s="667"/>
    </row>
    <row r="10" spans="1:26" ht="15.75" customHeight="1">
      <c r="A10" s="907" t="s">
        <v>26</v>
      </c>
      <c r="B10" s="711" t="s">
        <v>21</v>
      </c>
      <c r="C10" s="711">
        <v>3000000</v>
      </c>
      <c r="D10" s="712">
        <v>2459676</v>
      </c>
      <c r="E10" s="713">
        <f t="shared" ref="E10:E11" si="5">D10/C10</f>
        <v>0.81989199999999995</v>
      </c>
      <c r="F10" s="687"/>
      <c r="G10" s="714"/>
      <c r="H10" s="714"/>
      <c r="I10" s="715"/>
      <c r="J10" s="687"/>
      <c r="K10" s="716">
        <v>3000000</v>
      </c>
      <c r="L10" s="717">
        <v>2459676</v>
      </c>
      <c r="M10" s="718">
        <f t="shared" ref="M10:M11" si="6">L10/K10</f>
        <v>0.81989199999999995</v>
      </c>
      <c r="N10" s="666"/>
      <c r="O10" s="666"/>
      <c r="P10" s="666"/>
      <c r="Q10" s="666"/>
      <c r="R10" s="666"/>
      <c r="S10" s="666"/>
      <c r="T10" s="666"/>
      <c r="U10" s="666"/>
      <c r="V10" s="666"/>
      <c r="W10" s="666"/>
      <c r="X10" s="666"/>
      <c r="Y10" s="667"/>
      <c r="Z10" s="667"/>
    </row>
    <row r="11" spans="1:26" ht="15.75" customHeight="1" thickBot="1">
      <c r="A11" s="908"/>
      <c r="B11" s="700" t="s">
        <v>25</v>
      </c>
      <c r="C11" s="700">
        <f t="shared" ref="C11:D11" si="7">SUM(C10)</f>
        <v>3000000</v>
      </c>
      <c r="D11" s="719">
        <f t="shared" si="7"/>
        <v>2459676</v>
      </c>
      <c r="E11" s="720">
        <f t="shared" si="5"/>
        <v>0.81989199999999995</v>
      </c>
      <c r="F11" s="702"/>
      <c r="G11" s="721"/>
      <c r="H11" s="722"/>
      <c r="I11" s="723"/>
      <c r="J11" s="687"/>
      <c r="K11" s="724">
        <f>SUM(K10)</f>
        <v>3000000</v>
      </c>
      <c r="L11" s="725">
        <f>L10</f>
        <v>2459676</v>
      </c>
      <c r="M11" s="726">
        <f t="shared" si="6"/>
        <v>0.81989199999999995</v>
      </c>
      <c r="N11" s="666"/>
      <c r="O11" s="666"/>
      <c r="P11" s="666"/>
      <c r="Q11" s="666"/>
      <c r="R11" s="666"/>
      <c r="S11" s="666"/>
      <c r="T11" s="666"/>
      <c r="U11" s="666"/>
      <c r="V11" s="666"/>
      <c r="W11" s="666"/>
      <c r="X11" s="666"/>
      <c r="Y11" s="667"/>
      <c r="Z11" s="667"/>
    </row>
    <row r="12" spans="1:26" ht="6.75" customHeight="1" thickBot="1">
      <c r="A12" s="894"/>
      <c r="B12" s="895"/>
      <c r="C12" s="895"/>
      <c r="D12" s="895"/>
      <c r="E12" s="895"/>
      <c r="F12" s="673"/>
      <c r="G12" s="901"/>
      <c r="H12" s="895"/>
      <c r="I12" s="895"/>
      <c r="J12" s="673"/>
      <c r="K12" s="708"/>
      <c r="L12" s="727"/>
      <c r="M12" s="710"/>
      <c r="N12" s="666"/>
      <c r="O12" s="666"/>
      <c r="P12" s="666"/>
      <c r="Q12" s="666"/>
      <c r="R12" s="666"/>
      <c r="S12" s="666"/>
      <c r="T12" s="666"/>
      <c r="U12" s="666"/>
      <c r="V12" s="666"/>
      <c r="W12" s="666"/>
      <c r="X12" s="666"/>
      <c r="Y12" s="667"/>
      <c r="Z12" s="667"/>
    </row>
    <row r="13" spans="1:26" ht="15.75" customHeight="1" thickBot="1">
      <c r="A13" s="898" t="s">
        <v>190</v>
      </c>
      <c r="B13" s="728" t="s">
        <v>21</v>
      </c>
      <c r="C13" s="729">
        <v>1099436</v>
      </c>
      <c r="D13" s="730">
        <v>172600</v>
      </c>
      <c r="E13" s="686">
        <f t="shared" ref="E13:E15" si="8">D13/C13</f>
        <v>0.15698958375021374</v>
      </c>
      <c r="F13" s="687"/>
      <c r="G13" s="731">
        <f t="shared" ref="G13:H14" si="9">K13-C13</f>
        <v>155000</v>
      </c>
      <c r="H13" s="731">
        <f t="shared" si="9"/>
        <v>98325</v>
      </c>
      <c r="I13" s="695">
        <f>H13/G13</f>
        <v>0.63435483870967746</v>
      </c>
      <c r="J13" s="687"/>
      <c r="K13" s="729">
        <v>1254436</v>
      </c>
      <c r="L13" s="730">
        <v>270925</v>
      </c>
      <c r="M13" s="732">
        <f t="shared" ref="M13:M15" si="10">L13/K13</f>
        <v>0.21597355305491869</v>
      </c>
      <c r="N13" s="666"/>
      <c r="O13" s="666"/>
      <c r="P13" s="666"/>
      <c r="Q13" s="666"/>
      <c r="R13" s="666"/>
      <c r="S13" s="666"/>
      <c r="T13" s="666"/>
      <c r="U13" s="666"/>
      <c r="V13" s="666"/>
      <c r="W13" s="666"/>
      <c r="X13" s="666"/>
      <c r="Y13" s="667"/>
      <c r="Z13" s="667"/>
    </row>
    <row r="14" spans="1:26" ht="15.75" customHeight="1">
      <c r="A14" s="899"/>
      <c r="B14" s="693" t="s">
        <v>158</v>
      </c>
      <c r="C14" s="733">
        <v>8245564</v>
      </c>
      <c r="D14" s="712">
        <v>6979400</v>
      </c>
      <c r="E14" s="686">
        <f t="shared" si="8"/>
        <v>0.84644300862863964</v>
      </c>
      <c r="F14" s="687"/>
      <c r="G14" s="731">
        <f t="shared" si="9"/>
        <v>0</v>
      </c>
      <c r="H14" s="731">
        <f t="shared" si="9"/>
        <v>0</v>
      </c>
      <c r="I14" s="695">
        <v>0</v>
      </c>
      <c r="J14" s="687"/>
      <c r="K14" s="733">
        <v>8245564</v>
      </c>
      <c r="L14" s="712">
        <v>6979400</v>
      </c>
      <c r="M14" s="732">
        <f t="shared" si="10"/>
        <v>0.84644300862863964</v>
      </c>
      <c r="N14" s="666"/>
      <c r="O14" s="666"/>
      <c r="P14" s="666"/>
      <c r="Q14" s="666"/>
      <c r="R14" s="666"/>
      <c r="S14" s="666"/>
      <c r="T14" s="666"/>
      <c r="U14" s="666"/>
      <c r="V14" s="666"/>
      <c r="W14" s="666"/>
      <c r="X14" s="666"/>
      <c r="Y14" s="667"/>
      <c r="Z14" s="667"/>
    </row>
    <row r="15" spans="1:26" ht="15.75" customHeight="1" thickBot="1">
      <c r="A15" s="889"/>
      <c r="B15" s="700" t="s">
        <v>25</v>
      </c>
      <c r="C15" s="734">
        <f t="shared" ref="C15:D15" si="11">SUM(C13:C14)</f>
        <v>9345000</v>
      </c>
      <c r="D15" s="734">
        <f t="shared" si="11"/>
        <v>7152000</v>
      </c>
      <c r="E15" s="720">
        <f t="shared" si="8"/>
        <v>0.76532905296950238</v>
      </c>
      <c r="F15" s="702"/>
      <c r="G15" s="735">
        <f t="shared" ref="G15:H15" si="12">SUM(G13)</f>
        <v>155000</v>
      </c>
      <c r="H15" s="734">
        <f t="shared" si="12"/>
        <v>98325</v>
      </c>
      <c r="I15" s="695">
        <f>H15/G15</f>
        <v>0.63435483870967746</v>
      </c>
      <c r="J15" s="687"/>
      <c r="K15" s="724">
        <f t="shared" ref="K15:L15" si="13">SUM(K13:K14)</f>
        <v>9500000</v>
      </c>
      <c r="L15" s="736">
        <f t="shared" si="13"/>
        <v>7250325</v>
      </c>
      <c r="M15" s="737">
        <f t="shared" si="10"/>
        <v>0.76319210526315795</v>
      </c>
      <c r="N15" s="666"/>
      <c r="O15" s="666"/>
      <c r="P15" s="666"/>
      <c r="Q15" s="666"/>
      <c r="R15" s="666"/>
      <c r="S15" s="666"/>
      <c r="T15" s="666"/>
      <c r="U15" s="666"/>
      <c r="V15" s="666"/>
      <c r="W15" s="666"/>
      <c r="X15" s="666"/>
      <c r="Y15" s="667"/>
      <c r="Z15" s="667"/>
    </row>
    <row r="16" spans="1:26" ht="6.75" customHeight="1" thickBot="1">
      <c r="A16" s="894"/>
      <c r="B16" s="895"/>
      <c r="C16" s="895"/>
      <c r="D16" s="895"/>
      <c r="E16" s="895"/>
      <c r="F16" s="673"/>
      <c r="G16" s="901"/>
      <c r="H16" s="895"/>
      <c r="I16" s="895"/>
      <c r="J16" s="673"/>
      <c r="K16" s="708"/>
      <c r="L16" s="709"/>
      <c r="M16" s="710"/>
      <c r="N16" s="666"/>
      <c r="O16" s="666"/>
      <c r="P16" s="666"/>
      <c r="Q16" s="666"/>
      <c r="R16" s="666"/>
      <c r="S16" s="666"/>
      <c r="T16" s="666"/>
      <c r="U16" s="666"/>
      <c r="V16" s="666"/>
      <c r="W16" s="666"/>
      <c r="X16" s="666"/>
      <c r="Y16" s="667"/>
      <c r="Z16" s="667"/>
    </row>
    <row r="17" spans="1:26" ht="15.75" customHeight="1">
      <c r="A17" s="898" t="s">
        <v>30</v>
      </c>
      <c r="B17" s="684" t="s">
        <v>21</v>
      </c>
      <c r="C17" s="729">
        <f>485686+10000</f>
        <v>495686</v>
      </c>
      <c r="D17" s="730">
        <f>238744+3446</f>
        <v>242190</v>
      </c>
      <c r="E17" s="686">
        <f>D17/C17</f>
        <v>0.48859560286148895</v>
      </c>
      <c r="F17" s="687"/>
      <c r="G17" s="731">
        <f t="shared" ref="G17:H20" si="14">K17-C17</f>
        <v>304314</v>
      </c>
      <c r="H17" s="731">
        <f t="shared" si="14"/>
        <v>113349</v>
      </c>
      <c r="I17" s="695">
        <f>H17/G17</f>
        <v>0.37247382637670301</v>
      </c>
      <c r="J17" s="687"/>
      <c r="K17" s="738">
        <v>800000</v>
      </c>
      <c r="L17" s="738">
        <v>355539</v>
      </c>
      <c r="M17" s="732">
        <f>L17/K17</f>
        <v>0.44442375000000001</v>
      </c>
      <c r="N17" s="666"/>
      <c r="O17" s="666"/>
      <c r="P17" s="666"/>
      <c r="Q17" s="666"/>
      <c r="R17" s="666"/>
      <c r="S17" s="666"/>
      <c r="T17" s="666"/>
      <c r="U17" s="666"/>
      <c r="V17" s="666"/>
      <c r="W17" s="666"/>
      <c r="X17" s="666"/>
      <c r="Y17" s="667"/>
      <c r="Z17" s="667"/>
    </row>
    <row r="18" spans="1:26" ht="15.75" customHeight="1">
      <c r="A18" s="899"/>
      <c r="B18" s="693" t="s">
        <v>28</v>
      </c>
      <c r="C18" s="739">
        <v>0</v>
      </c>
      <c r="D18" s="740">
        <v>0</v>
      </c>
      <c r="E18" s="695">
        <v>0</v>
      </c>
      <c r="F18" s="687"/>
      <c r="G18" s="731">
        <f t="shared" si="14"/>
        <v>256</v>
      </c>
      <c r="H18" s="731">
        <f t="shared" si="14"/>
        <v>256</v>
      </c>
      <c r="I18" s="695">
        <v>0</v>
      </c>
      <c r="J18" s="687"/>
      <c r="K18" s="741">
        <v>256</v>
      </c>
      <c r="L18" s="741">
        <v>256</v>
      </c>
      <c r="M18" s="742">
        <v>0</v>
      </c>
      <c r="N18" s="666"/>
      <c r="O18" s="666"/>
      <c r="P18" s="666"/>
      <c r="Q18" s="666"/>
      <c r="R18" s="666"/>
      <c r="S18" s="666"/>
      <c r="T18" s="666"/>
      <c r="U18" s="666"/>
      <c r="V18" s="666"/>
      <c r="W18" s="666"/>
      <c r="X18" s="666"/>
      <c r="Y18" s="667"/>
      <c r="Z18" s="667"/>
    </row>
    <row r="19" spans="1:26" ht="15.75" customHeight="1">
      <c r="A19" s="899"/>
      <c r="B19" s="693" t="s">
        <v>31</v>
      </c>
      <c r="C19" s="739">
        <f>50000+75000</f>
        <v>125000</v>
      </c>
      <c r="D19" s="740">
        <f>40495+75110</f>
        <v>115605</v>
      </c>
      <c r="E19" s="695">
        <f t="shared" ref="E19:E21" si="15">D19/C19</f>
        <v>0.92484</v>
      </c>
      <c r="F19" s="687"/>
      <c r="G19" s="731">
        <f t="shared" si="14"/>
        <v>50000</v>
      </c>
      <c r="H19" s="731">
        <f t="shared" si="14"/>
        <v>59801</v>
      </c>
      <c r="I19" s="695">
        <f t="shared" ref="I19:I21" si="16">H19/G19</f>
        <v>1.1960200000000001</v>
      </c>
      <c r="J19" s="687"/>
      <c r="K19" s="741">
        <v>175000</v>
      </c>
      <c r="L19" s="741">
        <v>175406</v>
      </c>
      <c r="M19" s="742">
        <f t="shared" ref="M19:M21" si="17">L19/K19</f>
        <v>1.0023200000000001</v>
      </c>
      <c r="N19" s="666"/>
      <c r="O19" s="666"/>
      <c r="P19" s="666"/>
      <c r="Q19" s="666"/>
      <c r="R19" s="666"/>
      <c r="S19" s="666"/>
      <c r="T19" s="666"/>
      <c r="U19" s="666"/>
      <c r="V19" s="666"/>
      <c r="W19" s="666"/>
      <c r="X19" s="666"/>
      <c r="Y19" s="667"/>
      <c r="Z19" s="667"/>
    </row>
    <row r="20" spans="1:26" ht="15.75" customHeight="1">
      <c r="A20" s="899"/>
      <c r="B20" s="743" t="s">
        <v>32</v>
      </c>
      <c r="C20" s="744">
        <f>94329+130000</f>
        <v>224329</v>
      </c>
      <c r="D20" s="740">
        <f>724+56803</f>
        <v>57527</v>
      </c>
      <c r="E20" s="745">
        <f t="shared" si="15"/>
        <v>0.25644031756928443</v>
      </c>
      <c r="F20" s="687"/>
      <c r="G20" s="731">
        <f t="shared" si="14"/>
        <v>94204</v>
      </c>
      <c r="H20" s="731">
        <f t="shared" si="14"/>
        <v>19063</v>
      </c>
      <c r="I20" s="695">
        <f t="shared" si="16"/>
        <v>0.20235871088276505</v>
      </c>
      <c r="J20" s="687"/>
      <c r="K20" s="746">
        <v>318533</v>
      </c>
      <c r="L20" s="741">
        <v>76590</v>
      </c>
      <c r="M20" s="742">
        <f t="shared" si="17"/>
        <v>0.24044604483679871</v>
      </c>
      <c r="N20" s="666"/>
      <c r="O20" s="666"/>
      <c r="P20" s="666"/>
      <c r="Q20" s="666"/>
      <c r="R20" s="666"/>
      <c r="S20" s="666"/>
      <c r="T20" s="666"/>
      <c r="U20" s="666"/>
      <c r="V20" s="666"/>
      <c r="W20" s="666"/>
      <c r="X20" s="666"/>
      <c r="Y20" s="667"/>
      <c r="Z20" s="667"/>
    </row>
    <row r="21" spans="1:26" ht="15.75" customHeight="1" thickBot="1">
      <c r="A21" s="889"/>
      <c r="B21" s="700" t="s">
        <v>25</v>
      </c>
      <c r="C21" s="734">
        <f t="shared" ref="C21:D21" si="18">SUM(C17:C20)</f>
        <v>845015</v>
      </c>
      <c r="D21" s="719">
        <f t="shared" si="18"/>
        <v>415322</v>
      </c>
      <c r="E21" s="720">
        <f t="shared" si="15"/>
        <v>0.49149660065205941</v>
      </c>
      <c r="F21" s="702"/>
      <c r="G21" s="735">
        <f t="shared" ref="G21:H21" si="19">SUM(G17:G20)</f>
        <v>448774</v>
      </c>
      <c r="H21" s="734">
        <f t="shared" si="19"/>
        <v>192469</v>
      </c>
      <c r="I21" s="747">
        <f t="shared" si="16"/>
        <v>0.42887734137895689</v>
      </c>
      <c r="J21" s="687"/>
      <c r="K21" s="724">
        <f t="shared" ref="K21:L21" si="20">SUM(K17:K20)</f>
        <v>1293789</v>
      </c>
      <c r="L21" s="724">
        <f t="shared" si="20"/>
        <v>607791</v>
      </c>
      <c r="M21" s="748">
        <f t="shared" si="17"/>
        <v>0.46977598356455341</v>
      </c>
      <c r="N21" s="666"/>
      <c r="O21" s="666"/>
      <c r="P21" s="666"/>
      <c r="Q21" s="666"/>
      <c r="R21" s="666"/>
      <c r="S21" s="666"/>
      <c r="T21" s="666"/>
      <c r="U21" s="666"/>
      <c r="V21" s="666"/>
      <c r="W21" s="666"/>
      <c r="X21" s="666"/>
      <c r="Y21" s="667"/>
      <c r="Z21" s="667"/>
    </row>
    <row r="22" spans="1:26" ht="6.75" customHeight="1" thickBot="1">
      <c r="A22" s="894"/>
      <c r="B22" s="895"/>
      <c r="C22" s="895"/>
      <c r="D22" s="895"/>
      <c r="E22" s="895"/>
      <c r="F22" s="673"/>
      <c r="G22" s="901"/>
      <c r="H22" s="895"/>
      <c r="I22" s="895"/>
      <c r="J22" s="673"/>
      <c r="K22" s="708"/>
      <c r="L22" s="709"/>
      <c r="M22" s="710"/>
      <c r="N22" s="666"/>
      <c r="O22" s="666"/>
      <c r="P22" s="666"/>
      <c r="Q22" s="666"/>
      <c r="R22" s="666"/>
      <c r="S22" s="666"/>
      <c r="T22" s="666"/>
      <c r="U22" s="666"/>
      <c r="V22" s="666"/>
      <c r="W22" s="666"/>
      <c r="X22" s="666"/>
      <c r="Y22" s="667"/>
      <c r="Z22" s="667"/>
    </row>
    <row r="23" spans="1:26" ht="15.75" customHeight="1">
      <c r="A23" s="898" t="s">
        <v>34</v>
      </c>
      <c r="B23" s="684" t="s">
        <v>21</v>
      </c>
      <c r="C23" s="749"/>
      <c r="D23" s="749"/>
      <c r="E23" s="750"/>
      <c r="F23" s="687"/>
      <c r="G23" s="731">
        <f t="shared" ref="G23:H25" si="21">K23-C23</f>
        <v>5100</v>
      </c>
      <c r="H23" s="731">
        <f t="shared" si="21"/>
        <v>0</v>
      </c>
      <c r="I23" s="695">
        <f t="shared" ref="I23:I26" si="22">H23/G23</f>
        <v>0</v>
      </c>
      <c r="J23" s="687"/>
      <c r="K23" s="738">
        <v>5100</v>
      </c>
      <c r="L23" s="738">
        <v>0</v>
      </c>
      <c r="M23" s="732">
        <f t="shared" ref="M23:M26" si="23">L23/K23</f>
        <v>0</v>
      </c>
      <c r="N23" s="666"/>
      <c r="O23" s="666"/>
      <c r="P23" s="666"/>
      <c r="Q23" s="666"/>
      <c r="R23" s="666"/>
      <c r="S23" s="666"/>
      <c r="T23" s="666"/>
      <c r="U23" s="666"/>
      <c r="V23" s="666"/>
      <c r="W23" s="666"/>
      <c r="X23" s="666"/>
      <c r="Y23" s="667"/>
      <c r="Z23" s="667"/>
    </row>
    <row r="24" spans="1:26" ht="15.75" customHeight="1">
      <c r="A24" s="899"/>
      <c r="B24" s="693" t="s">
        <v>28</v>
      </c>
      <c r="C24" s="751"/>
      <c r="D24" s="751"/>
      <c r="E24" s="723"/>
      <c r="F24" s="687"/>
      <c r="G24" s="731">
        <f t="shared" si="21"/>
        <v>2000</v>
      </c>
      <c r="H24" s="731">
        <f t="shared" si="21"/>
        <v>2802</v>
      </c>
      <c r="I24" s="695">
        <f t="shared" si="22"/>
        <v>1.401</v>
      </c>
      <c r="J24" s="687"/>
      <c r="K24" s="741">
        <v>2000</v>
      </c>
      <c r="L24" s="741">
        <v>2802</v>
      </c>
      <c r="M24" s="742">
        <f t="shared" si="23"/>
        <v>1.401</v>
      </c>
      <c r="N24" s="666"/>
      <c r="O24" s="666"/>
      <c r="P24" s="666"/>
      <c r="Q24" s="666"/>
      <c r="R24" s="666"/>
      <c r="S24" s="666"/>
      <c r="T24" s="666"/>
      <c r="U24" s="666"/>
      <c r="V24" s="666"/>
      <c r="W24" s="666"/>
      <c r="X24" s="666"/>
      <c r="Y24" s="667"/>
      <c r="Z24" s="667"/>
    </row>
    <row r="25" spans="1:26" ht="15.75" customHeight="1">
      <c r="A25" s="899"/>
      <c r="B25" s="693" t="s">
        <v>31</v>
      </c>
      <c r="C25" s="751"/>
      <c r="D25" s="751"/>
      <c r="E25" s="723"/>
      <c r="F25" s="687"/>
      <c r="G25" s="731">
        <f t="shared" si="21"/>
        <v>3558</v>
      </c>
      <c r="H25" s="731">
        <f t="shared" si="21"/>
        <v>1805</v>
      </c>
      <c r="I25" s="695">
        <f t="shared" si="22"/>
        <v>0.50730747611017424</v>
      </c>
      <c r="J25" s="687"/>
      <c r="K25" s="741">
        <v>3558</v>
      </c>
      <c r="L25" s="741">
        <v>1805</v>
      </c>
      <c r="M25" s="742">
        <f t="shared" si="23"/>
        <v>0.50730747611017424</v>
      </c>
      <c r="N25" s="666"/>
      <c r="O25" s="666"/>
      <c r="P25" s="666"/>
      <c r="Q25" s="666"/>
      <c r="R25" s="666"/>
      <c r="S25" s="666"/>
      <c r="T25" s="666"/>
      <c r="U25" s="666"/>
      <c r="V25" s="666"/>
      <c r="W25" s="666"/>
      <c r="X25" s="666"/>
      <c r="Y25" s="667"/>
      <c r="Z25" s="667"/>
    </row>
    <row r="26" spans="1:26" ht="15.75" customHeight="1" thickBot="1">
      <c r="A26" s="889"/>
      <c r="B26" s="700" t="s">
        <v>25</v>
      </c>
      <c r="C26" s="752"/>
      <c r="D26" s="752"/>
      <c r="E26" s="753"/>
      <c r="F26" s="702"/>
      <c r="G26" s="735">
        <f t="shared" ref="G26:H26" si="24">SUM(G23:G25)</f>
        <v>10658</v>
      </c>
      <c r="H26" s="734">
        <f t="shared" si="24"/>
        <v>4607</v>
      </c>
      <c r="I26" s="747">
        <f t="shared" si="22"/>
        <v>0.43225745918558828</v>
      </c>
      <c r="J26" s="687"/>
      <c r="K26" s="724">
        <f t="shared" ref="K26:L26" si="25">SUM(K23:K25)</f>
        <v>10658</v>
      </c>
      <c r="L26" s="724">
        <f t="shared" si="25"/>
        <v>4607</v>
      </c>
      <c r="M26" s="737">
        <f t="shared" si="23"/>
        <v>0.43225745918558828</v>
      </c>
      <c r="N26" s="666"/>
      <c r="O26" s="666"/>
      <c r="P26" s="666"/>
      <c r="Q26" s="666"/>
      <c r="R26" s="666"/>
      <c r="S26" s="666"/>
      <c r="T26" s="666"/>
      <c r="U26" s="666"/>
      <c r="V26" s="666"/>
      <c r="W26" s="666"/>
      <c r="X26" s="666"/>
      <c r="Y26" s="667"/>
      <c r="Z26" s="667"/>
    </row>
    <row r="27" spans="1:26" ht="7.5" customHeight="1" thickBot="1">
      <c r="A27" s="894"/>
      <c r="B27" s="895"/>
      <c r="C27" s="895"/>
      <c r="D27" s="895"/>
      <c r="E27" s="895"/>
      <c r="F27" s="673"/>
      <c r="G27" s="901"/>
      <c r="H27" s="895"/>
      <c r="I27" s="895"/>
      <c r="J27" s="673"/>
      <c r="K27" s="708"/>
      <c r="L27" s="709"/>
      <c r="M27" s="710"/>
      <c r="N27" s="666"/>
      <c r="O27" s="666"/>
      <c r="P27" s="666"/>
      <c r="Q27" s="666"/>
      <c r="R27" s="666"/>
      <c r="S27" s="666"/>
      <c r="T27" s="666"/>
      <c r="U27" s="666"/>
      <c r="V27" s="666"/>
      <c r="W27" s="666"/>
      <c r="X27" s="666"/>
      <c r="Y27" s="667"/>
      <c r="Z27" s="667"/>
    </row>
    <row r="28" spans="1:26" ht="15.75" customHeight="1">
      <c r="A28" s="898" t="s">
        <v>159</v>
      </c>
      <c r="B28" s="684" t="s">
        <v>21</v>
      </c>
      <c r="C28" s="754"/>
      <c r="D28" s="754"/>
      <c r="E28" s="755"/>
      <c r="F28" s="756"/>
      <c r="G28" s="731">
        <f t="shared" ref="G28:H31" si="26">K28-C28</f>
        <v>606864</v>
      </c>
      <c r="H28" s="731">
        <f t="shared" si="26"/>
        <v>567328</v>
      </c>
      <c r="I28" s="695">
        <f>H28/G28</f>
        <v>0.93485196024150385</v>
      </c>
      <c r="J28" s="687"/>
      <c r="K28" s="738">
        <f>21193+585671</f>
        <v>606864</v>
      </c>
      <c r="L28" s="738">
        <v>567328</v>
      </c>
      <c r="M28" s="732">
        <f>L28/K28</f>
        <v>0.93485196024150385</v>
      </c>
      <c r="N28" s="666"/>
      <c r="O28" s="666"/>
      <c r="P28" s="666"/>
      <c r="Q28" s="666"/>
      <c r="R28" s="666"/>
      <c r="S28" s="666"/>
      <c r="T28" s="666"/>
      <c r="U28" s="666"/>
      <c r="V28" s="666"/>
      <c r="W28" s="666"/>
      <c r="X28" s="666"/>
      <c r="Y28" s="667"/>
      <c r="Z28" s="667"/>
    </row>
    <row r="29" spans="1:26" ht="15.75" customHeight="1">
      <c r="A29" s="899"/>
      <c r="B29" s="693" t="s">
        <v>28</v>
      </c>
      <c r="C29" s="757"/>
      <c r="D29" s="757"/>
      <c r="E29" s="758"/>
      <c r="F29" s="756"/>
      <c r="G29" s="731">
        <f t="shared" si="26"/>
        <v>0</v>
      </c>
      <c r="H29" s="731">
        <f t="shared" si="26"/>
        <v>372</v>
      </c>
      <c r="I29" s="695">
        <v>0</v>
      </c>
      <c r="J29" s="687"/>
      <c r="K29" s="741">
        <v>0</v>
      </c>
      <c r="L29" s="741">
        <v>372</v>
      </c>
      <c r="M29" s="742">
        <v>0</v>
      </c>
      <c r="N29" s="666"/>
      <c r="O29" s="666"/>
      <c r="P29" s="666"/>
      <c r="Q29" s="666"/>
      <c r="R29" s="666"/>
      <c r="S29" s="666"/>
      <c r="T29" s="666"/>
      <c r="U29" s="666"/>
      <c r="V29" s="666"/>
      <c r="W29" s="666"/>
      <c r="X29" s="666"/>
      <c r="Y29" s="667"/>
      <c r="Z29" s="667"/>
    </row>
    <row r="30" spans="1:26" ht="15.75" customHeight="1">
      <c r="A30" s="899"/>
      <c r="B30" s="693" t="s">
        <v>31</v>
      </c>
      <c r="C30" s="757"/>
      <c r="D30" s="757"/>
      <c r="E30" s="758"/>
      <c r="F30" s="756"/>
      <c r="G30" s="731">
        <f t="shared" si="26"/>
        <v>162</v>
      </c>
      <c r="H30" s="731">
        <f t="shared" si="26"/>
        <v>158</v>
      </c>
      <c r="I30" s="695">
        <f t="shared" ref="I30:I32" si="27">H30/G30</f>
        <v>0.97530864197530864</v>
      </c>
      <c r="J30" s="687"/>
      <c r="K30" s="741">
        <v>162</v>
      </c>
      <c r="L30" s="741">
        <v>158</v>
      </c>
      <c r="M30" s="742">
        <f t="shared" ref="M30:M32" si="28">L30/K30</f>
        <v>0.97530864197530864</v>
      </c>
      <c r="N30" s="666"/>
      <c r="O30" s="666"/>
      <c r="P30" s="666"/>
      <c r="Q30" s="666"/>
      <c r="R30" s="666"/>
      <c r="S30" s="666"/>
      <c r="T30" s="666"/>
      <c r="U30" s="666"/>
      <c r="V30" s="666"/>
      <c r="W30" s="666"/>
      <c r="X30" s="666"/>
      <c r="Y30" s="667"/>
      <c r="Z30" s="667"/>
    </row>
    <row r="31" spans="1:26" ht="15.75" customHeight="1">
      <c r="A31" s="899"/>
      <c r="B31" s="743" t="s">
        <v>32</v>
      </c>
      <c r="C31" s="759"/>
      <c r="D31" s="757"/>
      <c r="E31" s="758"/>
      <c r="F31" s="756"/>
      <c r="G31" s="731">
        <f t="shared" si="26"/>
        <v>375422</v>
      </c>
      <c r="H31" s="731">
        <f t="shared" si="26"/>
        <v>955481</v>
      </c>
      <c r="I31" s="695">
        <f t="shared" si="27"/>
        <v>2.545085264049523</v>
      </c>
      <c r="J31" s="687"/>
      <c r="K31" s="746">
        <f>83975+291447</f>
        <v>375422</v>
      </c>
      <c r="L31" s="741">
        <v>955481</v>
      </c>
      <c r="M31" s="742">
        <f t="shared" si="28"/>
        <v>2.545085264049523</v>
      </c>
      <c r="N31" s="666"/>
      <c r="O31" s="666"/>
      <c r="P31" s="666"/>
      <c r="Q31" s="666"/>
      <c r="R31" s="666"/>
      <c r="S31" s="666"/>
      <c r="T31" s="666"/>
      <c r="U31" s="666"/>
      <c r="V31" s="666"/>
      <c r="W31" s="666"/>
      <c r="X31" s="666"/>
      <c r="Y31" s="667"/>
      <c r="Z31" s="667"/>
    </row>
    <row r="32" spans="1:26" ht="15.75" customHeight="1" thickBot="1">
      <c r="A32" s="889"/>
      <c r="B32" s="700" t="s">
        <v>25</v>
      </c>
      <c r="C32" s="760"/>
      <c r="D32" s="760"/>
      <c r="E32" s="761"/>
      <c r="F32" s="762"/>
      <c r="G32" s="735">
        <f t="shared" ref="G32:H32" si="29">SUM(G28:G31)</f>
        <v>982448</v>
      </c>
      <c r="H32" s="734">
        <f t="shared" si="29"/>
        <v>1523339</v>
      </c>
      <c r="I32" s="747">
        <f t="shared" si="27"/>
        <v>1.5505543295930166</v>
      </c>
      <c r="J32" s="687"/>
      <c r="K32" s="724">
        <f t="shared" ref="K32:L32" si="30">SUM(K28:K31)</f>
        <v>982448</v>
      </c>
      <c r="L32" s="724">
        <f t="shared" si="30"/>
        <v>1523339</v>
      </c>
      <c r="M32" s="737">
        <f t="shared" si="28"/>
        <v>1.5505543295930166</v>
      </c>
      <c r="N32" s="666"/>
      <c r="O32" s="666"/>
      <c r="P32" s="666"/>
      <c r="Q32" s="666"/>
      <c r="R32" s="666"/>
      <c r="S32" s="666"/>
      <c r="T32" s="666"/>
      <c r="U32" s="666"/>
      <c r="V32" s="666"/>
      <c r="W32" s="666"/>
      <c r="X32" s="666"/>
      <c r="Y32" s="667"/>
      <c r="Z32" s="667"/>
    </row>
    <row r="33" spans="1:26" ht="7.5" customHeight="1" thickBot="1">
      <c r="A33" s="894"/>
      <c r="B33" s="895"/>
      <c r="C33" s="895"/>
      <c r="D33" s="895"/>
      <c r="E33" s="895"/>
      <c r="F33" s="673"/>
      <c r="G33" s="901"/>
      <c r="H33" s="895"/>
      <c r="I33" s="895"/>
      <c r="J33" s="673"/>
      <c r="K33" s="708"/>
      <c r="L33" s="709"/>
      <c r="M33" s="710"/>
      <c r="N33" s="666"/>
      <c r="O33" s="666"/>
      <c r="P33" s="666"/>
      <c r="Q33" s="666"/>
      <c r="R33" s="666"/>
      <c r="S33" s="666"/>
      <c r="T33" s="666"/>
      <c r="U33" s="666"/>
      <c r="V33" s="666"/>
      <c r="W33" s="666"/>
      <c r="X33" s="666"/>
      <c r="Y33" s="667"/>
      <c r="Z33" s="667"/>
    </row>
    <row r="34" spans="1:26" ht="18.75" customHeight="1">
      <c r="A34" s="898" t="s">
        <v>160</v>
      </c>
      <c r="B34" s="684" t="s">
        <v>21</v>
      </c>
      <c r="C34" s="729"/>
      <c r="D34" s="730"/>
      <c r="E34" s="686"/>
      <c r="F34" s="687"/>
      <c r="G34" s="731">
        <f t="shared" ref="G34:H34" si="31">K34-C34</f>
        <v>6197264</v>
      </c>
      <c r="H34" s="731">
        <f t="shared" si="31"/>
        <v>6053188</v>
      </c>
      <c r="I34" s="695">
        <f t="shared" ref="I34:I35" si="32">H34/G34</f>
        <v>0.97675167622357217</v>
      </c>
      <c r="J34" s="687"/>
      <c r="K34" s="738">
        <v>6197264</v>
      </c>
      <c r="L34" s="738">
        <v>6053188</v>
      </c>
      <c r="M34" s="732">
        <f t="shared" ref="M34:M35" si="33">L34/K34</f>
        <v>0.97675167622357217</v>
      </c>
      <c r="N34" s="666"/>
      <c r="O34" s="666"/>
      <c r="P34" s="666"/>
      <c r="Q34" s="666"/>
      <c r="R34" s="666"/>
      <c r="S34" s="666"/>
      <c r="T34" s="666"/>
      <c r="U34" s="666"/>
      <c r="V34" s="666"/>
      <c r="W34" s="666"/>
      <c r="X34" s="666"/>
      <c r="Y34" s="667"/>
      <c r="Z34" s="667"/>
    </row>
    <row r="35" spans="1:26" ht="27" customHeight="1" thickBot="1">
      <c r="A35" s="889"/>
      <c r="B35" s="700" t="s">
        <v>25</v>
      </c>
      <c r="C35" s="734"/>
      <c r="D35" s="719"/>
      <c r="E35" s="720"/>
      <c r="F35" s="702"/>
      <c r="G35" s="735">
        <f t="shared" ref="G35:H35" si="34">SUM(G34)</f>
        <v>6197264</v>
      </c>
      <c r="H35" s="734">
        <f t="shared" si="34"/>
        <v>6053188</v>
      </c>
      <c r="I35" s="747">
        <f t="shared" si="32"/>
        <v>0.97675167622357217</v>
      </c>
      <c r="J35" s="687"/>
      <c r="K35" s="724">
        <f t="shared" ref="K35:L35" si="35">SUM(K34)</f>
        <v>6197264</v>
      </c>
      <c r="L35" s="724">
        <f t="shared" si="35"/>
        <v>6053188</v>
      </c>
      <c r="M35" s="737">
        <f t="shared" si="33"/>
        <v>0.97675167622357217</v>
      </c>
      <c r="N35" s="666"/>
      <c r="O35" s="666"/>
      <c r="P35" s="666"/>
      <c r="Q35" s="666"/>
      <c r="R35" s="666"/>
      <c r="S35" s="666"/>
      <c r="T35" s="666"/>
      <c r="U35" s="666"/>
      <c r="V35" s="666"/>
      <c r="W35" s="666"/>
      <c r="X35" s="666"/>
      <c r="Y35" s="667"/>
      <c r="Z35" s="667"/>
    </row>
    <row r="36" spans="1:26" ht="7.5" customHeight="1" thickBot="1">
      <c r="A36" s="894"/>
      <c r="B36" s="895"/>
      <c r="C36" s="895"/>
      <c r="D36" s="895"/>
      <c r="E36" s="895"/>
      <c r="F36" s="673"/>
      <c r="G36" s="901"/>
      <c r="H36" s="895"/>
      <c r="I36" s="895"/>
      <c r="J36" s="673"/>
      <c r="K36" s="708"/>
      <c r="L36" s="709"/>
      <c r="M36" s="710"/>
      <c r="N36" s="666"/>
      <c r="O36" s="666"/>
      <c r="P36" s="666"/>
      <c r="Q36" s="666"/>
      <c r="R36" s="666"/>
      <c r="S36" s="666"/>
      <c r="T36" s="666"/>
      <c r="U36" s="666"/>
      <c r="V36" s="666"/>
      <c r="W36" s="666"/>
      <c r="X36" s="666"/>
      <c r="Y36" s="667"/>
      <c r="Z36" s="667"/>
    </row>
    <row r="37" spans="1:26" ht="15.75" customHeight="1">
      <c r="A37" s="898" t="s">
        <v>161</v>
      </c>
      <c r="B37" s="728" t="s">
        <v>40</v>
      </c>
      <c r="C37" s="763"/>
      <c r="D37" s="764"/>
      <c r="E37" s="750"/>
      <c r="F37" s="687"/>
      <c r="G37" s="731">
        <f t="shared" ref="G37:H38" si="36">K37-C37</f>
        <v>98449</v>
      </c>
      <c r="H37" s="731">
        <f t="shared" si="36"/>
        <v>23979</v>
      </c>
      <c r="I37" s="695">
        <f>H37/G37</f>
        <v>0.2435677355788276</v>
      </c>
      <c r="J37" s="687"/>
      <c r="K37" s="765">
        <v>98449</v>
      </c>
      <c r="L37" s="766">
        <v>23979</v>
      </c>
      <c r="M37" s="732">
        <f>L37/K37</f>
        <v>0.2435677355788276</v>
      </c>
      <c r="N37" s="666"/>
      <c r="O37" s="666"/>
      <c r="P37" s="666"/>
      <c r="Q37" s="666"/>
      <c r="R37" s="666"/>
      <c r="S37" s="666"/>
      <c r="T37" s="666"/>
      <c r="U37" s="666"/>
      <c r="V37" s="666"/>
      <c r="W37" s="666"/>
      <c r="X37" s="666"/>
      <c r="Y37" s="667"/>
      <c r="Z37" s="667"/>
    </row>
    <row r="38" spans="1:26" ht="15.75" customHeight="1">
      <c r="A38" s="899"/>
      <c r="B38" s="743" t="s">
        <v>32</v>
      </c>
      <c r="C38" s="767"/>
      <c r="D38" s="751"/>
      <c r="E38" s="723"/>
      <c r="F38" s="687"/>
      <c r="G38" s="731">
        <f t="shared" si="36"/>
        <v>0</v>
      </c>
      <c r="H38" s="731">
        <f t="shared" si="36"/>
        <v>4538</v>
      </c>
      <c r="I38" s="695">
        <v>0</v>
      </c>
      <c r="J38" s="687"/>
      <c r="K38" s="768">
        <v>0</v>
      </c>
      <c r="L38" s="741">
        <v>4538</v>
      </c>
      <c r="M38" s="742">
        <v>0</v>
      </c>
      <c r="N38" s="666"/>
      <c r="O38" s="666"/>
      <c r="P38" s="666"/>
      <c r="Q38" s="666"/>
      <c r="R38" s="666"/>
      <c r="S38" s="666"/>
      <c r="T38" s="666"/>
      <c r="U38" s="666"/>
      <c r="V38" s="666"/>
      <c r="W38" s="666"/>
      <c r="X38" s="666"/>
      <c r="Y38" s="667"/>
      <c r="Z38" s="667"/>
    </row>
    <row r="39" spans="1:26" ht="15.75" customHeight="1" thickBot="1">
      <c r="A39" s="889"/>
      <c r="B39" s="700" t="s">
        <v>25</v>
      </c>
      <c r="C39" s="722"/>
      <c r="D39" s="752"/>
      <c r="E39" s="753"/>
      <c r="F39" s="702"/>
      <c r="G39" s="769">
        <f t="shared" ref="G39:H39" si="37">SUM(G37:G38)</f>
        <v>98449</v>
      </c>
      <c r="H39" s="700">
        <f t="shared" si="37"/>
        <v>28517</v>
      </c>
      <c r="I39" s="747">
        <f>H39/G39</f>
        <v>0.2896626679803756</v>
      </c>
      <c r="J39" s="687"/>
      <c r="K39" s="770">
        <f t="shared" ref="K39:L39" si="38">SUM(K37:K38)</f>
        <v>98449</v>
      </c>
      <c r="L39" s="724">
        <f t="shared" si="38"/>
        <v>28517</v>
      </c>
      <c r="M39" s="737">
        <f>L39/K39</f>
        <v>0.2896626679803756</v>
      </c>
      <c r="N39" s="666"/>
      <c r="O39" s="666"/>
      <c r="P39" s="666"/>
      <c r="Q39" s="666"/>
      <c r="R39" s="666"/>
      <c r="S39" s="666"/>
      <c r="T39" s="666"/>
      <c r="U39" s="666"/>
      <c r="V39" s="666"/>
      <c r="W39" s="666"/>
      <c r="X39" s="666"/>
      <c r="Y39" s="667"/>
      <c r="Z39" s="667"/>
    </row>
    <row r="40" spans="1:26" ht="6" customHeight="1" thickBot="1">
      <c r="A40" s="894"/>
      <c r="B40" s="895"/>
      <c r="C40" s="895"/>
      <c r="D40" s="895"/>
      <c r="E40" s="895"/>
      <c r="F40" s="673"/>
      <c r="G40" s="901"/>
      <c r="H40" s="895"/>
      <c r="I40" s="895"/>
      <c r="J40" s="673"/>
      <c r="K40" s="708"/>
      <c r="L40" s="709"/>
      <c r="M40" s="710"/>
      <c r="N40" s="666"/>
      <c r="O40" s="666"/>
      <c r="P40" s="666"/>
      <c r="Q40" s="666"/>
      <c r="R40" s="666"/>
      <c r="S40" s="666"/>
      <c r="T40" s="666"/>
      <c r="U40" s="666"/>
      <c r="V40" s="666"/>
      <c r="W40" s="666"/>
      <c r="X40" s="666"/>
      <c r="Y40" s="667"/>
      <c r="Z40" s="667"/>
    </row>
    <row r="41" spans="1:26" ht="14.25" customHeight="1">
      <c r="A41" s="898" t="s">
        <v>162</v>
      </c>
      <c r="B41" s="684" t="s">
        <v>40</v>
      </c>
      <c r="C41" s="729">
        <v>807903</v>
      </c>
      <c r="D41" s="730">
        <v>631083</v>
      </c>
      <c r="E41" s="686">
        <f t="shared" ref="E41:E43" si="39">D41/C41</f>
        <v>0.78113709195287062</v>
      </c>
      <c r="F41" s="687"/>
      <c r="G41" s="731">
        <f t="shared" ref="G41:H42" si="40">K41-C41</f>
        <v>1192097</v>
      </c>
      <c r="H41" s="731">
        <f t="shared" si="40"/>
        <v>656373</v>
      </c>
      <c r="I41" s="695">
        <f t="shared" ref="I41:I43" si="41">H41/G41</f>
        <v>0.55060368409617677</v>
      </c>
      <c r="J41" s="687"/>
      <c r="K41" s="738">
        <v>2000000</v>
      </c>
      <c r="L41" s="738">
        <v>1287456</v>
      </c>
      <c r="M41" s="732">
        <f t="shared" ref="M41:M43" si="42">L41/K41</f>
        <v>0.64372799999999997</v>
      </c>
      <c r="N41" s="666"/>
      <c r="O41" s="666"/>
      <c r="P41" s="666"/>
      <c r="Q41" s="666"/>
      <c r="R41" s="666"/>
      <c r="S41" s="666"/>
      <c r="T41" s="666"/>
      <c r="U41" s="666"/>
      <c r="V41" s="666"/>
      <c r="W41" s="666"/>
      <c r="X41" s="666"/>
      <c r="Y41" s="667"/>
      <c r="Z41" s="667"/>
    </row>
    <row r="42" spans="1:26" ht="15.75" customHeight="1">
      <c r="A42" s="899"/>
      <c r="B42" s="743" t="s">
        <v>32</v>
      </c>
      <c r="C42" s="744">
        <v>100000</v>
      </c>
      <c r="D42" s="740">
        <v>41157</v>
      </c>
      <c r="E42" s="695">
        <f t="shared" si="39"/>
        <v>0.41156999999999999</v>
      </c>
      <c r="F42" s="687"/>
      <c r="G42" s="731">
        <f t="shared" si="40"/>
        <v>706735</v>
      </c>
      <c r="H42" s="731">
        <f t="shared" si="40"/>
        <v>653428</v>
      </c>
      <c r="I42" s="695">
        <f t="shared" si="41"/>
        <v>0.92457285969988756</v>
      </c>
      <c r="J42" s="687"/>
      <c r="K42" s="746">
        <v>806735</v>
      </c>
      <c r="L42" s="741">
        <v>694585</v>
      </c>
      <c r="M42" s="742">
        <f t="shared" si="42"/>
        <v>0.86098285062628988</v>
      </c>
      <c r="N42" s="666"/>
      <c r="O42" s="666"/>
      <c r="P42" s="666"/>
      <c r="Q42" s="666"/>
      <c r="R42" s="666"/>
      <c r="S42" s="666"/>
      <c r="T42" s="666"/>
      <c r="U42" s="666"/>
      <c r="V42" s="666"/>
      <c r="W42" s="666"/>
      <c r="X42" s="666"/>
      <c r="Y42" s="667"/>
      <c r="Z42" s="667"/>
    </row>
    <row r="43" spans="1:26" ht="15.75" customHeight="1" thickBot="1">
      <c r="A43" s="889"/>
      <c r="B43" s="700" t="s">
        <v>25</v>
      </c>
      <c r="C43" s="734">
        <f t="shared" ref="C43:D43" si="43">SUM(C41:C42)</f>
        <v>907903</v>
      </c>
      <c r="D43" s="734">
        <f t="shared" si="43"/>
        <v>672240</v>
      </c>
      <c r="E43" s="720">
        <f t="shared" si="39"/>
        <v>0.74043152186962702</v>
      </c>
      <c r="F43" s="702"/>
      <c r="G43" s="735">
        <f t="shared" ref="G43:H43" si="44">SUM(G41:G42)</f>
        <v>1898832</v>
      </c>
      <c r="H43" s="734">
        <f t="shared" si="44"/>
        <v>1309801</v>
      </c>
      <c r="I43" s="747">
        <f t="shared" si="41"/>
        <v>0.68979298853189752</v>
      </c>
      <c r="J43" s="687"/>
      <c r="K43" s="724">
        <f t="shared" ref="K43:L43" si="45">SUM(K41:K42)</f>
        <v>2806735</v>
      </c>
      <c r="L43" s="724">
        <f t="shared" si="45"/>
        <v>1982041</v>
      </c>
      <c r="M43" s="737">
        <f t="shared" si="42"/>
        <v>0.70617318699485343</v>
      </c>
      <c r="N43" s="666"/>
      <c r="O43" s="666"/>
      <c r="P43" s="666"/>
      <c r="Q43" s="666"/>
      <c r="R43" s="666"/>
      <c r="S43" s="666"/>
      <c r="T43" s="666"/>
      <c r="U43" s="666"/>
      <c r="V43" s="666"/>
      <c r="W43" s="666"/>
      <c r="X43" s="666"/>
      <c r="Y43" s="667"/>
      <c r="Z43" s="667"/>
    </row>
    <row r="44" spans="1:26" ht="6.75" customHeight="1" thickBot="1">
      <c r="A44" s="894"/>
      <c r="B44" s="895"/>
      <c r="C44" s="895"/>
      <c r="D44" s="895"/>
      <c r="E44" s="895"/>
      <c r="F44" s="673"/>
      <c r="G44" s="901"/>
      <c r="H44" s="895"/>
      <c r="I44" s="895"/>
      <c r="J44" s="673"/>
      <c r="K44" s="708"/>
      <c r="L44" s="709"/>
      <c r="M44" s="710"/>
      <c r="N44" s="666"/>
      <c r="O44" s="666"/>
      <c r="P44" s="666"/>
      <c r="Q44" s="666"/>
      <c r="R44" s="666"/>
      <c r="S44" s="666"/>
      <c r="T44" s="666"/>
      <c r="U44" s="666"/>
      <c r="V44" s="666"/>
      <c r="W44" s="666"/>
      <c r="X44" s="666"/>
      <c r="Y44" s="667"/>
      <c r="Z44" s="667"/>
    </row>
    <row r="45" spans="1:26" ht="15.75" customHeight="1">
      <c r="A45" s="898" t="s">
        <v>163</v>
      </c>
      <c r="B45" s="771" t="s">
        <v>32</v>
      </c>
      <c r="C45" s="772"/>
      <c r="D45" s="730"/>
      <c r="E45" s="686"/>
      <c r="F45" s="687"/>
      <c r="G45" s="731">
        <f t="shared" ref="G45:H45" si="46">K45-C45</f>
        <v>8298800</v>
      </c>
      <c r="H45" s="731">
        <f t="shared" si="46"/>
        <v>7060202</v>
      </c>
      <c r="I45" s="695">
        <f t="shared" ref="I45:I46" si="47">H45/G45</f>
        <v>0.85074974695136651</v>
      </c>
      <c r="J45" s="687"/>
      <c r="K45" s="773">
        <v>8298800</v>
      </c>
      <c r="L45" s="738">
        <v>7060202</v>
      </c>
      <c r="M45" s="732">
        <f t="shared" ref="M45:M46" si="48">L45/K45</f>
        <v>0.85074974695136651</v>
      </c>
      <c r="N45" s="666"/>
      <c r="O45" s="666"/>
      <c r="P45" s="666"/>
      <c r="Q45" s="666"/>
      <c r="R45" s="666"/>
      <c r="S45" s="666"/>
      <c r="T45" s="666"/>
      <c r="U45" s="666"/>
      <c r="V45" s="666"/>
      <c r="W45" s="666"/>
      <c r="X45" s="666"/>
      <c r="Y45" s="667"/>
      <c r="Z45" s="667"/>
    </row>
    <row r="46" spans="1:26" ht="15.75" customHeight="1" thickBot="1">
      <c r="A46" s="889"/>
      <c r="B46" s="700" t="s">
        <v>25</v>
      </c>
      <c r="C46" s="734"/>
      <c r="D46" s="719"/>
      <c r="E46" s="720"/>
      <c r="F46" s="702"/>
      <c r="G46" s="735">
        <f t="shared" ref="G46:H46" si="49">SUM(G45)</f>
        <v>8298800</v>
      </c>
      <c r="H46" s="734">
        <f t="shared" si="49"/>
        <v>7060202</v>
      </c>
      <c r="I46" s="747">
        <f t="shared" si="47"/>
        <v>0.85074974695136651</v>
      </c>
      <c r="J46" s="687"/>
      <c r="K46" s="724">
        <f t="shared" ref="K46:L46" si="50">SUM(K45)</f>
        <v>8298800</v>
      </c>
      <c r="L46" s="724">
        <f t="shared" si="50"/>
        <v>7060202</v>
      </c>
      <c r="M46" s="737">
        <f t="shared" si="48"/>
        <v>0.85074974695136651</v>
      </c>
      <c r="N46" s="666"/>
      <c r="O46" s="666"/>
      <c r="P46" s="666"/>
      <c r="Q46" s="666"/>
      <c r="R46" s="666"/>
      <c r="S46" s="666"/>
      <c r="T46" s="666"/>
      <c r="U46" s="666"/>
      <c r="V46" s="666"/>
      <c r="W46" s="666"/>
      <c r="X46" s="666"/>
      <c r="Y46" s="667"/>
      <c r="Z46" s="667"/>
    </row>
    <row r="47" spans="1:26" ht="6.75" customHeight="1" thickBot="1">
      <c r="A47" s="894"/>
      <c r="B47" s="895"/>
      <c r="C47" s="895"/>
      <c r="D47" s="895"/>
      <c r="E47" s="895"/>
      <c r="F47" s="673"/>
      <c r="G47" s="901"/>
      <c r="H47" s="895"/>
      <c r="I47" s="895"/>
      <c r="J47" s="673"/>
      <c r="K47" s="708"/>
      <c r="L47" s="709"/>
      <c r="M47" s="710"/>
      <c r="N47" s="666"/>
      <c r="O47" s="666"/>
      <c r="P47" s="666"/>
      <c r="Q47" s="666"/>
      <c r="R47" s="666"/>
      <c r="S47" s="666"/>
      <c r="T47" s="666"/>
      <c r="U47" s="666"/>
      <c r="V47" s="666"/>
      <c r="W47" s="666"/>
      <c r="X47" s="666"/>
      <c r="Y47" s="667"/>
      <c r="Z47" s="667"/>
    </row>
    <row r="48" spans="1:26" ht="15.75" customHeight="1">
      <c r="A48" s="898" t="s">
        <v>164</v>
      </c>
      <c r="B48" s="684" t="s">
        <v>21</v>
      </c>
      <c r="C48" s="754"/>
      <c r="D48" s="754"/>
      <c r="E48" s="774"/>
      <c r="F48" s="687"/>
      <c r="G48" s="731">
        <f t="shared" ref="G48:H50" si="51">K48-C48</f>
        <v>4500</v>
      </c>
      <c r="H48" s="731">
        <f t="shared" si="51"/>
        <v>0</v>
      </c>
      <c r="I48" s="695">
        <f>H48/G48</f>
        <v>0</v>
      </c>
      <c r="J48" s="687"/>
      <c r="K48" s="738">
        <v>4500</v>
      </c>
      <c r="L48" s="738">
        <v>0</v>
      </c>
      <c r="M48" s="742">
        <f t="shared" ref="M48:M51" si="52">L48/K48</f>
        <v>0</v>
      </c>
      <c r="N48" s="666"/>
      <c r="O48" s="666"/>
      <c r="P48" s="666"/>
      <c r="Q48" s="666"/>
      <c r="R48" s="666"/>
      <c r="S48" s="666"/>
      <c r="T48" s="666"/>
      <c r="U48" s="666"/>
      <c r="V48" s="666"/>
      <c r="W48" s="666"/>
      <c r="X48" s="666"/>
      <c r="Y48" s="667"/>
      <c r="Z48" s="667"/>
    </row>
    <row r="49" spans="1:26" ht="15.75" customHeight="1">
      <c r="A49" s="899"/>
      <c r="B49" s="693" t="s">
        <v>28</v>
      </c>
      <c r="C49" s="757"/>
      <c r="D49" s="757"/>
      <c r="E49" s="775"/>
      <c r="F49" s="687"/>
      <c r="G49" s="731">
        <f t="shared" si="51"/>
        <v>5963</v>
      </c>
      <c r="H49" s="731">
        <f t="shared" si="51"/>
        <v>517</v>
      </c>
      <c r="I49" s="695">
        <v>0</v>
      </c>
      <c r="J49" s="687"/>
      <c r="K49" s="741">
        <v>5963</v>
      </c>
      <c r="L49" s="741">
        <f>422+95</f>
        <v>517</v>
      </c>
      <c r="M49" s="742">
        <f t="shared" si="52"/>
        <v>8.6701324836491706E-2</v>
      </c>
      <c r="N49" s="666"/>
      <c r="O49" s="666"/>
      <c r="P49" s="666"/>
      <c r="Q49" s="666"/>
      <c r="R49" s="666"/>
      <c r="S49" s="666"/>
      <c r="T49" s="666"/>
      <c r="U49" s="666"/>
      <c r="V49" s="666"/>
      <c r="W49" s="666"/>
      <c r="X49" s="666"/>
      <c r="Y49" s="667"/>
      <c r="Z49" s="667"/>
    </row>
    <row r="50" spans="1:26" ht="15.75" customHeight="1">
      <c r="A50" s="899"/>
      <c r="B50" s="743" t="s">
        <v>32</v>
      </c>
      <c r="C50" s="759">
        <v>0</v>
      </c>
      <c r="D50" s="757">
        <v>0</v>
      </c>
      <c r="E50" s="775">
        <v>0</v>
      </c>
      <c r="F50" s="687"/>
      <c r="G50" s="731">
        <f t="shared" si="51"/>
        <v>445500</v>
      </c>
      <c r="H50" s="731">
        <f t="shared" si="51"/>
        <v>116535</v>
      </c>
      <c r="I50" s="695">
        <f t="shared" ref="I50:I51" si="53">H50/G50</f>
        <v>0.26158249158249158</v>
      </c>
      <c r="J50" s="687"/>
      <c r="K50" s="746">
        <v>445500</v>
      </c>
      <c r="L50" s="741">
        <v>116535</v>
      </c>
      <c r="M50" s="742">
        <f t="shared" si="52"/>
        <v>0.26158249158249158</v>
      </c>
      <c r="N50" s="666"/>
      <c r="O50" s="666"/>
      <c r="P50" s="666"/>
      <c r="Q50" s="666"/>
      <c r="R50" s="666"/>
      <c r="S50" s="666"/>
      <c r="T50" s="666"/>
      <c r="U50" s="666"/>
      <c r="V50" s="666"/>
      <c r="W50" s="666"/>
      <c r="X50" s="666"/>
      <c r="Y50" s="667"/>
      <c r="Z50" s="667"/>
    </row>
    <row r="51" spans="1:26" ht="15.75" customHeight="1" thickBot="1">
      <c r="A51" s="889"/>
      <c r="B51" s="700" t="s">
        <v>25</v>
      </c>
      <c r="C51" s="760">
        <f t="shared" ref="C51:D51" si="54">SUM(C48:C50)</f>
        <v>0</v>
      </c>
      <c r="D51" s="760">
        <f t="shared" si="54"/>
        <v>0</v>
      </c>
      <c r="E51" s="776">
        <v>0</v>
      </c>
      <c r="F51" s="702"/>
      <c r="G51" s="735">
        <f t="shared" ref="G51:H51" si="55">SUM(G48:G50)</f>
        <v>455963</v>
      </c>
      <c r="H51" s="734">
        <f t="shared" si="55"/>
        <v>117052</v>
      </c>
      <c r="I51" s="747">
        <f t="shared" si="53"/>
        <v>0.25671381230494578</v>
      </c>
      <c r="J51" s="687"/>
      <c r="K51" s="724">
        <f t="shared" ref="K51:L51" si="56">SUM(K48:K50)</f>
        <v>455963</v>
      </c>
      <c r="L51" s="724">
        <f t="shared" si="56"/>
        <v>117052</v>
      </c>
      <c r="M51" s="737">
        <f t="shared" si="52"/>
        <v>0.25671381230494578</v>
      </c>
      <c r="N51" s="666"/>
      <c r="O51" s="666"/>
      <c r="P51" s="666"/>
      <c r="Q51" s="666"/>
      <c r="R51" s="666"/>
      <c r="S51" s="666"/>
      <c r="T51" s="666"/>
      <c r="U51" s="666"/>
      <c r="V51" s="666"/>
      <c r="W51" s="666"/>
      <c r="X51" s="666"/>
      <c r="Y51" s="667"/>
      <c r="Z51" s="667"/>
    </row>
    <row r="52" spans="1:26" ht="6.75" customHeight="1" thickBot="1">
      <c r="A52" s="894"/>
      <c r="B52" s="895"/>
      <c r="C52" s="895"/>
      <c r="D52" s="895"/>
      <c r="E52" s="895"/>
      <c r="F52" s="673"/>
      <c r="G52" s="901"/>
      <c r="H52" s="895"/>
      <c r="I52" s="895"/>
      <c r="J52" s="673"/>
      <c r="K52" s="708"/>
      <c r="L52" s="709"/>
      <c r="M52" s="710"/>
      <c r="N52" s="666"/>
      <c r="O52" s="666"/>
      <c r="P52" s="666"/>
      <c r="Q52" s="666"/>
      <c r="R52" s="666"/>
      <c r="S52" s="666"/>
      <c r="T52" s="666"/>
      <c r="U52" s="666"/>
      <c r="V52" s="666"/>
      <c r="W52" s="666"/>
      <c r="X52" s="666"/>
      <c r="Y52" s="667"/>
      <c r="Z52" s="667"/>
    </row>
    <row r="53" spans="1:26" ht="15.75" customHeight="1">
      <c r="A53" s="898" t="s">
        <v>165</v>
      </c>
      <c r="B53" s="684" t="s">
        <v>21</v>
      </c>
      <c r="C53" s="729">
        <f>324102</f>
        <v>324102</v>
      </c>
      <c r="D53" s="777">
        <f>0+191973</f>
        <v>191973</v>
      </c>
      <c r="E53" s="778">
        <f t="shared" ref="E53:E55" si="57">D53/C53</f>
        <v>0.592322787270674</v>
      </c>
      <c r="F53" s="687"/>
      <c r="G53" s="731">
        <f t="shared" ref="G53:H54" si="58">K53-C53</f>
        <v>98382</v>
      </c>
      <c r="H53" s="731">
        <f t="shared" si="58"/>
        <v>34253</v>
      </c>
      <c r="I53" s="695">
        <f t="shared" ref="I53:I55" si="59">H53/G53</f>
        <v>0.3481632819011608</v>
      </c>
      <c r="J53" s="687"/>
      <c r="K53" s="738">
        <v>422484</v>
      </c>
      <c r="L53" s="738">
        <v>226226</v>
      </c>
      <c r="M53" s="732">
        <f t="shared" ref="M53:M55" si="60">L53/K53</f>
        <v>0.5354664318648753</v>
      </c>
      <c r="N53" s="666"/>
      <c r="O53" s="666"/>
      <c r="P53" s="666"/>
      <c r="Q53" s="666"/>
      <c r="R53" s="666"/>
      <c r="S53" s="666"/>
      <c r="T53" s="666"/>
      <c r="U53" s="666"/>
      <c r="V53" s="666"/>
      <c r="W53" s="666"/>
      <c r="X53" s="666"/>
      <c r="Y53" s="667"/>
      <c r="Z53" s="667"/>
    </row>
    <row r="54" spans="1:26" ht="15.75" customHeight="1">
      <c r="A54" s="899"/>
      <c r="B54" s="743" t="s">
        <v>32</v>
      </c>
      <c r="C54" s="744">
        <f>34928+1155103</f>
        <v>1190031</v>
      </c>
      <c r="D54" s="779">
        <f>16168+125+877697</f>
        <v>893990</v>
      </c>
      <c r="E54" s="778">
        <f t="shared" si="57"/>
        <v>0.75123253091726183</v>
      </c>
      <c r="F54" s="687"/>
      <c r="G54" s="731">
        <f t="shared" si="58"/>
        <v>1572569</v>
      </c>
      <c r="H54" s="731">
        <f t="shared" si="58"/>
        <v>913266</v>
      </c>
      <c r="I54" s="695">
        <f t="shared" si="59"/>
        <v>0.58074780820428229</v>
      </c>
      <c r="J54" s="687"/>
      <c r="K54" s="746">
        <v>2762600</v>
      </c>
      <c r="L54" s="741">
        <f>1807101+155</f>
        <v>1807256</v>
      </c>
      <c r="M54" s="742">
        <f t="shared" si="60"/>
        <v>0.65418663577789038</v>
      </c>
      <c r="N54" s="666"/>
      <c r="O54" s="666"/>
      <c r="P54" s="666"/>
      <c r="Q54" s="666"/>
      <c r="R54" s="666"/>
      <c r="S54" s="666"/>
      <c r="T54" s="666"/>
      <c r="U54" s="666"/>
      <c r="V54" s="666"/>
      <c r="W54" s="666"/>
      <c r="X54" s="666"/>
      <c r="Y54" s="667"/>
      <c r="Z54" s="667"/>
    </row>
    <row r="55" spans="1:26" ht="15.75" customHeight="1" thickBot="1">
      <c r="A55" s="889"/>
      <c r="B55" s="700" t="s">
        <v>25</v>
      </c>
      <c r="C55" s="734">
        <f t="shared" ref="C55:D55" si="61">SUM(C53:C54)</f>
        <v>1514133</v>
      </c>
      <c r="D55" s="700">
        <f t="shared" si="61"/>
        <v>1085963</v>
      </c>
      <c r="E55" s="780">
        <f t="shared" si="57"/>
        <v>0.71721770808773078</v>
      </c>
      <c r="F55" s="702"/>
      <c r="G55" s="735">
        <f t="shared" ref="G55:H55" si="62">SUM(G53:G54)</f>
        <v>1670951</v>
      </c>
      <c r="H55" s="734">
        <f t="shared" si="62"/>
        <v>947519</v>
      </c>
      <c r="I55" s="747">
        <f t="shared" si="59"/>
        <v>0.56705373167735018</v>
      </c>
      <c r="J55" s="687"/>
      <c r="K55" s="724">
        <f t="shared" ref="K55:L55" si="63">SUM(K53:K54)</f>
        <v>3185084</v>
      </c>
      <c r="L55" s="724">
        <f t="shared" si="63"/>
        <v>2033482</v>
      </c>
      <c r="M55" s="737">
        <f t="shared" si="60"/>
        <v>0.63843904901723159</v>
      </c>
      <c r="N55" s="666"/>
      <c r="O55" s="666"/>
      <c r="P55" s="666"/>
      <c r="Q55" s="666"/>
      <c r="R55" s="666"/>
      <c r="S55" s="666"/>
      <c r="T55" s="666"/>
      <c r="U55" s="666"/>
      <c r="V55" s="666"/>
      <c r="W55" s="666"/>
      <c r="X55" s="666"/>
      <c r="Y55" s="667"/>
      <c r="Z55" s="667"/>
    </row>
    <row r="56" spans="1:26" ht="6.75" customHeight="1" thickBot="1">
      <c r="A56" s="894"/>
      <c r="B56" s="895"/>
      <c r="C56" s="895"/>
      <c r="D56" s="895"/>
      <c r="E56" s="895"/>
      <c r="F56" s="673"/>
      <c r="G56" s="901"/>
      <c r="H56" s="895"/>
      <c r="I56" s="895"/>
      <c r="J56" s="673"/>
      <c r="K56" s="708"/>
      <c r="L56" s="709"/>
      <c r="M56" s="710"/>
      <c r="N56" s="666"/>
      <c r="O56" s="666"/>
      <c r="P56" s="666"/>
      <c r="Q56" s="666"/>
      <c r="R56" s="666"/>
      <c r="S56" s="666"/>
      <c r="T56" s="666"/>
      <c r="U56" s="666"/>
      <c r="V56" s="666"/>
      <c r="W56" s="666"/>
      <c r="X56" s="666"/>
      <c r="Y56" s="667"/>
      <c r="Z56" s="667"/>
    </row>
    <row r="57" spans="1:26" ht="15.75" customHeight="1">
      <c r="A57" s="898" t="s">
        <v>166</v>
      </c>
      <c r="B57" s="684" t="s">
        <v>21</v>
      </c>
      <c r="C57" s="729">
        <v>386000</v>
      </c>
      <c r="D57" s="730">
        <v>109992</v>
      </c>
      <c r="E57" s="686">
        <f>D57/C57</f>
        <v>0.28495336787564768</v>
      </c>
      <c r="F57" s="687"/>
      <c r="G57" s="731">
        <f t="shared" ref="G57:H60" si="64">K57-C57</f>
        <v>1825</v>
      </c>
      <c r="H57" s="731">
        <f t="shared" si="64"/>
        <v>12276</v>
      </c>
      <c r="I57" s="695">
        <f t="shared" ref="I57:I61" si="65">H57/G57</f>
        <v>6.7265753424657531</v>
      </c>
      <c r="J57" s="687"/>
      <c r="K57" s="738">
        <v>387825</v>
      </c>
      <c r="L57" s="738">
        <v>122268</v>
      </c>
      <c r="M57" s="732">
        <f t="shared" ref="M57:M61" si="66">L57/K57</f>
        <v>0.31526590601431059</v>
      </c>
      <c r="N57" s="666"/>
      <c r="O57" s="666"/>
      <c r="P57" s="666"/>
      <c r="Q57" s="666"/>
      <c r="R57" s="666"/>
      <c r="S57" s="666"/>
      <c r="T57" s="666"/>
      <c r="U57" s="666"/>
      <c r="V57" s="666"/>
      <c r="W57" s="666"/>
      <c r="X57" s="666"/>
      <c r="Y57" s="667"/>
      <c r="Z57" s="667"/>
    </row>
    <row r="58" spans="1:26" ht="15.75" customHeight="1">
      <c r="A58" s="899"/>
      <c r="B58" s="693" t="s">
        <v>28</v>
      </c>
      <c r="C58" s="739">
        <v>0</v>
      </c>
      <c r="D58" s="740">
        <v>0</v>
      </c>
      <c r="E58" s="695">
        <v>0</v>
      </c>
      <c r="F58" s="687"/>
      <c r="G58" s="731">
        <f t="shared" si="64"/>
        <v>6000</v>
      </c>
      <c r="H58" s="731">
        <f t="shared" si="64"/>
        <v>2841</v>
      </c>
      <c r="I58" s="695">
        <f t="shared" si="65"/>
        <v>0.47349999999999998</v>
      </c>
      <c r="J58" s="687"/>
      <c r="K58" s="741">
        <v>6000</v>
      </c>
      <c r="L58" s="741">
        <v>2841</v>
      </c>
      <c r="M58" s="742">
        <f t="shared" si="66"/>
        <v>0.47349999999999998</v>
      </c>
      <c r="N58" s="666"/>
      <c r="O58" s="666"/>
      <c r="P58" s="666"/>
      <c r="Q58" s="666"/>
      <c r="R58" s="666"/>
      <c r="S58" s="666"/>
      <c r="T58" s="666"/>
      <c r="U58" s="666"/>
      <c r="V58" s="666"/>
      <c r="W58" s="666"/>
      <c r="X58" s="666"/>
      <c r="Y58" s="667"/>
      <c r="Z58" s="667"/>
    </row>
    <row r="59" spans="1:26" ht="15.75" customHeight="1">
      <c r="A59" s="899"/>
      <c r="B59" s="693" t="s">
        <v>31</v>
      </c>
      <c r="C59" s="739">
        <v>80600</v>
      </c>
      <c r="D59" s="740">
        <v>72911</v>
      </c>
      <c r="E59" s="695">
        <f t="shared" ref="E59:E61" si="67">D59/C59</f>
        <v>0.90460297766749376</v>
      </c>
      <c r="F59" s="687"/>
      <c r="G59" s="731">
        <f t="shared" si="64"/>
        <v>11400</v>
      </c>
      <c r="H59" s="731">
        <f t="shared" si="64"/>
        <v>9472</v>
      </c>
      <c r="I59" s="695">
        <f t="shared" si="65"/>
        <v>0.8308771929824561</v>
      </c>
      <c r="J59" s="687"/>
      <c r="K59" s="741">
        <v>92000</v>
      </c>
      <c r="L59" s="741">
        <v>82383</v>
      </c>
      <c r="M59" s="742">
        <f t="shared" si="66"/>
        <v>0.89546739130434783</v>
      </c>
      <c r="N59" s="666"/>
      <c r="O59" s="666"/>
      <c r="P59" s="666"/>
      <c r="Q59" s="666"/>
      <c r="R59" s="666"/>
      <c r="S59" s="666"/>
      <c r="T59" s="666"/>
      <c r="U59" s="666"/>
      <c r="V59" s="666"/>
      <c r="W59" s="666"/>
      <c r="X59" s="666"/>
      <c r="Y59" s="667"/>
      <c r="Z59" s="667"/>
    </row>
    <row r="60" spans="1:26" ht="15.75" customHeight="1">
      <c r="A60" s="899"/>
      <c r="B60" s="743" t="s">
        <v>32</v>
      </c>
      <c r="C60" s="744">
        <v>104155</v>
      </c>
      <c r="D60" s="740">
        <v>107605</v>
      </c>
      <c r="E60" s="695">
        <f t="shared" si="67"/>
        <v>1.0331237098555037</v>
      </c>
      <c r="F60" s="687"/>
      <c r="G60" s="731">
        <f t="shared" si="64"/>
        <v>294297</v>
      </c>
      <c r="H60" s="731">
        <f t="shared" si="64"/>
        <v>178166</v>
      </c>
      <c r="I60" s="695">
        <f t="shared" si="65"/>
        <v>0.60539522998875284</v>
      </c>
      <c r="J60" s="687"/>
      <c r="K60" s="746">
        <v>398452</v>
      </c>
      <c r="L60" s="741">
        <v>285771</v>
      </c>
      <c r="M60" s="742">
        <f t="shared" si="66"/>
        <v>0.71720307590374754</v>
      </c>
      <c r="N60" s="666"/>
      <c r="O60" s="666"/>
      <c r="P60" s="666"/>
      <c r="Q60" s="666"/>
      <c r="R60" s="666"/>
      <c r="S60" s="666"/>
      <c r="T60" s="666"/>
      <c r="U60" s="666"/>
      <c r="V60" s="666"/>
      <c r="W60" s="666"/>
      <c r="X60" s="666"/>
      <c r="Y60" s="667"/>
      <c r="Z60" s="667"/>
    </row>
    <row r="61" spans="1:26" ht="15.75" customHeight="1" thickBot="1">
      <c r="A61" s="889"/>
      <c r="B61" s="700" t="s">
        <v>25</v>
      </c>
      <c r="C61" s="734">
        <f t="shared" ref="C61:D61" si="68">SUM(C57:C60)</f>
        <v>570755</v>
      </c>
      <c r="D61" s="734">
        <f t="shared" si="68"/>
        <v>290508</v>
      </c>
      <c r="E61" s="720">
        <f t="shared" si="67"/>
        <v>0.50898897074927074</v>
      </c>
      <c r="F61" s="702"/>
      <c r="G61" s="735">
        <f t="shared" ref="G61:H61" si="69">SUM(G57:G60)</f>
        <v>313522</v>
      </c>
      <c r="H61" s="734">
        <f t="shared" si="69"/>
        <v>202755</v>
      </c>
      <c r="I61" s="747">
        <f t="shared" si="65"/>
        <v>0.64670102895490589</v>
      </c>
      <c r="J61" s="687"/>
      <c r="K61" s="724">
        <f t="shared" ref="K61:L61" si="70">SUM(K57:K60)</f>
        <v>884277</v>
      </c>
      <c r="L61" s="724">
        <f t="shared" si="70"/>
        <v>493263</v>
      </c>
      <c r="M61" s="737">
        <f t="shared" si="66"/>
        <v>0.55781502854874665</v>
      </c>
      <c r="N61" s="666"/>
      <c r="O61" s="666"/>
      <c r="P61" s="666"/>
      <c r="Q61" s="666"/>
      <c r="R61" s="666"/>
      <c r="S61" s="666"/>
      <c r="T61" s="666"/>
      <c r="U61" s="666"/>
      <c r="V61" s="666"/>
      <c r="W61" s="666"/>
      <c r="X61" s="666"/>
      <c r="Y61" s="667"/>
      <c r="Z61" s="667"/>
    </row>
    <row r="62" spans="1:26" ht="7.5" customHeight="1" thickBot="1">
      <c r="A62" s="894"/>
      <c r="B62" s="895"/>
      <c r="C62" s="895"/>
      <c r="D62" s="895"/>
      <c r="E62" s="895"/>
      <c r="F62" s="673"/>
      <c r="G62" s="901"/>
      <c r="H62" s="895"/>
      <c r="I62" s="895"/>
      <c r="J62" s="673"/>
      <c r="K62" s="708"/>
      <c r="L62" s="709"/>
      <c r="M62" s="710"/>
      <c r="N62" s="666"/>
      <c r="O62" s="666"/>
      <c r="P62" s="666"/>
      <c r="Q62" s="666"/>
      <c r="R62" s="666"/>
      <c r="S62" s="666"/>
      <c r="T62" s="666"/>
      <c r="U62" s="666"/>
      <c r="V62" s="666"/>
      <c r="W62" s="666"/>
      <c r="X62" s="666"/>
      <c r="Y62" s="667"/>
      <c r="Z62" s="667"/>
    </row>
    <row r="63" spans="1:26" ht="15.75" customHeight="1">
      <c r="A63" s="898" t="s">
        <v>167</v>
      </c>
      <c r="B63" s="684" t="s">
        <v>21</v>
      </c>
      <c r="C63" s="754"/>
      <c r="D63" s="754"/>
      <c r="E63" s="755"/>
      <c r="F63" s="756"/>
      <c r="G63" s="731">
        <f t="shared" ref="G63:H66" si="71">K63-C63</f>
        <v>100000</v>
      </c>
      <c r="H63" s="731">
        <f t="shared" si="71"/>
        <v>83376</v>
      </c>
      <c r="I63" s="695">
        <f t="shared" ref="I63:I67" si="72">H63/G63</f>
        <v>0.83375999999999995</v>
      </c>
      <c r="J63" s="687"/>
      <c r="K63" s="738">
        <v>100000</v>
      </c>
      <c r="L63" s="738">
        <v>83376</v>
      </c>
      <c r="M63" s="732">
        <f t="shared" ref="M63:M67" si="73">L63/K63</f>
        <v>0.83375999999999995</v>
      </c>
      <c r="N63" s="666"/>
      <c r="O63" s="666"/>
      <c r="P63" s="666"/>
      <c r="Q63" s="666"/>
      <c r="R63" s="666"/>
      <c r="S63" s="666"/>
      <c r="T63" s="666"/>
      <c r="U63" s="666"/>
      <c r="V63" s="666"/>
      <c r="W63" s="666"/>
      <c r="X63" s="666"/>
      <c r="Y63" s="667"/>
      <c r="Z63" s="667"/>
    </row>
    <row r="64" spans="1:26" ht="15.75" customHeight="1">
      <c r="A64" s="899"/>
      <c r="B64" s="693" t="s">
        <v>28</v>
      </c>
      <c r="C64" s="757"/>
      <c r="D64" s="757"/>
      <c r="E64" s="758"/>
      <c r="F64" s="756"/>
      <c r="G64" s="731">
        <f t="shared" si="71"/>
        <v>167300</v>
      </c>
      <c r="H64" s="731">
        <f t="shared" si="71"/>
        <v>162662</v>
      </c>
      <c r="I64" s="695">
        <f t="shared" si="72"/>
        <v>0.97227734608487748</v>
      </c>
      <c r="J64" s="687"/>
      <c r="K64" s="741">
        <v>167300</v>
      </c>
      <c r="L64" s="741">
        <v>162662</v>
      </c>
      <c r="M64" s="742">
        <f t="shared" si="73"/>
        <v>0.97227734608487748</v>
      </c>
      <c r="N64" s="666"/>
      <c r="O64" s="666"/>
      <c r="P64" s="666"/>
      <c r="Q64" s="666"/>
      <c r="R64" s="666"/>
      <c r="S64" s="666"/>
      <c r="T64" s="666"/>
      <c r="U64" s="666"/>
      <c r="V64" s="666"/>
      <c r="W64" s="666"/>
      <c r="X64" s="666"/>
      <c r="Y64" s="667"/>
      <c r="Z64" s="667"/>
    </row>
    <row r="65" spans="1:26" ht="15.75" customHeight="1">
      <c r="A65" s="899"/>
      <c r="B65" s="693" t="s">
        <v>31</v>
      </c>
      <c r="C65" s="757"/>
      <c r="D65" s="757"/>
      <c r="E65" s="758"/>
      <c r="F65" s="756"/>
      <c r="G65" s="731">
        <f t="shared" si="71"/>
        <v>50000</v>
      </c>
      <c r="H65" s="731">
        <f t="shared" si="71"/>
        <v>47566</v>
      </c>
      <c r="I65" s="695">
        <f t="shared" si="72"/>
        <v>0.95132000000000005</v>
      </c>
      <c r="J65" s="687"/>
      <c r="K65" s="741">
        <v>50000</v>
      </c>
      <c r="L65" s="741">
        <v>47566</v>
      </c>
      <c r="M65" s="742">
        <f t="shared" si="73"/>
        <v>0.95132000000000005</v>
      </c>
      <c r="N65" s="666"/>
      <c r="O65" s="666"/>
      <c r="P65" s="666"/>
      <c r="Q65" s="666"/>
      <c r="R65" s="666"/>
      <c r="S65" s="666"/>
      <c r="T65" s="666"/>
      <c r="U65" s="666"/>
      <c r="V65" s="666"/>
      <c r="W65" s="666"/>
      <c r="X65" s="666"/>
      <c r="Y65" s="667"/>
      <c r="Z65" s="667"/>
    </row>
    <row r="66" spans="1:26" ht="15.75" customHeight="1">
      <c r="A66" s="899"/>
      <c r="B66" s="743" t="s">
        <v>32</v>
      </c>
      <c r="C66" s="759"/>
      <c r="D66" s="757"/>
      <c r="E66" s="758"/>
      <c r="F66" s="756"/>
      <c r="G66" s="731">
        <f t="shared" si="71"/>
        <v>201260</v>
      </c>
      <c r="H66" s="731">
        <f t="shared" si="71"/>
        <v>102843</v>
      </c>
      <c r="I66" s="695">
        <f t="shared" si="72"/>
        <v>0.51099572692040152</v>
      </c>
      <c r="J66" s="687"/>
      <c r="K66" s="746">
        <v>201260</v>
      </c>
      <c r="L66" s="741">
        <v>102843</v>
      </c>
      <c r="M66" s="742">
        <f t="shared" si="73"/>
        <v>0.51099572692040152</v>
      </c>
      <c r="N66" s="666"/>
      <c r="O66" s="666"/>
      <c r="P66" s="666"/>
      <c r="Q66" s="666"/>
      <c r="R66" s="666"/>
      <c r="S66" s="666"/>
      <c r="T66" s="666"/>
      <c r="U66" s="666"/>
      <c r="V66" s="666"/>
      <c r="W66" s="666"/>
      <c r="X66" s="666"/>
      <c r="Y66" s="667"/>
      <c r="Z66" s="667"/>
    </row>
    <row r="67" spans="1:26" ht="15.75" customHeight="1" thickBot="1">
      <c r="A67" s="889"/>
      <c r="B67" s="700" t="s">
        <v>25</v>
      </c>
      <c r="C67" s="760"/>
      <c r="D67" s="760"/>
      <c r="E67" s="761"/>
      <c r="F67" s="762"/>
      <c r="G67" s="735">
        <f t="shared" ref="G67:H67" si="74">SUM(G63:G66)</f>
        <v>518560</v>
      </c>
      <c r="H67" s="734">
        <f t="shared" si="74"/>
        <v>396447</v>
      </c>
      <c r="I67" s="747">
        <f t="shared" si="72"/>
        <v>0.76451519592718298</v>
      </c>
      <c r="J67" s="687"/>
      <c r="K67" s="724">
        <f t="shared" ref="K67:L67" si="75">SUM(K63:K66)</f>
        <v>518560</v>
      </c>
      <c r="L67" s="724">
        <f t="shared" si="75"/>
        <v>396447</v>
      </c>
      <c r="M67" s="737">
        <f t="shared" si="73"/>
        <v>0.76451519592718298</v>
      </c>
      <c r="N67" s="666"/>
      <c r="O67" s="666"/>
      <c r="P67" s="666"/>
      <c r="Q67" s="666"/>
      <c r="R67" s="666"/>
      <c r="S67" s="666"/>
      <c r="T67" s="666"/>
      <c r="U67" s="666"/>
      <c r="V67" s="666"/>
      <c r="W67" s="666"/>
      <c r="X67" s="666"/>
      <c r="Y67" s="667"/>
      <c r="Z67" s="667"/>
    </row>
    <row r="68" spans="1:26" ht="7.5" customHeight="1" thickBot="1">
      <c r="A68" s="894"/>
      <c r="B68" s="895"/>
      <c r="C68" s="895"/>
      <c r="D68" s="895"/>
      <c r="E68" s="895"/>
      <c r="F68" s="673"/>
      <c r="G68" s="901"/>
      <c r="H68" s="895"/>
      <c r="I68" s="895"/>
      <c r="J68" s="673"/>
      <c r="K68" s="708"/>
      <c r="L68" s="709"/>
      <c r="M68" s="710"/>
      <c r="N68" s="666"/>
      <c r="O68" s="666"/>
      <c r="P68" s="666"/>
      <c r="Q68" s="666"/>
      <c r="R68" s="666"/>
      <c r="S68" s="666"/>
      <c r="T68" s="666"/>
      <c r="U68" s="666"/>
      <c r="V68" s="666"/>
      <c r="W68" s="666"/>
      <c r="X68" s="666"/>
      <c r="Y68" s="667"/>
      <c r="Z68" s="667"/>
    </row>
    <row r="69" spans="1:26" ht="15.75" customHeight="1">
      <c r="A69" s="898" t="s">
        <v>168</v>
      </c>
      <c r="B69" s="684" t="s">
        <v>181</v>
      </c>
      <c r="C69" s="729">
        <f>5000+3730000</f>
        <v>3735000</v>
      </c>
      <c r="D69" s="730">
        <v>590000</v>
      </c>
      <c r="E69" s="686">
        <f t="shared" ref="E69:E71" si="76">D69/C69</f>
        <v>0.15796519410977242</v>
      </c>
      <c r="F69" s="687"/>
      <c r="G69" s="781">
        <f t="shared" ref="G69:H72" si="77">K69-C69</f>
        <v>345000</v>
      </c>
      <c r="H69" s="684">
        <f t="shared" si="77"/>
        <v>173404</v>
      </c>
      <c r="I69" s="695">
        <f t="shared" ref="I69:I73" si="78">H69/G69</f>
        <v>0.50262028985507246</v>
      </c>
      <c r="J69" s="687"/>
      <c r="K69" s="738">
        <v>4080000</v>
      </c>
      <c r="L69" s="738">
        <v>763404</v>
      </c>
      <c r="M69" s="732">
        <f t="shared" ref="M69:M73" si="79">L69/K69</f>
        <v>0.18710882352941177</v>
      </c>
      <c r="N69" s="666"/>
      <c r="O69" s="666"/>
      <c r="P69" s="666"/>
      <c r="Q69" s="666"/>
      <c r="R69" s="666"/>
      <c r="S69" s="666"/>
      <c r="T69" s="666"/>
      <c r="U69" s="666"/>
      <c r="V69" s="666"/>
      <c r="W69" s="666"/>
      <c r="X69" s="666"/>
      <c r="Y69" s="667"/>
      <c r="Z69" s="667"/>
    </row>
    <row r="70" spans="1:26" ht="15.75" customHeight="1">
      <c r="A70" s="899"/>
      <c r="B70" s="693" t="s">
        <v>28</v>
      </c>
      <c r="C70" s="739">
        <v>31818</v>
      </c>
      <c r="D70" s="740">
        <v>26142</v>
      </c>
      <c r="E70" s="695">
        <f t="shared" si="76"/>
        <v>0.8216104092023383</v>
      </c>
      <c r="F70" s="687"/>
      <c r="G70" s="731">
        <f t="shared" si="77"/>
        <v>8182</v>
      </c>
      <c r="H70" s="693">
        <f t="shared" si="77"/>
        <v>3533</v>
      </c>
      <c r="I70" s="695">
        <f t="shared" si="78"/>
        <v>0.43180151552187729</v>
      </c>
      <c r="J70" s="687"/>
      <c r="K70" s="741">
        <v>40000</v>
      </c>
      <c r="L70" s="741">
        <v>29675</v>
      </c>
      <c r="M70" s="742">
        <f t="shared" si="79"/>
        <v>0.74187499999999995</v>
      </c>
      <c r="N70" s="666"/>
      <c r="O70" s="666"/>
      <c r="P70" s="666"/>
      <c r="Q70" s="666"/>
      <c r="R70" s="666"/>
      <c r="S70" s="666"/>
      <c r="T70" s="666"/>
      <c r="U70" s="666"/>
      <c r="V70" s="666"/>
      <c r="W70" s="666"/>
      <c r="X70" s="666"/>
      <c r="Y70" s="667"/>
      <c r="Z70" s="667"/>
    </row>
    <row r="71" spans="1:26" ht="15.75" customHeight="1">
      <c r="A71" s="899"/>
      <c r="B71" s="693" t="s">
        <v>31</v>
      </c>
      <c r="C71" s="739">
        <v>123006</v>
      </c>
      <c r="D71" s="740">
        <v>70563</v>
      </c>
      <c r="E71" s="695">
        <f t="shared" si="76"/>
        <v>0.57365494366128478</v>
      </c>
      <c r="F71" s="687"/>
      <c r="G71" s="731">
        <f t="shared" si="77"/>
        <v>26994</v>
      </c>
      <c r="H71" s="693">
        <f t="shared" si="77"/>
        <v>20413</v>
      </c>
      <c r="I71" s="695">
        <f t="shared" si="78"/>
        <v>0.75620508261095054</v>
      </c>
      <c r="J71" s="687"/>
      <c r="K71" s="741">
        <v>150000</v>
      </c>
      <c r="L71" s="741">
        <v>90976</v>
      </c>
      <c r="M71" s="742">
        <f t="shared" si="79"/>
        <v>0.60650666666666664</v>
      </c>
      <c r="N71" s="666"/>
      <c r="O71" s="666"/>
      <c r="P71" s="666"/>
      <c r="Q71" s="666"/>
      <c r="R71" s="666"/>
      <c r="S71" s="666"/>
      <c r="T71" s="666"/>
      <c r="U71" s="666"/>
      <c r="V71" s="666"/>
      <c r="W71" s="666"/>
      <c r="X71" s="666"/>
      <c r="Y71" s="667"/>
      <c r="Z71" s="667"/>
    </row>
    <row r="72" spans="1:26" ht="15.75" customHeight="1">
      <c r="A72" s="899"/>
      <c r="B72" s="743" t="s">
        <v>32</v>
      </c>
      <c r="C72" s="744">
        <v>0</v>
      </c>
      <c r="D72" s="740">
        <v>0</v>
      </c>
      <c r="E72" s="695">
        <v>0</v>
      </c>
      <c r="F72" s="687"/>
      <c r="G72" s="731">
        <f t="shared" si="77"/>
        <v>65867</v>
      </c>
      <c r="H72" s="693">
        <f t="shared" si="77"/>
        <v>38966</v>
      </c>
      <c r="I72" s="695">
        <f t="shared" si="78"/>
        <v>0.59158607496925619</v>
      </c>
      <c r="J72" s="687"/>
      <c r="K72" s="746">
        <v>65867</v>
      </c>
      <c r="L72" s="741">
        <v>38966</v>
      </c>
      <c r="M72" s="742">
        <f t="shared" si="79"/>
        <v>0.59158607496925619</v>
      </c>
      <c r="N72" s="666"/>
      <c r="O72" s="666"/>
      <c r="P72" s="666"/>
      <c r="Q72" s="666"/>
      <c r="R72" s="666"/>
      <c r="S72" s="666"/>
      <c r="T72" s="666"/>
      <c r="U72" s="666"/>
      <c r="V72" s="666"/>
      <c r="W72" s="666"/>
      <c r="X72" s="666"/>
      <c r="Y72" s="667"/>
      <c r="Z72" s="667"/>
    </row>
    <row r="73" spans="1:26" ht="15.75" customHeight="1" thickBot="1">
      <c r="A73" s="889"/>
      <c r="B73" s="700" t="s">
        <v>25</v>
      </c>
      <c r="C73" s="734">
        <f t="shared" ref="C73:D73" si="80">SUM(C69:C72)</f>
        <v>3889824</v>
      </c>
      <c r="D73" s="719">
        <f t="shared" si="80"/>
        <v>686705</v>
      </c>
      <c r="E73" s="720">
        <f>D73/C73</f>
        <v>0.1765388356902523</v>
      </c>
      <c r="F73" s="702"/>
      <c r="G73" s="769">
        <f t="shared" ref="G73:H73" si="81">SUM(G69:G72)</f>
        <v>446043</v>
      </c>
      <c r="H73" s="700">
        <f t="shared" si="81"/>
        <v>236316</v>
      </c>
      <c r="I73" s="747">
        <f t="shared" si="78"/>
        <v>0.52980542234717276</v>
      </c>
      <c r="J73" s="687"/>
      <c r="K73" s="724">
        <f t="shared" ref="K73:L73" si="82">SUM(K69:K72)</f>
        <v>4335867</v>
      </c>
      <c r="L73" s="724">
        <f t="shared" si="82"/>
        <v>923021</v>
      </c>
      <c r="M73" s="737">
        <f t="shared" si="79"/>
        <v>0.21288037663516893</v>
      </c>
      <c r="N73" s="666"/>
      <c r="O73" s="666"/>
      <c r="P73" s="666"/>
      <c r="Q73" s="666"/>
      <c r="R73" s="666"/>
      <c r="S73" s="666"/>
      <c r="T73" s="666"/>
      <c r="U73" s="666"/>
      <c r="V73" s="666"/>
      <c r="W73" s="666"/>
      <c r="X73" s="666"/>
      <c r="Y73" s="667"/>
      <c r="Z73" s="667"/>
    </row>
    <row r="74" spans="1:26" ht="6" customHeight="1" thickBot="1">
      <c r="A74" s="894"/>
      <c r="B74" s="895"/>
      <c r="C74" s="895"/>
      <c r="D74" s="895"/>
      <c r="E74" s="895"/>
      <c r="F74" s="673"/>
      <c r="G74" s="901"/>
      <c r="H74" s="895"/>
      <c r="I74" s="895"/>
      <c r="J74" s="673"/>
      <c r="K74" s="708"/>
      <c r="L74" s="709"/>
      <c r="M74" s="710"/>
      <c r="N74" s="666"/>
      <c r="O74" s="666"/>
      <c r="P74" s="666"/>
      <c r="Q74" s="666"/>
      <c r="R74" s="666"/>
      <c r="S74" s="666"/>
      <c r="T74" s="666"/>
      <c r="U74" s="666"/>
      <c r="V74" s="666"/>
      <c r="W74" s="666"/>
      <c r="X74" s="666"/>
      <c r="Y74" s="667"/>
      <c r="Z74" s="667"/>
    </row>
    <row r="75" spans="1:26" ht="15.75" customHeight="1">
      <c r="A75" s="898" t="s">
        <v>169</v>
      </c>
      <c r="B75" s="684" t="s">
        <v>21</v>
      </c>
      <c r="C75" s="729">
        <v>13190</v>
      </c>
      <c r="D75" s="730">
        <v>6594</v>
      </c>
      <c r="E75" s="686">
        <f t="shared" ref="E75:E76" si="83">D75/C75</f>
        <v>0.49992418498862773</v>
      </c>
      <c r="F75" s="687"/>
      <c r="G75" s="684">
        <f t="shared" ref="G75:H77" si="84">K75-C75</f>
        <v>57912</v>
      </c>
      <c r="H75" s="684">
        <f t="shared" si="84"/>
        <v>20391</v>
      </c>
      <c r="I75" s="692">
        <f t="shared" ref="I75:I78" si="85">H75/G75</f>
        <v>0.35210319104848736</v>
      </c>
      <c r="J75" s="687"/>
      <c r="K75" s="738">
        <v>71102</v>
      </c>
      <c r="L75" s="738">
        <v>26985</v>
      </c>
      <c r="M75" s="732">
        <f t="shared" ref="M75:M78" si="86">L75/K75</f>
        <v>0.37952518916486172</v>
      </c>
      <c r="N75" s="666"/>
      <c r="O75" s="666"/>
      <c r="P75" s="666"/>
      <c r="Q75" s="666"/>
      <c r="R75" s="666"/>
      <c r="S75" s="666"/>
      <c r="T75" s="666"/>
      <c r="U75" s="666"/>
      <c r="V75" s="666"/>
      <c r="W75" s="666"/>
      <c r="X75" s="666"/>
      <c r="Y75" s="667"/>
      <c r="Z75" s="667"/>
    </row>
    <row r="76" spans="1:26" ht="15.75" customHeight="1">
      <c r="A76" s="899"/>
      <c r="B76" s="693" t="s">
        <v>102</v>
      </c>
      <c r="C76" s="739">
        <v>65596</v>
      </c>
      <c r="D76" s="740">
        <v>71331</v>
      </c>
      <c r="E76" s="695">
        <f t="shared" si="83"/>
        <v>1.0874291115311909</v>
      </c>
      <c r="F76" s="687"/>
      <c r="G76" s="693">
        <f t="shared" si="84"/>
        <v>74404</v>
      </c>
      <c r="H76" s="693">
        <f t="shared" si="84"/>
        <v>83188</v>
      </c>
      <c r="I76" s="698">
        <f t="shared" si="85"/>
        <v>1.1180581689156497</v>
      </c>
      <c r="J76" s="687"/>
      <c r="K76" s="741">
        <v>140000</v>
      </c>
      <c r="L76" s="741">
        <v>154519</v>
      </c>
      <c r="M76" s="742">
        <f t="shared" si="86"/>
        <v>1.1037071428571428</v>
      </c>
      <c r="N76" s="666"/>
      <c r="O76" s="666"/>
      <c r="P76" s="666"/>
      <c r="Q76" s="666"/>
      <c r="R76" s="666"/>
      <c r="S76" s="666"/>
      <c r="T76" s="666"/>
      <c r="U76" s="666"/>
      <c r="V76" s="666"/>
      <c r="W76" s="666"/>
      <c r="X76" s="666"/>
      <c r="Y76" s="667"/>
      <c r="Z76" s="667"/>
    </row>
    <row r="77" spans="1:26" ht="15.75" customHeight="1">
      <c r="A77" s="899"/>
      <c r="B77" s="693" t="s">
        <v>31</v>
      </c>
      <c r="C77" s="739">
        <v>0</v>
      </c>
      <c r="D77" s="740">
        <v>0</v>
      </c>
      <c r="E77" s="695">
        <v>0</v>
      </c>
      <c r="F77" s="687"/>
      <c r="G77" s="693">
        <f t="shared" si="84"/>
        <v>20000</v>
      </c>
      <c r="H77" s="693">
        <f t="shared" si="84"/>
        <v>15325</v>
      </c>
      <c r="I77" s="698">
        <f t="shared" si="85"/>
        <v>0.76624999999999999</v>
      </c>
      <c r="J77" s="687"/>
      <c r="K77" s="741">
        <v>20000</v>
      </c>
      <c r="L77" s="741">
        <v>15325</v>
      </c>
      <c r="M77" s="742">
        <f t="shared" si="86"/>
        <v>0.76624999999999999</v>
      </c>
      <c r="N77" s="666"/>
      <c r="O77" s="666"/>
      <c r="P77" s="666"/>
      <c r="Q77" s="666"/>
      <c r="R77" s="666"/>
      <c r="S77" s="666"/>
      <c r="T77" s="666"/>
      <c r="U77" s="666"/>
      <c r="V77" s="666"/>
      <c r="W77" s="666"/>
      <c r="X77" s="666"/>
      <c r="Y77" s="667"/>
      <c r="Z77" s="667"/>
    </row>
    <row r="78" spans="1:26" ht="15.75" customHeight="1" thickBot="1">
      <c r="A78" s="889"/>
      <c r="B78" s="700" t="s">
        <v>25</v>
      </c>
      <c r="C78" s="734">
        <f t="shared" ref="C78:D78" si="87">SUM(C75:C77)</f>
        <v>78786</v>
      </c>
      <c r="D78" s="719">
        <f t="shared" si="87"/>
        <v>77925</v>
      </c>
      <c r="E78" s="720">
        <f>D78/C78</f>
        <v>0.9890716624781053</v>
      </c>
      <c r="F78" s="702"/>
      <c r="G78" s="700">
        <f t="shared" ref="G78:H78" si="88">SUM(G75:G77)</f>
        <v>152316</v>
      </c>
      <c r="H78" s="700">
        <f t="shared" si="88"/>
        <v>118904</v>
      </c>
      <c r="I78" s="707">
        <f t="shared" si="85"/>
        <v>0.78064024790566977</v>
      </c>
      <c r="J78" s="687"/>
      <c r="K78" s="724">
        <f t="shared" ref="K78:L78" si="89">SUM(K75:K77)</f>
        <v>231102</v>
      </c>
      <c r="L78" s="724">
        <f t="shared" si="89"/>
        <v>196829</v>
      </c>
      <c r="M78" s="737">
        <f t="shared" si="86"/>
        <v>0.85169751884449296</v>
      </c>
      <c r="N78" s="666"/>
      <c r="O78" s="666"/>
      <c r="P78" s="666"/>
      <c r="Q78" s="666"/>
      <c r="R78" s="666"/>
      <c r="S78" s="666"/>
      <c r="T78" s="666"/>
      <c r="U78" s="666"/>
      <c r="V78" s="666"/>
      <c r="W78" s="666"/>
      <c r="X78" s="666"/>
      <c r="Y78" s="667"/>
      <c r="Z78" s="667"/>
    </row>
    <row r="79" spans="1:26" ht="6" customHeight="1" thickBot="1">
      <c r="A79" s="903"/>
      <c r="B79" s="897"/>
      <c r="C79" s="897"/>
      <c r="D79" s="897"/>
      <c r="E79" s="897"/>
      <c r="F79" s="673"/>
      <c r="G79" s="901"/>
      <c r="H79" s="895"/>
      <c r="I79" s="895"/>
      <c r="J79" s="673"/>
      <c r="K79" s="708"/>
      <c r="L79" s="709"/>
      <c r="M79" s="710"/>
      <c r="N79" s="666"/>
      <c r="O79" s="666"/>
      <c r="P79" s="666"/>
      <c r="Q79" s="666"/>
      <c r="R79" s="666"/>
      <c r="S79" s="666"/>
      <c r="T79" s="666"/>
      <c r="U79" s="666"/>
      <c r="V79" s="666"/>
      <c r="W79" s="666"/>
      <c r="X79" s="666"/>
      <c r="Y79" s="667"/>
      <c r="Z79" s="667"/>
    </row>
    <row r="80" spans="1:26" ht="15.75" customHeight="1">
      <c r="A80" s="898" t="s">
        <v>170</v>
      </c>
      <c r="B80" s="781" t="s">
        <v>21</v>
      </c>
      <c r="C80" s="754"/>
      <c r="D80" s="754"/>
      <c r="E80" s="774"/>
      <c r="F80" s="687"/>
      <c r="G80" s="731">
        <f t="shared" ref="G80:H83" si="90">K80-C80</f>
        <v>360265</v>
      </c>
      <c r="H80" s="731">
        <f t="shared" si="90"/>
        <v>138640</v>
      </c>
      <c r="I80" s="695">
        <f t="shared" ref="I80:I84" si="91">H80/G80</f>
        <v>0.38482783506585433</v>
      </c>
      <c r="J80" s="687"/>
      <c r="K80" s="738">
        <v>360265</v>
      </c>
      <c r="L80" s="738">
        <v>138640</v>
      </c>
      <c r="M80" s="732">
        <f t="shared" ref="M80:M84" si="92">L80/K80</f>
        <v>0.38482783506585433</v>
      </c>
      <c r="N80" s="666"/>
      <c r="O80" s="666"/>
      <c r="P80" s="666"/>
      <c r="Q80" s="666"/>
      <c r="R80" s="666"/>
      <c r="S80" s="666"/>
      <c r="T80" s="666"/>
      <c r="U80" s="666"/>
      <c r="V80" s="666"/>
      <c r="W80" s="666"/>
      <c r="X80" s="666"/>
      <c r="Y80" s="667"/>
      <c r="Z80" s="667"/>
    </row>
    <row r="81" spans="1:26" ht="15.75" customHeight="1">
      <c r="A81" s="899"/>
      <c r="B81" s="731" t="s">
        <v>28</v>
      </c>
      <c r="C81" s="757"/>
      <c r="D81" s="757"/>
      <c r="E81" s="775"/>
      <c r="F81" s="687"/>
      <c r="G81" s="731">
        <f t="shared" si="90"/>
        <v>30000</v>
      </c>
      <c r="H81" s="731">
        <f t="shared" si="90"/>
        <v>15672</v>
      </c>
      <c r="I81" s="695">
        <f t="shared" si="91"/>
        <v>0.52239999999999998</v>
      </c>
      <c r="J81" s="687"/>
      <c r="K81" s="741">
        <v>30000</v>
      </c>
      <c r="L81" s="741">
        <v>15672</v>
      </c>
      <c r="M81" s="742">
        <f t="shared" si="92"/>
        <v>0.52239999999999998</v>
      </c>
      <c r="N81" s="666"/>
      <c r="O81" s="666"/>
      <c r="P81" s="666"/>
      <c r="Q81" s="666"/>
      <c r="R81" s="666"/>
      <c r="S81" s="666"/>
      <c r="T81" s="666"/>
      <c r="U81" s="666"/>
      <c r="V81" s="666"/>
      <c r="W81" s="666"/>
      <c r="X81" s="666"/>
      <c r="Y81" s="667"/>
      <c r="Z81" s="667"/>
    </row>
    <row r="82" spans="1:26" ht="15.75" customHeight="1">
      <c r="A82" s="899"/>
      <c r="B82" s="731" t="s">
        <v>31</v>
      </c>
      <c r="C82" s="739">
        <v>95000</v>
      </c>
      <c r="D82" s="740">
        <v>103277</v>
      </c>
      <c r="E82" s="695">
        <f>D82/C82</f>
        <v>1.0871263157894737</v>
      </c>
      <c r="F82" s="687"/>
      <c r="G82" s="731">
        <f t="shared" si="90"/>
        <v>155000</v>
      </c>
      <c r="H82" s="731">
        <f t="shared" si="90"/>
        <v>159630</v>
      </c>
      <c r="I82" s="695">
        <f t="shared" si="91"/>
        <v>1.0298709677419355</v>
      </c>
      <c r="J82" s="687"/>
      <c r="K82" s="741">
        <v>250000</v>
      </c>
      <c r="L82" s="741">
        <v>262907</v>
      </c>
      <c r="M82" s="742">
        <f t="shared" si="92"/>
        <v>1.051628</v>
      </c>
      <c r="N82" s="666"/>
      <c r="O82" s="666"/>
      <c r="P82" s="666"/>
      <c r="Q82" s="666"/>
      <c r="R82" s="666"/>
      <c r="S82" s="666"/>
      <c r="T82" s="666"/>
      <c r="U82" s="666"/>
      <c r="V82" s="666"/>
      <c r="W82" s="666"/>
      <c r="X82" s="666"/>
      <c r="Y82" s="667"/>
      <c r="Z82" s="667"/>
    </row>
    <row r="83" spans="1:26" ht="15.75" customHeight="1">
      <c r="A83" s="899"/>
      <c r="B83" s="782" t="s">
        <v>32</v>
      </c>
      <c r="C83" s="744">
        <v>0</v>
      </c>
      <c r="D83" s="740">
        <v>233</v>
      </c>
      <c r="E83" s="695"/>
      <c r="F83" s="687"/>
      <c r="G83" s="731">
        <f t="shared" si="90"/>
        <v>707811</v>
      </c>
      <c r="H83" s="731">
        <f t="shared" si="90"/>
        <v>525444</v>
      </c>
      <c r="I83" s="695">
        <f t="shared" si="91"/>
        <v>0.74235071226641014</v>
      </c>
      <c r="J83" s="687"/>
      <c r="K83" s="746">
        <v>707811</v>
      </c>
      <c r="L83" s="741">
        <f>525444+233</f>
        <v>525677</v>
      </c>
      <c r="M83" s="742">
        <f t="shared" si="92"/>
        <v>0.7426798961869765</v>
      </c>
      <c r="N83" s="666"/>
      <c r="O83" s="666"/>
      <c r="P83" s="666"/>
      <c r="Q83" s="666"/>
      <c r="R83" s="666"/>
      <c r="S83" s="666"/>
      <c r="T83" s="666"/>
      <c r="U83" s="666"/>
      <c r="V83" s="666"/>
      <c r="W83" s="666"/>
      <c r="X83" s="666"/>
      <c r="Y83" s="667"/>
      <c r="Z83" s="667"/>
    </row>
    <row r="84" spans="1:26" ht="15.75" customHeight="1" thickBot="1">
      <c r="A84" s="889"/>
      <c r="B84" s="769" t="s">
        <v>25</v>
      </c>
      <c r="C84" s="734">
        <f t="shared" ref="C84:D84" si="93">SUM(C80:C83)</f>
        <v>95000</v>
      </c>
      <c r="D84" s="719">
        <f t="shared" si="93"/>
        <v>103510</v>
      </c>
      <c r="E84" s="720">
        <f>D84/C84</f>
        <v>1.089578947368421</v>
      </c>
      <c r="F84" s="702"/>
      <c r="G84" s="735">
        <f t="shared" ref="G84:H84" si="94">SUM(G80:G83)</f>
        <v>1253076</v>
      </c>
      <c r="H84" s="783">
        <f t="shared" si="94"/>
        <v>839386</v>
      </c>
      <c r="I84" s="747">
        <f t="shared" si="91"/>
        <v>0.66986040750920139</v>
      </c>
      <c r="J84" s="687"/>
      <c r="K84" s="724">
        <f t="shared" ref="K84:L84" si="95">SUM(K80:K83)</f>
        <v>1348076</v>
      </c>
      <c r="L84" s="724">
        <f t="shared" si="95"/>
        <v>942896</v>
      </c>
      <c r="M84" s="737">
        <f t="shared" si="92"/>
        <v>0.69943831059969908</v>
      </c>
      <c r="N84" s="666"/>
      <c r="O84" s="666"/>
      <c r="P84" s="666"/>
      <c r="Q84" s="666"/>
      <c r="R84" s="666"/>
      <c r="S84" s="666"/>
      <c r="T84" s="666"/>
      <c r="U84" s="666"/>
      <c r="V84" s="666"/>
      <c r="W84" s="666"/>
      <c r="X84" s="666"/>
      <c r="Y84" s="667"/>
      <c r="Z84" s="667"/>
    </row>
    <row r="85" spans="1:26" ht="6" customHeight="1" thickBot="1">
      <c r="A85" s="894"/>
      <c r="B85" s="895"/>
      <c r="C85" s="895"/>
      <c r="D85" s="895"/>
      <c r="E85" s="891"/>
      <c r="F85" s="673"/>
      <c r="G85" s="901"/>
      <c r="H85" s="895"/>
      <c r="I85" s="895"/>
      <c r="J85" s="673"/>
      <c r="K85" s="708"/>
      <c r="L85" s="709"/>
      <c r="M85" s="710"/>
      <c r="N85" s="666"/>
      <c r="O85" s="666"/>
      <c r="P85" s="666"/>
      <c r="Q85" s="666"/>
      <c r="R85" s="666"/>
      <c r="S85" s="666"/>
      <c r="T85" s="666"/>
      <c r="U85" s="666"/>
      <c r="V85" s="666"/>
      <c r="W85" s="666"/>
      <c r="X85" s="666"/>
      <c r="Y85" s="667"/>
      <c r="Z85" s="667"/>
    </row>
    <row r="86" spans="1:26" ht="15.75" customHeight="1">
      <c r="A86" s="898" t="s">
        <v>56</v>
      </c>
      <c r="B86" s="684" t="s">
        <v>21</v>
      </c>
      <c r="C86" s="729">
        <v>800</v>
      </c>
      <c r="D86" s="730">
        <v>549</v>
      </c>
      <c r="E86" s="686">
        <f t="shared" ref="E86:E88" si="96">D86/C86</f>
        <v>0.68625000000000003</v>
      </c>
      <c r="F86" s="687"/>
      <c r="G86" s="731">
        <f t="shared" ref="G86:H89" si="97">K86-C86</f>
        <v>34141</v>
      </c>
      <c r="H86" s="731">
        <f t="shared" si="97"/>
        <v>9227</v>
      </c>
      <c r="I86" s="695">
        <f t="shared" ref="I86:I90" si="98">H86/G86</f>
        <v>0.2702615623443953</v>
      </c>
      <c r="J86" s="687"/>
      <c r="K86" s="738">
        <f>15541+19400</f>
        <v>34941</v>
      </c>
      <c r="L86" s="738">
        <v>9776</v>
      </c>
      <c r="M86" s="732">
        <f t="shared" ref="M86:M90" si="99">L86/K86</f>
        <v>0.2797859248447383</v>
      </c>
      <c r="N86" s="666"/>
      <c r="O86" s="666"/>
      <c r="P86" s="666"/>
      <c r="Q86" s="666"/>
      <c r="R86" s="666"/>
      <c r="S86" s="666"/>
      <c r="T86" s="666"/>
      <c r="U86" s="666"/>
      <c r="V86" s="666"/>
      <c r="W86" s="666"/>
      <c r="X86" s="666"/>
      <c r="Y86" s="667"/>
      <c r="Z86" s="667"/>
    </row>
    <row r="87" spans="1:26" ht="15.75" customHeight="1">
      <c r="A87" s="899"/>
      <c r="B87" s="693" t="s">
        <v>28</v>
      </c>
      <c r="C87" s="739">
        <v>10</v>
      </c>
      <c r="D87" s="740">
        <v>0</v>
      </c>
      <c r="E87" s="695">
        <f t="shared" si="96"/>
        <v>0</v>
      </c>
      <c r="F87" s="687"/>
      <c r="G87" s="731">
        <f t="shared" si="97"/>
        <v>9990</v>
      </c>
      <c r="H87" s="731">
        <f t="shared" si="97"/>
        <v>6874</v>
      </c>
      <c r="I87" s="695">
        <f t="shared" si="98"/>
        <v>0.68808808808808808</v>
      </c>
      <c r="J87" s="687"/>
      <c r="K87" s="741">
        <v>10000</v>
      </c>
      <c r="L87" s="741">
        <v>6874</v>
      </c>
      <c r="M87" s="742">
        <f t="shared" si="99"/>
        <v>0.68740000000000001</v>
      </c>
      <c r="N87" s="666"/>
      <c r="O87" s="666"/>
      <c r="P87" s="666"/>
      <c r="Q87" s="666"/>
      <c r="R87" s="666"/>
      <c r="S87" s="666"/>
      <c r="T87" s="666"/>
      <c r="U87" s="666"/>
      <c r="V87" s="666"/>
      <c r="W87" s="666"/>
      <c r="X87" s="666"/>
      <c r="Y87" s="667"/>
      <c r="Z87" s="667"/>
    </row>
    <row r="88" spans="1:26" ht="15.75" customHeight="1">
      <c r="A88" s="899"/>
      <c r="B88" s="693" t="s">
        <v>103</v>
      </c>
      <c r="C88" s="739">
        <v>1000</v>
      </c>
      <c r="D88" s="740">
        <v>0</v>
      </c>
      <c r="E88" s="695">
        <f t="shared" si="96"/>
        <v>0</v>
      </c>
      <c r="F88" s="687"/>
      <c r="G88" s="731">
        <f t="shared" si="97"/>
        <v>99000</v>
      </c>
      <c r="H88" s="731">
        <f t="shared" si="97"/>
        <v>88124</v>
      </c>
      <c r="I88" s="695">
        <f t="shared" si="98"/>
        <v>0.89014141414141412</v>
      </c>
      <c r="J88" s="687"/>
      <c r="K88" s="741">
        <v>100000</v>
      </c>
      <c r="L88" s="741">
        <v>88124</v>
      </c>
      <c r="M88" s="742">
        <f t="shared" si="99"/>
        <v>0.88124000000000002</v>
      </c>
      <c r="N88" s="666"/>
      <c r="O88" s="666"/>
      <c r="P88" s="666"/>
      <c r="Q88" s="666"/>
      <c r="R88" s="666"/>
      <c r="S88" s="666"/>
      <c r="T88" s="666"/>
      <c r="U88" s="666"/>
      <c r="V88" s="666"/>
      <c r="W88" s="666"/>
      <c r="X88" s="666"/>
      <c r="Y88" s="667"/>
      <c r="Z88" s="667"/>
    </row>
    <row r="89" spans="1:26" ht="15.75" customHeight="1">
      <c r="A89" s="899"/>
      <c r="B89" s="743" t="s">
        <v>32</v>
      </c>
      <c r="C89" s="744">
        <v>0</v>
      </c>
      <c r="D89" s="740">
        <v>0</v>
      </c>
      <c r="E89" s="695">
        <v>0</v>
      </c>
      <c r="F89" s="687"/>
      <c r="G89" s="731">
        <f t="shared" si="97"/>
        <v>535384</v>
      </c>
      <c r="H89" s="731">
        <f t="shared" si="97"/>
        <v>219927</v>
      </c>
      <c r="I89" s="695">
        <f t="shared" si="98"/>
        <v>0.41078366182030096</v>
      </c>
      <c r="J89" s="687"/>
      <c r="K89" s="746">
        <v>535384</v>
      </c>
      <c r="L89" s="741">
        <v>219927</v>
      </c>
      <c r="M89" s="742">
        <f t="shared" si="99"/>
        <v>0.41078366182030096</v>
      </c>
      <c r="N89" s="666"/>
      <c r="O89" s="666"/>
      <c r="P89" s="666"/>
      <c r="Q89" s="666"/>
      <c r="R89" s="666"/>
      <c r="S89" s="666"/>
      <c r="T89" s="666"/>
      <c r="U89" s="666"/>
      <c r="V89" s="666"/>
      <c r="W89" s="666"/>
      <c r="X89" s="666"/>
      <c r="Y89" s="667"/>
      <c r="Z89" s="667"/>
    </row>
    <row r="90" spans="1:26" ht="15.75" customHeight="1" thickBot="1">
      <c r="A90" s="889"/>
      <c r="B90" s="700" t="s">
        <v>25</v>
      </c>
      <c r="C90" s="734">
        <f t="shared" ref="C90:D90" si="100">SUM(C86:C89)</f>
        <v>1810</v>
      </c>
      <c r="D90" s="719">
        <f t="shared" si="100"/>
        <v>549</v>
      </c>
      <c r="E90" s="720">
        <f>D90/C90</f>
        <v>0.30331491712707181</v>
      </c>
      <c r="F90" s="702"/>
      <c r="G90" s="735">
        <f t="shared" ref="G90:H90" si="101">SUM(G86:G89)</f>
        <v>678515</v>
      </c>
      <c r="H90" s="783">
        <f t="shared" si="101"/>
        <v>324152</v>
      </c>
      <c r="I90" s="747">
        <f t="shared" si="98"/>
        <v>0.47773741184793261</v>
      </c>
      <c r="J90" s="687"/>
      <c r="K90" s="724">
        <f t="shared" ref="K90:L90" si="102">SUM(K86:K89)</f>
        <v>680325</v>
      </c>
      <c r="L90" s="724">
        <f t="shared" si="102"/>
        <v>324701</v>
      </c>
      <c r="M90" s="737">
        <f t="shared" si="99"/>
        <v>0.47727336199610482</v>
      </c>
      <c r="N90" s="666"/>
      <c r="O90" s="666"/>
      <c r="P90" s="666"/>
      <c r="Q90" s="666"/>
      <c r="R90" s="666"/>
      <c r="S90" s="666"/>
      <c r="T90" s="666"/>
      <c r="U90" s="666"/>
      <c r="V90" s="666"/>
      <c r="W90" s="666"/>
      <c r="X90" s="666"/>
      <c r="Y90" s="667"/>
      <c r="Z90" s="667"/>
    </row>
    <row r="91" spans="1:26" ht="7.5" customHeight="1" thickBot="1">
      <c r="A91" s="894"/>
      <c r="B91" s="895"/>
      <c r="C91" s="895"/>
      <c r="D91" s="895"/>
      <c r="E91" s="895"/>
      <c r="F91" s="673"/>
      <c r="G91" s="901"/>
      <c r="H91" s="895"/>
      <c r="I91" s="895"/>
      <c r="J91" s="673"/>
      <c r="K91" s="708"/>
      <c r="L91" s="709"/>
      <c r="M91" s="710"/>
      <c r="N91" s="666"/>
      <c r="O91" s="666"/>
      <c r="P91" s="666"/>
      <c r="Q91" s="666"/>
      <c r="R91" s="666"/>
      <c r="S91" s="666"/>
      <c r="T91" s="666"/>
      <c r="U91" s="666"/>
      <c r="V91" s="666"/>
      <c r="W91" s="666"/>
      <c r="X91" s="666"/>
      <c r="Y91" s="667"/>
      <c r="Z91" s="667"/>
    </row>
    <row r="92" spans="1:26" ht="15.75" customHeight="1">
      <c r="A92" s="898" t="s">
        <v>171</v>
      </c>
      <c r="B92" s="684" t="s">
        <v>21</v>
      </c>
      <c r="C92" s="729">
        <v>5000</v>
      </c>
      <c r="D92" s="730">
        <v>0</v>
      </c>
      <c r="E92" s="692">
        <v>0</v>
      </c>
      <c r="F92" s="687"/>
      <c r="G92" s="731">
        <f t="shared" ref="G92:H94" si="103">K92-C92</f>
        <v>-2620</v>
      </c>
      <c r="H92" s="731">
        <f t="shared" si="103"/>
        <v>0</v>
      </c>
      <c r="I92" s="695">
        <f t="shared" ref="I92:I97" si="104">H92/G92</f>
        <v>0</v>
      </c>
      <c r="J92" s="687"/>
      <c r="K92" s="738">
        <v>2380</v>
      </c>
      <c r="L92" s="738">
        <v>0</v>
      </c>
      <c r="M92" s="732">
        <f t="shared" ref="M92:M98" si="105">L92/K92</f>
        <v>0</v>
      </c>
      <c r="N92" s="666"/>
      <c r="O92" s="666"/>
      <c r="P92" s="666"/>
      <c r="Q92" s="666"/>
      <c r="R92" s="666"/>
      <c r="S92" s="666"/>
      <c r="T92" s="666"/>
      <c r="U92" s="666"/>
      <c r="V92" s="666"/>
      <c r="W92" s="666"/>
      <c r="X92" s="666"/>
      <c r="Y92" s="667"/>
      <c r="Z92" s="667"/>
    </row>
    <row r="93" spans="1:26" ht="15.75" customHeight="1">
      <c r="A93" s="899"/>
      <c r="B93" s="784" t="s">
        <v>31</v>
      </c>
      <c r="C93" s="785"/>
      <c r="D93" s="785"/>
      <c r="E93" s="758"/>
      <c r="F93" s="687"/>
      <c r="G93" s="731">
        <f t="shared" si="103"/>
        <v>10127</v>
      </c>
      <c r="H93" s="731">
        <f t="shared" si="103"/>
        <v>876</v>
      </c>
      <c r="I93" s="695">
        <f t="shared" si="104"/>
        <v>8.6501431815937599E-2</v>
      </c>
      <c r="J93" s="687"/>
      <c r="K93" s="786">
        <v>10127</v>
      </c>
      <c r="L93" s="786">
        <v>876</v>
      </c>
      <c r="M93" s="742">
        <f t="shared" si="105"/>
        <v>8.6501431815937599E-2</v>
      </c>
      <c r="N93" s="666"/>
      <c r="O93" s="666"/>
      <c r="P93" s="666"/>
      <c r="Q93" s="666"/>
      <c r="R93" s="666"/>
      <c r="S93" s="666"/>
      <c r="T93" s="666"/>
      <c r="U93" s="666"/>
      <c r="V93" s="666"/>
      <c r="W93" s="666"/>
      <c r="X93" s="666"/>
      <c r="Y93" s="667"/>
      <c r="Z93" s="667"/>
    </row>
    <row r="94" spans="1:26" ht="15.75" customHeight="1">
      <c r="A94" s="899"/>
      <c r="B94" s="693" t="s">
        <v>32</v>
      </c>
      <c r="C94" s="739">
        <v>0</v>
      </c>
      <c r="D94" s="740">
        <v>0</v>
      </c>
      <c r="E94" s="698">
        <v>0</v>
      </c>
      <c r="F94" s="687"/>
      <c r="G94" s="731">
        <f t="shared" si="103"/>
        <v>17324</v>
      </c>
      <c r="H94" s="731">
        <f t="shared" si="103"/>
        <v>1089</v>
      </c>
      <c r="I94" s="695">
        <f t="shared" si="104"/>
        <v>6.2860771184483952E-2</v>
      </c>
      <c r="J94" s="687"/>
      <c r="K94" s="741">
        <v>17324</v>
      </c>
      <c r="L94" s="741">
        <v>1089</v>
      </c>
      <c r="M94" s="742">
        <f t="shared" si="105"/>
        <v>6.2860771184483952E-2</v>
      </c>
      <c r="N94" s="666"/>
      <c r="O94" s="666"/>
      <c r="P94" s="666"/>
      <c r="Q94" s="666"/>
      <c r="R94" s="666"/>
      <c r="S94" s="666"/>
      <c r="T94" s="666"/>
      <c r="U94" s="666"/>
      <c r="V94" s="666"/>
      <c r="W94" s="666"/>
      <c r="X94" s="666"/>
      <c r="Y94" s="667"/>
      <c r="Z94" s="667"/>
    </row>
    <row r="95" spans="1:26" ht="15.75" customHeight="1" thickBot="1">
      <c r="A95" s="893"/>
      <c r="B95" s="787" t="s">
        <v>25</v>
      </c>
      <c r="C95" s="788">
        <f t="shared" ref="C95:D95" si="106">SUM(C92:C94)</f>
        <v>5000</v>
      </c>
      <c r="D95" s="788">
        <f t="shared" si="106"/>
        <v>0</v>
      </c>
      <c r="E95" s="707">
        <f t="shared" ref="E95:E98" si="107">D95/C95</f>
        <v>0</v>
      </c>
      <c r="F95" s="702"/>
      <c r="G95" s="706">
        <f t="shared" ref="G95:H95" si="108">SUM(G92:G94)</f>
        <v>24831</v>
      </c>
      <c r="H95" s="789">
        <f t="shared" si="108"/>
        <v>1965</v>
      </c>
      <c r="I95" s="701">
        <f t="shared" si="104"/>
        <v>7.9134952277395185E-2</v>
      </c>
      <c r="J95" s="687"/>
      <c r="K95" s="790">
        <f t="shared" ref="K95:L95" si="109">SUM(K92:K94)</f>
        <v>29831</v>
      </c>
      <c r="L95" s="790">
        <f t="shared" si="109"/>
        <v>1965</v>
      </c>
      <c r="M95" s="791">
        <f t="shared" si="105"/>
        <v>6.5871073715262643E-2</v>
      </c>
      <c r="N95" s="666"/>
      <c r="O95" s="666"/>
      <c r="P95" s="666"/>
      <c r="Q95" s="666"/>
      <c r="R95" s="666"/>
      <c r="S95" s="666"/>
      <c r="T95" s="666"/>
      <c r="U95" s="666"/>
      <c r="V95" s="666"/>
      <c r="W95" s="666"/>
      <c r="X95" s="666"/>
      <c r="Y95" s="667"/>
      <c r="Z95" s="667"/>
    </row>
    <row r="96" spans="1:26" ht="15.75" customHeight="1" thickBot="1">
      <c r="A96" s="900" t="s">
        <v>182</v>
      </c>
      <c r="B96" s="891"/>
      <c r="C96" s="792">
        <f t="shared" ref="C96:D96" si="110">C8+C11+C15+C21+C26+C32+C35+C39+C43+C46+C51+C55+C61+C67+C73+C78+C84+C90+C95</f>
        <v>20263862</v>
      </c>
      <c r="D96" s="792">
        <f t="shared" si="110"/>
        <v>12946598</v>
      </c>
      <c r="E96" s="793">
        <f t="shared" si="107"/>
        <v>0.63890081762301776</v>
      </c>
      <c r="F96" s="673"/>
      <c r="G96" s="792">
        <f t="shared" ref="G96:H96" si="111">G8+G11+G15+G21+G26+G32+G35+G39+G43+G46+G51+G55+G61+G67+G73+G78+G84+G90+G95</f>
        <v>23604002</v>
      </c>
      <c r="H96" s="792">
        <f t="shared" si="111"/>
        <v>19454944</v>
      </c>
      <c r="I96" s="794">
        <f t="shared" si="104"/>
        <v>0.82422226535991649</v>
      </c>
      <c r="J96" s="673"/>
      <c r="K96" s="792">
        <f t="shared" ref="K96:L96" si="112">K8+K11+K15+K21+K26+K32+K35+K39+K43+K46+K51+K55+K61+K67+K73+K78+K84+K90+K95</f>
        <v>43867864</v>
      </c>
      <c r="L96" s="792">
        <f t="shared" si="112"/>
        <v>32401542</v>
      </c>
      <c r="M96" s="795">
        <f t="shared" si="105"/>
        <v>0.738616815261395</v>
      </c>
      <c r="N96" s="666"/>
      <c r="O96" s="666"/>
      <c r="P96" s="666"/>
      <c r="Q96" s="666"/>
      <c r="R96" s="666"/>
      <c r="S96" s="666"/>
      <c r="T96" s="666"/>
      <c r="U96" s="666"/>
      <c r="V96" s="666"/>
      <c r="W96" s="666"/>
      <c r="X96" s="666"/>
      <c r="Y96" s="667"/>
      <c r="Z96" s="667"/>
    </row>
    <row r="97" spans="1:26" ht="15.75" customHeight="1">
      <c r="A97" s="888" t="s">
        <v>183</v>
      </c>
      <c r="B97" s="796" t="s">
        <v>21</v>
      </c>
      <c r="C97" s="797">
        <f>C5+C10+C13+C17+C23+C28+C34+C48+C53+C57+C63+C69+C75+C80+C86+C92</f>
        <v>9059215</v>
      </c>
      <c r="D97" s="797">
        <f>D5+D10+D13+D17+D23+D28+D34+D48+D53+D57+D63+D75+D80+D86+D92</f>
        <v>3185305</v>
      </c>
      <c r="E97" s="794">
        <f t="shared" si="107"/>
        <v>0.35160938337372499</v>
      </c>
      <c r="F97" s="798"/>
      <c r="G97" s="797">
        <f t="shared" ref="G97:H97" si="113">G5+G10+G13+G17+G23+G28+G34+G48+G53+G57+G63+G69+G75+G80+G86+G92</f>
        <v>8267947</v>
      </c>
      <c r="H97" s="799">
        <f t="shared" si="113"/>
        <v>7303757</v>
      </c>
      <c r="I97" s="800">
        <f t="shared" si="104"/>
        <v>0.88338217455917412</v>
      </c>
      <c r="J97" s="801"/>
      <c r="K97" s="797">
        <f t="shared" ref="K97:L97" si="114">K5+K10+K13+K17+K23+K28+K34+K48+K53+K57+K63+K69+K75+K80+K86+K92</f>
        <v>17327162</v>
      </c>
      <c r="L97" s="797">
        <f t="shared" si="114"/>
        <v>11079062</v>
      </c>
      <c r="M97" s="794">
        <f t="shared" si="105"/>
        <v>0.63940430637169554</v>
      </c>
      <c r="N97" s="666"/>
      <c r="O97" s="666"/>
      <c r="P97" s="666"/>
      <c r="Q97" s="666"/>
      <c r="R97" s="666"/>
      <c r="S97" s="666"/>
      <c r="T97" s="666"/>
      <c r="U97" s="666"/>
      <c r="V97" s="666"/>
      <c r="W97" s="666"/>
      <c r="X97" s="666"/>
      <c r="Y97" s="667"/>
      <c r="Z97" s="667"/>
    </row>
    <row r="98" spans="1:26" ht="15.75" customHeight="1">
      <c r="A98" s="899"/>
      <c r="B98" s="802" t="s">
        <v>158</v>
      </c>
      <c r="C98" s="803">
        <f>C14</f>
        <v>8245564</v>
      </c>
      <c r="D98" s="803">
        <f>D14+D69</f>
        <v>7569400</v>
      </c>
      <c r="E98" s="748">
        <f t="shared" si="107"/>
        <v>0.91799663431149159</v>
      </c>
      <c r="F98" s="804"/>
      <c r="G98" s="803">
        <f t="shared" ref="G98:H98" si="115">G14</f>
        <v>0</v>
      </c>
      <c r="H98" s="805">
        <f t="shared" si="115"/>
        <v>0</v>
      </c>
      <c r="I98" s="806">
        <v>0</v>
      </c>
      <c r="J98" s="807"/>
      <c r="K98" s="803">
        <f t="shared" ref="K98:L98" si="116">K14</f>
        <v>8245564</v>
      </c>
      <c r="L98" s="803">
        <f t="shared" si="116"/>
        <v>6979400</v>
      </c>
      <c r="M98" s="748">
        <f t="shared" si="105"/>
        <v>0.84644300862863964</v>
      </c>
      <c r="N98" s="666"/>
      <c r="O98" s="666"/>
      <c r="P98" s="666"/>
      <c r="Q98" s="666"/>
      <c r="R98" s="666"/>
      <c r="S98" s="666"/>
      <c r="T98" s="666"/>
      <c r="U98" s="666"/>
      <c r="V98" s="666"/>
      <c r="W98" s="666"/>
      <c r="X98" s="666"/>
      <c r="Y98" s="667"/>
      <c r="Z98" s="667"/>
    </row>
    <row r="99" spans="1:26" ht="15.75" customHeight="1">
      <c r="A99" s="899"/>
      <c r="B99" s="802" t="s">
        <v>22</v>
      </c>
      <c r="C99" s="803">
        <f t="shared" ref="C99:D99" si="117">C6</f>
        <v>10000</v>
      </c>
      <c r="D99" s="803">
        <f t="shared" si="117"/>
        <v>0</v>
      </c>
      <c r="E99" s="748">
        <v>0</v>
      </c>
      <c r="F99" s="804"/>
      <c r="G99" s="803">
        <f t="shared" ref="G99:H99" si="118">G6</f>
        <v>0</v>
      </c>
      <c r="H99" s="805">
        <f t="shared" si="118"/>
        <v>0</v>
      </c>
      <c r="I99" s="702">
        <v>0</v>
      </c>
      <c r="J99" s="807"/>
      <c r="K99" s="803">
        <f t="shared" ref="K99:L99" si="119">K6</f>
        <v>10000</v>
      </c>
      <c r="L99" s="803">
        <f t="shared" si="119"/>
        <v>0</v>
      </c>
      <c r="M99" s="748">
        <v>0</v>
      </c>
      <c r="N99" s="666"/>
      <c r="O99" s="666"/>
      <c r="P99" s="666"/>
      <c r="Q99" s="666"/>
      <c r="R99" s="666"/>
      <c r="S99" s="666"/>
      <c r="T99" s="666"/>
      <c r="U99" s="666"/>
      <c r="V99" s="666"/>
      <c r="W99" s="666"/>
      <c r="X99" s="666"/>
      <c r="Y99" s="667"/>
      <c r="Z99" s="667"/>
    </row>
    <row r="100" spans="1:26" ht="15.75" customHeight="1">
      <c r="A100" s="899"/>
      <c r="B100" s="802" t="s">
        <v>28</v>
      </c>
      <c r="C100" s="803">
        <f t="shared" ref="C100:D100" si="120">C18+C24+C29+C49+C58+C64+C70+C76+C81+C87</f>
        <v>97424</v>
      </c>
      <c r="D100" s="803">
        <f t="shared" si="120"/>
        <v>97473</v>
      </c>
      <c r="E100" s="748">
        <f t="shared" ref="E100:E104" si="121">D100/C100</f>
        <v>1.0005029561504353</v>
      </c>
      <c r="F100" s="804"/>
      <c r="G100" s="803">
        <f t="shared" ref="G100:H100" si="122">G18+G24+G29+G49+G58+G64+G70+G76+G81+G87</f>
        <v>304095</v>
      </c>
      <c r="H100" s="805">
        <f t="shared" si="122"/>
        <v>278717</v>
      </c>
      <c r="I100" s="806">
        <f t="shared" ref="I100:I104" si="123">H100/G100</f>
        <v>0.91654581627451948</v>
      </c>
      <c r="J100" s="807"/>
      <c r="K100" s="803">
        <f t="shared" ref="K100:L100" si="124">K18+K24+K29+K49+K58+K64+K70+K76+K81+K87</f>
        <v>401519</v>
      </c>
      <c r="L100" s="803">
        <f t="shared" si="124"/>
        <v>376190</v>
      </c>
      <c r="M100" s="748">
        <f t="shared" ref="M100:M104" si="125">L100/K100</f>
        <v>0.93691705747424159</v>
      </c>
      <c r="N100" s="666"/>
      <c r="O100" s="666"/>
      <c r="P100" s="666"/>
      <c r="Q100" s="666"/>
      <c r="R100" s="666"/>
      <c r="S100" s="666"/>
      <c r="T100" s="666"/>
      <c r="U100" s="666"/>
      <c r="V100" s="666"/>
      <c r="W100" s="666"/>
      <c r="X100" s="666"/>
      <c r="Y100" s="667"/>
      <c r="Z100" s="667"/>
    </row>
    <row r="101" spans="1:26" ht="15.75" customHeight="1">
      <c r="A101" s="899"/>
      <c r="B101" s="802" t="s">
        <v>31</v>
      </c>
      <c r="C101" s="803">
        <f t="shared" ref="C101:D101" si="126">C19+C25+C30+C59+C65+C71+C77+C82+C88+C93</f>
        <v>424606</v>
      </c>
      <c r="D101" s="803">
        <f t="shared" si="126"/>
        <v>362356</v>
      </c>
      <c r="E101" s="748">
        <f t="shared" si="121"/>
        <v>0.85339349891428762</v>
      </c>
      <c r="F101" s="804"/>
      <c r="G101" s="803">
        <f t="shared" ref="G101:H101" si="127">G19+G25+G30+G59+G65+G71+G77+G82+G88+G93</f>
        <v>426241</v>
      </c>
      <c r="H101" s="805">
        <f t="shared" si="127"/>
        <v>403170</v>
      </c>
      <c r="I101" s="806">
        <f t="shared" si="123"/>
        <v>0.94587334395330336</v>
      </c>
      <c r="J101" s="807"/>
      <c r="K101" s="803">
        <f t="shared" ref="K101:L101" si="128">K19+K25+K30+K59+K65+K71+K77+K82+K88+K93</f>
        <v>850847</v>
      </c>
      <c r="L101" s="803">
        <f t="shared" si="128"/>
        <v>765526</v>
      </c>
      <c r="M101" s="748">
        <f t="shared" si="125"/>
        <v>0.89972227674305716</v>
      </c>
      <c r="N101" s="666"/>
      <c r="O101" s="666"/>
      <c r="P101" s="666"/>
      <c r="Q101" s="666"/>
      <c r="R101" s="666"/>
      <c r="S101" s="666"/>
      <c r="T101" s="666"/>
      <c r="U101" s="666"/>
      <c r="V101" s="666"/>
      <c r="W101" s="666"/>
      <c r="X101" s="666"/>
      <c r="Y101" s="667"/>
      <c r="Z101" s="667"/>
    </row>
    <row r="102" spans="1:26" ht="15.75" customHeight="1">
      <c r="A102" s="899"/>
      <c r="B102" s="802" t="s">
        <v>40</v>
      </c>
      <c r="C102" s="803">
        <f t="shared" ref="C102:D102" si="129">C37+C41+C7</f>
        <v>808538</v>
      </c>
      <c r="D102" s="803">
        <f t="shared" si="129"/>
        <v>631552</v>
      </c>
      <c r="E102" s="748">
        <f t="shared" si="121"/>
        <v>0.78110367107050005</v>
      </c>
      <c r="F102" s="804"/>
      <c r="G102" s="803">
        <f t="shared" ref="G102:H102" si="130">G37+G41+G7</f>
        <v>1290546</v>
      </c>
      <c r="H102" s="805">
        <f t="shared" si="130"/>
        <v>680352</v>
      </c>
      <c r="I102" s="806">
        <f t="shared" si="123"/>
        <v>0.52718151852006823</v>
      </c>
      <c r="J102" s="807"/>
      <c r="K102" s="803">
        <f t="shared" ref="K102:L102" si="131">K37+K41+K7</f>
        <v>2099084</v>
      </c>
      <c r="L102" s="803">
        <f t="shared" si="131"/>
        <v>1311904</v>
      </c>
      <c r="M102" s="748">
        <f t="shared" si="125"/>
        <v>0.62498880464050033</v>
      </c>
      <c r="N102" s="666"/>
      <c r="O102" s="666"/>
      <c r="P102" s="666"/>
      <c r="Q102" s="666"/>
      <c r="R102" s="666"/>
      <c r="S102" s="666"/>
      <c r="T102" s="666"/>
      <c r="U102" s="666"/>
      <c r="V102" s="666"/>
      <c r="W102" s="666"/>
      <c r="X102" s="666"/>
      <c r="Y102" s="667"/>
      <c r="Z102" s="667"/>
    </row>
    <row r="103" spans="1:26" ht="15.75" customHeight="1" thickBot="1">
      <c r="A103" s="899"/>
      <c r="B103" s="808" t="s">
        <v>32</v>
      </c>
      <c r="C103" s="809">
        <f t="shared" ref="C103:D103" si="132">C20+C31++C38+C42+C45+C50+C54+C60+C66+C72+C83+C89+C94</f>
        <v>1618515</v>
      </c>
      <c r="D103" s="809">
        <f t="shared" si="132"/>
        <v>1100512</v>
      </c>
      <c r="E103" s="791">
        <f t="shared" si="121"/>
        <v>0.67995168410549178</v>
      </c>
      <c r="F103" s="810"/>
      <c r="G103" s="809">
        <f t="shared" ref="G103:H103" si="133">G20+G31++G38+G42+G45+G50+G54+G60+G66+G72+G83+G89+G94</f>
        <v>13315173</v>
      </c>
      <c r="H103" s="790">
        <f t="shared" si="133"/>
        <v>10788948</v>
      </c>
      <c r="I103" s="707">
        <f t="shared" si="123"/>
        <v>0.810274714417905</v>
      </c>
      <c r="J103" s="811"/>
      <c r="K103" s="809">
        <f t="shared" ref="K103:L103" si="134">K20+K31++K38+K42+K45+K50+K54+K60+K66+K72+K83+K89+K94</f>
        <v>14933688</v>
      </c>
      <c r="L103" s="809">
        <f t="shared" si="134"/>
        <v>11889460</v>
      </c>
      <c r="M103" s="791">
        <f t="shared" si="125"/>
        <v>0.79615028785923481</v>
      </c>
      <c r="N103" s="666"/>
      <c r="O103" s="666"/>
      <c r="P103" s="666"/>
      <c r="Q103" s="666"/>
      <c r="R103" s="666"/>
      <c r="S103" s="666"/>
      <c r="T103" s="666"/>
      <c r="U103" s="666"/>
      <c r="V103" s="666"/>
      <c r="W103" s="666"/>
      <c r="X103" s="666"/>
      <c r="Y103" s="667"/>
      <c r="Z103" s="667"/>
    </row>
    <row r="104" spans="1:26" ht="15.75" customHeight="1" thickBot="1">
      <c r="A104" s="889"/>
      <c r="B104" s="812" t="s">
        <v>25</v>
      </c>
      <c r="C104" s="813">
        <f t="shared" ref="C104:D104" si="135">C97+C98+C99+C100+C101+C102+C103</f>
        <v>20263862</v>
      </c>
      <c r="D104" s="813">
        <f t="shared" si="135"/>
        <v>12946598</v>
      </c>
      <c r="E104" s="795">
        <f t="shared" si="121"/>
        <v>0.63890081762301776</v>
      </c>
      <c r="F104" s="814"/>
      <c r="G104" s="813">
        <f t="shared" ref="G104:H104" si="136">G97+G98+G99+G100+G101+G102+G103</f>
        <v>23604002</v>
      </c>
      <c r="H104" s="813">
        <f t="shared" si="136"/>
        <v>19454944</v>
      </c>
      <c r="I104" s="815">
        <f t="shared" si="123"/>
        <v>0.82422226535991649</v>
      </c>
      <c r="J104" s="816"/>
      <c r="K104" s="813">
        <f t="shared" ref="K104:L104" si="137">K97+K98+K99+K100+K101+K102+K103</f>
        <v>43867864</v>
      </c>
      <c r="L104" s="813">
        <f t="shared" si="137"/>
        <v>32401542</v>
      </c>
      <c r="M104" s="795">
        <f t="shared" si="125"/>
        <v>0.738616815261395</v>
      </c>
      <c r="N104" s="666"/>
      <c r="O104" s="666"/>
      <c r="P104" s="666"/>
      <c r="Q104" s="666"/>
      <c r="R104" s="666"/>
      <c r="S104" s="666"/>
      <c r="T104" s="666"/>
      <c r="U104" s="666"/>
      <c r="V104" s="666"/>
      <c r="W104" s="666"/>
      <c r="X104" s="666"/>
      <c r="Y104" s="667"/>
      <c r="Z104" s="667"/>
    </row>
    <row r="105" spans="1:26" ht="7.5" customHeight="1" thickBot="1">
      <c r="A105" s="894"/>
      <c r="B105" s="895"/>
      <c r="C105" s="895"/>
      <c r="D105" s="895"/>
      <c r="E105" s="891"/>
      <c r="F105" s="817"/>
      <c r="G105" s="901"/>
      <c r="H105" s="895"/>
      <c r="I105" s="895"/>
      <c r="J105" s="673"/>
      <c r="K105" s="708"/>
      <c r="L105" s="709"/>
      <c r="M105" s="818"/>
      <c r="N105" s="666"/>
      <c r="O105" s="666"/>
      <c r="P105" s="666"/>
      <c r="Q105" s="666"/>
      <c r="R105" s="666"/>
      <c r="S105" s="666"/>
      <c r="T105" s="666"/>
      <c r="U105" s="666"/>
      <c r="V105" s="666"/>
      <c r="W105" s="666"/>
      <c r="X105" s="666"/>
      <c r="Y105" s="667"/>
      <c r="Z105" s="667"/>
    </row>
    <row r="106" spans="1:26" ht="15.75" customHeight="1">
      <c r="A106" s="902">
        <v>1500</v>
      </c>
      <c r="B106" s="784" t="s">
        <v>29</v>
      </c>
      <c r="C106" s="784">
        <f>5503460+4376948</f>
        <v>9880408</v>
      </c>
      <c r="D106" s="819">
        <f>2999129+3200000</f>
        <v>6199129</v>
      </c>
      <c r="E106" s="820">
        <f t="shared" ref="E106:E107" si="138">D106/C106</f>
        <v>0.62741629697882917</v>
      </c>
      <c r="F106" s="821"/>
      <c r="G106" s="684">
        <f t="shared" ref="G106:H106" si="139">K106-C106</f>
        <v>10000</v>
      </c>
      <c r="H106" s="684">
        <f t="shared" si="139"/>
        <v>17064</v>
      </c>
      <c r="I106" s="822">
        <f t="shared" ref="I106:I116" si="140">H106/G106</f>
        <v>1.7063999999999999</v>
      </c>
      <c r="J106" s="821"/>
      <c r="K106" s="684">
        <v>9890408</v>
      </c>
      <c r="L106" s="777">
        <v>6216193</v>
      </c>
      <c r="M106" s="692">
        <f t="shared" ref="M106:M110" si="141">L106/K106</f>
        <v>0.62850723650632001</v>
      </c>
      <c r="N106" s="666"/>
      <c r="O106" s="666"/>
      <c r="P106" s="666"/>
      <c r="Q106" s="666"/>
      <c r="R106" s="666"/>
      <c r="S106" s="666"/>
      <c r="T106" s="666"/>
      <c r="U106" s="666"/>
      <c r="V106" s="666"/>
      <c r="W106" s="666"/>
      <c r="X106" s="666"/>
      <c r="Y106" s="667"/>
      <c r="Z106" s="667"/>
    </row>
    <row r="107" spans="1:26" ht="15.75" customHeight="1">
      <c r="A107" s="893"/>
      <c r="B107" s="802" t="s">
        <v>25</v>
      </c>
      <c r="C107" s="802">
        <f t="shared" ref="C107:D107" si="142">SUM(C106)</f>
        <v>9880408</v>
      </c>
      <c r="D107" s="823">
        <f t="shared" si="142"/>
        <v>6199129</v>
      </c>
      <c r="E107" s="824">
        <f t="shared" si="138"/>
        <v>0.62741629697882917</v>
      </c>
      <c r="F107" s="804"/>
      <c r="G107" s="802">
        <f t="shared" ref="G107:H107" si="143">SUM(G106)</f>
        <v>10000</v>
      </c>
      <c r="H107" s="802">
        <f t="shared" si="143"/>
        <v>17064</v>
      </c>
      <c r="I107" s="824">
        <f t="shared" si="140"/>
        <v>1.7063999999999999</v>
      </c>
      <c r="J107" s="804"/>
      <c r="K107" s="802">
        <f t="shared" ref="K107:L107" si="144">SUM(K106)</f>
        <v>9890408</v>
      </c>
      <c r="L107" s="823">
        <f t="shared" si="144"/>
        <v>6216193</v>
      </c>
      <c r="M107" s="806">
        <f t="shared" si="141"/>
        <v>0.62850723650632001</v>
      </c>
      <c r="N107" s="666"/>
      <c r="O107" s="666"/>
      <c r="P107" s="666"/>
      <c r="Q107" s="666"/>
      <c r="R107" s="666"/>
      <c r="S107" s="666"/>
      <c r="T107" s="666"/>
      <c r="U107" s="666"/>
      <c r="V107" s="666"/>
      <c r="W107" s="666"/>
      <c r="X107" s="666"/>
      <c r="Y107" s="667"/>
      <c r="Z107" s="667"/>
    </row>
    <row r="108" spans="1:26" ht="15.75" customHeight="1">
      <c r="A108" s="892">
        <v>1600</v>
      </c>
      <c r="B108" s="693" t="s">
        <v>29</v>
      </c>
      <c r="C108" s="825">
        <v>0</v>
      </c>
      <c r="D108" s="826">
        <v>0</v>
      </c>
      <c r="E108" s="827">
        <v>0</v>
      </c>
      <c r="F108" s="828"/>
      <c r="G108" s="693">
        <f t="shared" ref="G108:H108" si="145">K108-C108</f>
        <v>13417786</v>
      </c>
      <c r="H108" s="693">
        <f t="shared" si="145"/>
        <v>3114207</v>
      </c>
      <c r="I108" s="829">
        <f t="shared" si="140"/>
        <v>0.23209544406208296</v>
      </c>
      <c r="J108" s="828"/>
      <c r="K108" s="743">
        <v>13417786</v>
      </c>
      <c r="L108" s="779">
        <v>3114207</v>
      </c>
      <c r="M108" s="698">
        <f t="shared" si="141"/>
        <v>0.23209544406208296</v>
      </c>
      <c r="N108" s="666"/>
      <c r="O108" s="666"/>
      <c r="P108" s="666"/>
      <c r="Q108" s="666"/>
      <c r="R108" s="666"/>
      <c r="S108" s="666"/>
      <c r="T108" s="666"/>
      <c r="U108" s="666"/>
      <c r="V108" s="666"/>
      <c r="W108" s="666"/>
      <c r="X108" s="666"/>
      <c r="Y108" s="667"/>
      <c r="Z108" s="667"/>
    </row>
    <row r="109" spans="1:26" ht="17.25" customHeight="1">
      <c r="A109" s="893"/>
      <c r="B109" s="802" t="s">
        <v>25</v>
      </c>
      <c r="C109" s="830">
        <f t="shared" ref="C109:D109" si="146">SUM(C108)</f>
        <v>0</v>
      </c>
      <c r="D109" s="830">
        <f t="shared" si="146"/>
        <v>0</v>
      </c>
      <c r="E109" s="831">
        <v>0</v>
      </c>
      <c r="F109" s="804"/>
      <c r="G109" s="802">
        <f t="shared" ref="G109:H109" si="147">SUM(G108)</f>
        <v>13417786</v>
      </c>
      <c r="H109" s="802">
        <f t="shared" si="147"/>
        <v>3114207</v>
      </c>
      <c r="I109" s="824">
        <f t="shared" si="140"/>
        <v>0.23209544406208296</v>
      </c>
      <c r="J109" s="804"/>
      <c r="K109" s="802">
        <f t="shared" ref="K109:L109" si="148">SUM(K108)</f>
        <v>13417786</v>
      </c>
      <c r="L109" s="823">
        <f t="shared" si="148"/>
        <v>3114207</v>
      </c>
      <c r="M109" s="806">
        <f t="shared" si="141"/>
        <v>0.23209544406208296</v>
      </c>
      <c r="N109" s="666"/>
      <c r="O109" s="666"/>
      <c r="P109" s="666"/>
      <c r="Q109" s="666"/>
      <c r="R109" s="666"/>
      <c r="S109" s="666"/>
      <c r="T109" s="666"/>
      <c r="U109" s="666"/>
      <c r="V109" s="666"/>
      <c r="W109" s="666"/>
      <c r="X109" s="666"/>
      <c r="Y109" s="667"/>
      <c r="Z109" s="667"/>
    </row>
    <row r="110" spans="1:26" ht="16.5" customHeight="1">
      <c r="A110" s="892">
        <v>2100</v>
      </c>
      <c r="B110" s="693" t="s">
        <v>204</v>
      </c>
      <c r="C110" s="825">
        <v>0</v>
      </c>
      <c r="D110" s="826">
        <v>0</v>
      </c>
      <c r="E110" s="827">
        <v>0</v>
      </c>
      <c r="F110" s="828"/>
      <c r="G110" s="693">
        <f t="shared" ref="G110:H110" si="149">K110-C110</f>
        <v>7359242</v>
      </c>
      <c r="H110" s="693">
        <f t="shared" si="149"/>
        <v>9501915</v>
      </c>
      <c r="I110" s="829">
        <f t="shared" si="140"/>
        <v>1.291154034613891</v>
      </c>
      <c r="J110" s="828"/>
      <c r="K110" s="743">
        <v>7359242</v>
      </c>
      <c r="L110" s="779">
        <v>9501915</v>
      </c>
      <c r="M110" s="698">
        <f t="shared" si="141"/>
        <v>1.291154034613891</v>
      </c>
      <c r="N110" s="666"/>
      <c r="O110" s="666"/>
      <c r="P110" s="666"/>
      <c r="Q110" s="666"/>
      <c r="R110" s="666"/>
      <c r="S110" s="666"/>
      <c r="T110" s="666"/>
      <c r="U110" s="666"/>
      <c r="V110" s="666"/>
      <c r="W110" s="666"/>
      <c r="X110" s="666"/>
      <c r="Y110" s="667"/>
      <c r="Z110" s="667"/>
    </row>
    <row r="111" spans="1:26" ht="15" customHeight="1">
      <c r="A111" s="893"/>
      <c r="B111" s="802" t="s">
        <v>25</v>
      </c>
      <c r="C111" s="832">
        <f t="shared" ref="C111:D111" si="150">SUM(C110)</f>
        <v>0</v>
      </c>
      <c r="D111" s="832">
        <f t="shared" si="150"/>
        <v>0</v>
      </c>
      <c r="E111" s="831">
        <v>0</v>
      </c>
      <c r="F111" s="828"/>
      <c r="G111" s="802">
        <f t="shared" ref="G111:H111" si="151">SUM(G110)</f>
        <v>7359242</v>
      </c>
      <c r="H111" s="802">
        <f t="shared" si="151"/>
        <v>9501915</v>
      </c>
      <c r="I111" s="824">
        <f t="shared" si="140"/>
        <v>1.291154034613891</v>
      </c>
      <c r="J111" s="828"/>
      <c r="K111" s="833">
        <f t="shared" ref="K111:L111" si="152">SUM(K110)</f>
        <v>7359242</v>
      </c>
      <c r="L111" s="833">
        <f t="shared" si="152"/>
        <v>9501915</v>
      </c>
      <c r="M111" s="824">
        <v>0</v>
      </c>
      <c r="N111" s="666"/>
      <c r="O111" s="666"/>
      <c r="P111" s="666"/>
      <c r="Q111" s="666"/>
      <c r="R111" s="666"/>
      <c r="S111" s="666"/>
      <c r="T111" s="666"/>
      <c r="U111" s="666"/>
      <c r="V111" s="666"/>
      <c r="W111" s="666"/>
      <c r="X111" s="666"/>
      <c r="Y111" s="667"/>
      <c r="Z111" s="667"/>
    </row>
    <row r="112" spans="1:26" ht="16.5" customHeight="1">
      <c r="A112" s="892">
        <v>3300</v>
      </c>
      <c r="B112" s="693" t="s">
        <v>29</v>
      </c>
      <c r="C112" s="825">
        <v>0</v>
      </c>
      <c r="D112" s="826">
        <v>0</v>
      </c>
      <c r="E112" s="827">
        <v>0</v>
      </c>
      <c r="F112" s="828"/>
      <c r="G112" s="693">
        <f t="shared" ref="G112:H112" si="153">K112-C112</f>
        <v>1</v>
      </c>
      <c r="H112" s="693">
        <f t="shared" si="153"/>
        <v>0</v>
      </c>
      <c r="I112" s="829">
        <f t="shared" si="140"/>
        <v>0</v>
      </c>
      <c r="J112" s="828"/>
      <c r="K112" s="743">
        <v>1</v>
      </c>
      <c r="L112" s="779">
        <v>0</v>
      </c>
      <c r="M112" s="698">
        <f t="shared" ref="M112:M116" si="154">L112/K112</f>
        <v>0</v>
      </c>
      <c r="N112" s="666"/>
      <c r="O112" s="666"/>
      <c r="P112" s="666"/>
      <c r="Q112" s="666"/>
      <c r="R112" s="666"/>
      <c r="S112" s="666"/>
      <c r="T112" s="666"/>
      <c r="U112" s="666"/>
      <c r="V112" s="666"/>
      <c r="W112" s="666"/>
      <c r="X112" s="666"/>
      <c r="Y112" s="667"/>
      <c r="Z112" s="667"/>
    </row>
    <row r="113" spans="1:26" ht="15" customHeight="1">
      <c r="A113" s="893"/>
      <c r="B113" s="802" t="s">
        <v>25</v>
      </c>
      <c r="C113" s="830">
        <f t="shared" ref="C113:D113" si="155">SUM(C112)</f>
        <v>0</v>
      </c>
      <c r="D113" s="830">
        <f t="shared" si="155"/>
        <v>0</v>
      </c>
      <c r="E113" s="831">
        <v>0</v>
      </c>
      <c r="F113" s="804"/>
      <c r="G113" s="802">
        <f t="shared" ref="G113:H113" si="156">SUM(G112)</f>
        <v>1</v>
      </c>
      <c r="H113" s="802">
        <f t="shared" si="156"/>
        <v>0</v>
      </c>
      <c r="I113" s="829">
        <f t="shared" si="140"/>
        <v>0</v>
      </c>
      <c r="J113" s="804"/>
      <c r="K113" s="802">
        <f t="shared" ref="K113:L113" si="157">SUM(K112)</f>
        <v>1</v>
      </c>
      <c r="L113" s="823">
        <f t="shared" si="157"/>
        <v>0</v>
      </c>
      <c r="M113" s="698">
        <f t="shared" si="154"/>
        <v>0</v>
      </c>
      <c r="N113" s="666"/>
      <c r="O113" s="666"/>
      <c r="P113" s="666"/>
      <c r="Q113" s="666"/>
      <c r="R113" s="666"/>
      <c r="S113" s="666"/>
      <c r="T113" s="666"/>
      <c r="U113" s="666"/>
      <c r="V113" s="666"/>
      <c r="W113" s="666"/>
      <c r="X113" s="666"/>
      <c r="Y113" s="667"/>
      <c r="Z113" s="667"/>
    </row>
    <row r="114" spans="1:26" ht="15" customHeight="1">
      <c r="A114" s="892">
        <v>4200</v>
      </c>
      <c r="B114" s="693" t="s">
        <v>29</v>
      </c>
      <c r="C114" s="825">
        <v>0</v>
      </c>
      <c r="D114" s="826">
        <v>0</v>
      </c>
      <c r="E114" s="827">
        <v>0</v>
      </c>
      <c r="F114" s="828"/>
      <c r="G114" s="693">
        <f t="shared" ref="G114:H114" si="158">K114-C114</f>
        <v>4500</v>
      </c>
      <c r="H114" s="693">
        <f t="shared" si="158"/>
        <v>647</v>
      </c>
      <c r="I114" s="829">
        <f t="shared" si="140"/>
        <v>0.14377777777777778</v>
      </c>
      <c r="J114" s="828"/>
      <c r="K114" s="743">
        <v>4500</v>
      </c>
      <c r="L114" s="779">
        <v>647</v>
      </c>
      <c r="M114" s="698">
        <f t="shared" si="154"/>
        <v>0.14377777777777778</v>
      </c>
      <c r="N114" s="666"/>
      <c r="O114" s="666"/>
      <c r="P114" s="666"/>
      <c r="Q114" s="666"/>
      <c r="R114" s="666"/>
      <c r="S114" s="666"/>
      <c r="T114" s="666"/>
      <c r="U114" s="666"/>
      <c r="V114" s="666"/>
      <c r="W114" s="666"/>
      <c r="X114" s="666"/>
      <c r="Y114" s="667"/>
      <c r="Z114" s="667"/>
    </row>
    <row r="115" spans="1:26" ht="16.5" customHeight="1" thickBot="1">
      <c r="A115" s="893"/>
      <c r="B115" s="700" t="s">
        <v>25</v>
      </c>
      <c r="C115" s="834">
        <f t="shared" ref="C115:D115" si="159">SUM(C114)</f>
        <v>0</v>
      </c>
      <c r="D115" s="834">
        <f t="shared" si="159"/>
        <v>0</v>
      </c>
      <c r="E115" s="835">
        <v>0</v>
      </c>
      <c r="F115" s="810"/>
      <c r="G115" s="700">
        <f t="shared" ref="G115:H115" si="160">SUM(G114)</f>
        <v>4500</v>
      </c>
      <c r="H115" s="700">
        <f t="shared" si="160"/>
        <v>647</v>
      </c>
      <c r="I115" s="836">
        <f t="shared" si="140"/>
        <v>0.14377777777777778</v>
      </c>
      <c r="J115" s="804"/>
      <c r="K115" s="700">
        <f t="shared" ref="K115:L115" si="161">SUM(K114)</f>
        <v>4500</v>
      </c>
      <c r="L115" s="783">
        <f t="shared" si="161"/>
        <v>647</v>
      </c>
      <c r="M115" s="837">
        <f t="shared" si="154"/>
        <v>0.14377777777777778</v>
      </c>
      <c r="N115" s="666"/>
      <c r="O115" s="666"/>
      <c r="P115" s="666"/>
      <c r="Q115" s="666"/>
      <c r="R115" s="666"/>
      <c r="S115" s="666"/>
      <c r="T115" s="666"/>
      <c r="U115" s="666"/>
      <c r="V115" s="666"/>
      <c r="W115" s="666"/>
      <c r="X115" s="666"/>
      <c r="Y115" s="667"/>
      <c r="Z115" s="667"/>
    </row>
    <row r="116" spans="1:26" ht="17.25" customHeight="1" thickBot="1">
      <c r="A116" s="838"/>
      <c r="B116" s="839" t="s">
        <v>120</v>
      </c>
      <c r="C116" s="840">
        <f t="shared" ref="C116:D116" si="162">C107+C109+C113+C115</f>
        <v>9880408</v>
      </c>
      <c r="D116" s="840">
        <f t="shared" si="162"/>
        <v>6199129</v>
      </c>
      <c r="E116" s="841">
        <f>D116/C116</f>
        <v>0.62741629697882917</v>
      </c>
      <c r="F116" s="814"/>
      <c r="G116" s="840">
        <f t="shared" ref="G116:H116" si="163">G107+G109+G111+G113+G115</f>
        <v>20791529</v>
      </c>
      <c r="H116" s="840">
        <f t="shared" si="163"/>
        <v>12633833</v>
      </c>
      <c r="I116" s="841">
        <f t="shared" si="140"/>
        <v>0.60764328587859029</v>
      </c>
      <c r="J116" s="842"/>
      <c r="K116" s="840">
        <f t="shared" ref="K116:L116" si="164">K107+K109+K111+K113+K115</f>
        <v>30671937</v>
      </c>
      <c r="L116" s="840">
        <f t="shared" si="164"/>
        <v>18832962</v>
      </c>
      <c r="M116" s="843">
        <f t="shared" si="154"/>
        <v>0.61401280264757974</v>
      </c>
      <c r="N116" s="666"/>
      <c r="O116" s="666"/>
      <c r="P116" s="666"/>
      <c r="Q116" s="666"/>
      <c r="R116" s="666"/>
      <c r="S116" s="666"/>
      <c r="T116" s="666"/>
      <c r="U116" s="666"/>
      <c r="V116" s="666"/>
      <c r="W116" s="666"/>
      <c r="X116" s="666"/>
      <c r="Y116" s="667"/>
      <c r="Z116" s="667"/>
    </row>
    <row r="117" spans="1:26" ht="6.75" customHeight="1" thickBot="1">
      <c r="A117" s="894"/>
      <c r="B117" s="895"/>
      <c r="C117" s="895"/>
      <c r="D117" s="895"/>
      <c r="E117" s="895"/>
      <c r="F117" s="673"/>
      <c r="G117" s="896"/>
      <c r="H117" s="897"/>
      <c r="I117" s="897"/>
      <c r="J117" s="673"/>
      <c r="K117" s="708"/>
      <c r="L117" s="709"/>
      <c r="M117" s="844"/>
      <c r="N117" s="666"/>
      <c r="O117" s="666"/>
      <c r="P117" s="666"/>
      <c r="Q117" s="666"/>
      <c r="R117" s="666"/>
      <c r="S117" s="666"/>
      <c r="T117" s="666"/>
      <c r="U117" s="666"/>
      <c r="V117" s="666"/>
      <c r="W117" s="666"/>
      <c r="X117" s="666"/>
      <c r="Y117" s="667"/>
      <c r="Z117" s="667"/>
    </row>
    <row r="118" spans="1:26" ht="13.5" customHeight="1" thickBot="1">
      <c r="A118" s="845" t="s">
        <v>23</v>
      </c>
      <c r="B118" s="846" t="s">
        <v>7</v>
      </c>
      <c r="C118" s="847" t="s">
        <v>196</v>
      </c>
      <c r="D118" s="847" t="s">
        <v>149</v>
      </c>
      <c r="E118" s="846" t="s">
        <v>150</v>
      </c>
      <c r="F118" s="848"/>
      <c r="G118" s="849"/>
      <c r="H118" s="850"/>
      <c r="I118" s="851"/>
      <c r="J118" s="852"/>
      <c r="K118" s="853"/>
      <c r="L118" s="854"/>
      <c r="M118" s="855"/>
      <c r="N118" s="666"/>
      <c r="O118" s="666"/>
      <c r="P118" s="666"/>
      <c r="Q118" s="666"/>
      <c r="R118" s="666"/>
      <c r="S118" s="666"/>
      <c r="T118" s="666"/>
      <c r="U118" s="666"/>
      <c r="V118" s="666"/>
      <c r="W118" s="666"/>
      <c r="X118" s="666"/>
      <c r="Y118" s="667"/>
      <c r="Z118" s="667"/>
    </row>
    <row r="119" spans="1:26" ht="17.25" customHeight="1" thickBot="1">
      <c r="A119" s="888">
        <v>3000</v>
      </c>
      <c r="B119" s="856" t="s">
        <v>23</v>
      </c>
      <c r="C119" s="684">
        <v>1093000</v>
      </c>
      <c r="D119" s="777">
        <v>0</v>
      </c>
      <c r="E119" s="820">
        <f t="shared" ref="E119:E123" si="165">D119/C119</f>
        <v>0</v>
      </c>
      <c r="F119" s="687"/>
      <c r="G119" s="857"/>
      <c r="H119" s="857"/>
      <c r="I119" s="858"/>
      <c r="J119" s="699"/>
      <c r="K119" s="840" t="s">
        <v>196</v>
      </c>
      <c r="L119" s="840" t="s">
        <v>152</v>
      </c>
      <c r="M119" s="847" t="s">
        <v>150</v>
      </c>
      <c r="N119" s="666"/>
      <c r="O119" s="666"/>
      <c r="P119" s="666"/>
      <c r="Q119" s="666"/>
      <c r="R119" s="666"/>
      <c r="S119" s="666"/>
      <c r="T119" s="666"/>
      <c r="U119" s="666"/>
      <c r="V119" s="666"/>
      <c r="W119" s="666"/>
      <c r="X119" s="666"/>
      <c r="Y119" s="667"/>
      <c r="Z119" s="667"/>
    </row>
    <row r="120" spans="1:26" ht="15" customHeight="1" thickBot="1">
      <c r="A120" s="889"/>
      <c r="B120" s="859" t="s">
        <v>25</v>
      </c>
      <c r="C120" s="802">
        <f t="shared" ref="C120:D120" si="166">SUM(C119)</f>
        <v>1093000</v>
      </c>
      <c r="D120" s="823">
        <f t="shared" si="166"/>
        <v>0</v>
      </c>
      <c r="E120" s="824">
        <f t="shared" si="165"/>
        <v>0</v>
      </c>
      <c r="F120" s="702"/>
      <c r="G120" s="860" t="s">
        <v>211</v>
      </c>
      <c r="H120" s="796"/>
      <c r="I120" s="861"/>
      <c r="J120" s="699"/>
      <c r="K120" s="862">
        <f t="shared" ref="K120:L120" si="167">K104+K116+C123</f>
        <v>82387642</v>
      </c>
      <c r="L120" s="862">
        <f t="shared" si="167"/>
        <v>51234504</v>
      </c>
      <c r="M120" s="843">
        <f t="shared" ref="M120:M122" si="168">L120/K120</f>
        <v>0.62187122675509998</v>
      </c>
      <c r="N120" s="666"/>
      <c r="O120" s="666"/>
      <c r="P120" s="666"/>
      <c r="Q120" s="666"/>
      <c r="R120" s="666"/>
      <c r="S120" s="666"/>
      <c r="T120" s="666"/>
      <c r="U120" s="666"/>
      <c r="V120" s="666"/>
      <c r="W120" s="666"/>
      <c r="X120" s="666"/>
      <c r="Y120" s="667"/>
      <c r="Z120" s="667"/>
    </row>
    <row r="121" spans="1:26" ht="14.25" customHeight="1" thickBot="1">
      <c r="A121" s="888">
        <v>3600</v>
      </c>
      <c r="B121" s="863" t="s">
        <v>23</v>
      </c>
      <c r="C121" s="693">
        <v>6754841</v>
      </c>
      <c r="D121" s="779">
        <v>0</v>
      </c>
      <c r="E121" s="829">
        <f t="shared" si="165"/>
        <v>0</v>
      </c>
      <c r="F121" s="687"/>
      <c r="G121" s="666"/>
      <c r="H121" s="890" t="s">
        <v>205</v>
      </c>
      <c r="I121" s="891"/>
      <c r="J121" s="864"/>
      <c r="K121" s="840">
        <f t="shared" ref="K121:L121" si="169">K111</f>
        <v>7359242</v>
      </c>
      <c r="L121" s="840">
        <f t="shared" si="169"/>
        <v>9501915</v>
      </c>
      <c r="M121" s="843">
        <f t="shared" si="168"/>
        <v>1.291154034613891</v>
      </c>
      <c r="N121" s="666"/>
      <c r="O121" s="666"/>
      <c r="P121" s="666"/>
      <c r="Q121" s="666"/>
      <c r="R121" s="666"/>
      <c r="S121" s="666"/>
      <c r="T121" s="666"/>
      <c r="U121" s="666"/>
      <c r="V121" s="666"/>
      <c r="W121" s="666"/>
      <c r="X121" s="666"/>
      <c r="Y121" s="667"/>
      <c r="Z121" s="667"/>
    </row>
    <row r="122" spans="1:26" ht="15.75" customHeight="1" thickBot="1">
      <c r="A122" s="889"/>
      <c r="B122" s="706" t="s">
        <v>25</v>
      </c>
      <c r="C122" s="787">
        <f t="shared" ref="C122:D122" si="170">SUM(C121)</f>
        <v>6754841</v>
      </c>
      <c r="D122" s="789">
        <f t="shared" si="170"/>
        <v>0</v>
      </c>
      <c r="E122" s="865">
        <f t="shared" si="165"/>
        <v>0</v>
      </c>
      <c r="F122" s="702"/>
      <c r="G122" s="666"/>
      <c r="H122" s="866"/>
      <c r="I122" s="840" t="s">
        <v>25</v>
      </c>
      <c r="J122" s="864"/>
      <c r="K122" s="840">
        <f t="shared" ref="K122:L122" si="171">K120-K121</f>
        <v>75028400</v>
      </c>
      <c r="L122" s="840">
        <f t="shared" si="171"/>
        <v>41732589</v>
      </c>
      <c r="M122" s="843">
        <f t="shared" si="168"/>
        <v>0.55622389655117266</v>
      </c>
      <c r="N122" s="666"/>
      <c r="O122" s="666"/>
      <c r="P122" s="666"/>
      <c r="Q122" s="666"/>
      <c r="R122" s="666"/>
      <c r="S122" s="666"/>
      <c r="T122" s="666"/>
      <c r="U122" s="666"/>
      <c r="V122" s="666"/>
      <c r="W122" s="666"/>
      <c r="X122" s="666"/>
      <c r="Y122" s="667"/>
      <c r="Z122" s="667"/>
    </row>
    <row r="123" spans="1:26" ht="14.25" customHeight="1" thickBot="1">
      <c r="A123" s="839"/>
      <c r="B123" s="867" t="s">
        <v>121</v>
      </c>
      <c r="C123" s="840">
        <f t="shared" ref="C123:D123" si="172">C119+C122</f>
        <v>7847841</v>
      </c>
      <c r="D123" s="840">
        <f t="shared" si="172"/>
        <v>0</v>
      </c>
      <c r="E123" s="841">
        <f t="shared" si="165"/>
        <v>0</v>
      </c>
      <c r="F123" s="868"/>
      <c r="G123" s="869"/>
      <c r="H123" s="870"/>
      <c r="I123" s="870"/>
      <c r="J123" s="871"/>
      <c r="K123" s="869"/>
      <c r="L123" s="872"/>
      <c r="M123" s="873"/>
      <c r="N123" s="666"/>
      <c r="O123" s="666"/>
      <c r="P123" s="666"/>
      <c r="Q123" s="666"/>
      <c r="R123" s="666"/>
      <c r="S123" s="666"/>
      <c r="T123" s="666"/>
      <c r="U123" s="666"/>
      <c r="V123" s="666"/>
      <c r="W123" s="666"/>
      <c r="X123" s="666"/>
      <c r="Y123" s="667"/>
      <c r="Z123" s="667"/>
    </row>
    <row r="124" spans="1:26" ht="9.75" customHeight="1" thickBot="1">
      <c r="A124" s="874"/>
      <c r="B124" s="875"/>
      <c r="C124" s="876"/>
      <c r="D124" s="876"/>
      <c r="E124" s="876"/>
      <c r="F124" s="876"/>
      <c r="G124" s="876"/>
      <c r="H124" s="666"/>
      <c r="I124" s="666"/>
      <c r="J124" s="666"/>
      <c r="K124" s="877"/>
      <c r="L124" s="877"/>
      <c r="M124" s="878"/>
      <c r="N124" s="666"/>
      <c r="O124" s="666"/>
      <c r="P124" s="666"/>
      <c r="Q124" s="666"/>
      <c r="R124" s="666"/>
      <c r="S124" s="666"/>
      <c r="T124" s="666"/>
      <c r="U124" s="666"/>
      <c r="V124" s="666"/>
      <c r="W124" s="666"/>
      <c r="X124" s="666"/>
      <c r="Y124" s="667"/>
      <c r="Z124" s="667"/>
    </row>
    <row r="125" spans="1:26" ht="33.75" customHeight="1" thickBot="1">
      <c r="A125" s="879" t="s">
        <v>174</v>
      </c>
      <c r="B125" s="879" t="s">
        <v>7</v>
      </c>
      <c r="C125" s="818" t="s">
        <v>92</v>
      </c>
      <c r="D125" s="818" t="s">
        <v>196</v>
      </c>
      <c r="E125" s="818" t="s">
        <v>206</v>
      </c>
      <c r="F125" s="880"/>
      <c r="G125" s="818" t="s">
        <v>177</v>
      </c>
      <c r="H125" s="881"/>
      <c r="I125" s="666"/>
      <c r="J125" s="666"/>
      <c r="K125" s="666"/>
      <c r="L125" s="666"/>
      <c r="M125" s="666"/>
      <c r="N125" s="666"/>
      <c r="O125" s="666"/>
      <c r="P125" s="666"/>
      <c r="Q125" s="666"/>
      <c r="R125" s="666"/>
      <c r="S125" s="666"/>
      <c r="T125" s="666"/>
      <c r="U125" s="666"/>
      <c r="V125" s="666"/>
      <c r="W125" s="666"/>
      <c r="X125" s="666"/>
      <c r="Y125" s="667"/>
      <c r="Z125" s="667"/>
    </row>
    <row r="126" spans="1:26" ht="15.75" customHeight="1" thickBot="1">
      <c r="A126" s="879"/>
      <c r="B126" s="879"/>
      <c r="C126" s="882" t="s">
        <v>19</v>
      </c>
      <c r="D126" s="882" t="s">
        <v>19</v>
      </c>
      <c r="E126" s="882" t="s">
        <v>19</v>
      </c>
      <c r="F126" s="883"/>
      <c r="G126" s="882" t="s">
        <v>19</v>
      </c>
      <c r="H126" s="884"/>
      <c r="I126" s="666"/>
      <c r="J126" s="666"/>
      <c r="K126" s="666"/>
      <c r="L126" s="666"/>
      <c r="M126" s="666"/>
      <c r="N126" s="666"/>
      <c r="O126" s="666"/>
      <c r="P126" s="666"/>
      <c r="Q126" s="666"/>
      <c r="R126" s="666"/>
      <c r="S126" s="666"/>
      <c r="T126" s="666"/>
      <c r="U126" s="666"/>
      <c r="V126" s="666"/>
      <c r="W126" s="666"/>
      <c r="X126" s="666"/>
      <c r="Y126" s="667"/>
      <c r="Z126" s="667"/>
    </row>
    <row r="127" spans="1:26" ht="15.75" customHeight="1" thickBot="1">
      <c r="A127" s="885" t="s">
        <v>109</v>
      </c>
      <c r="B127" s="883" t="s">
        <v>21</v>
      </c>
      <c r="C127" s="883">
        <v>9819593</v>
      </c>
      <c r="D127" s="883">
        <v>7778639</v>
      </c>
      <c r="E127" s="883">
        <v>3658874</v>
      </c>
      <c r="F127" s="883"/>
      <c r="G127" s="883">
        <v>8363261</v>
      </c>
      <c r="H127" s="857" t="s">
        <v>198</v>
      </c>
      <c r="I127" s="666"/>
      <c r="J127" s="666"/>
      <c r="K127" s="666"/>
      <c r="L127" s="666"/>
      <c r="M127" s="666"/>
      <c r="N127" s="666"/>
      <c r="O127" s="666"/>
      <c r="P127" s="666"/>
      <c r="Q127" s="666"/>
      <c r="R127" s="666"/>
      <c r="S127" s="666"/>
      <c r="T127" s="666"/>
      <c r="U127" s="666"/>
      <c r="V127" s="666"/>
      <c r="W127" s="666"/>
      <c r="X127" s="666"/>
      <c r="Y127" s="667"/>
      <c r="Z127" s="667"/>
    </row>
    <row r="128" spans="1:26" ht="15.75" customHeight="1" thickBot="1">
      <c r="A128" s="882" t="s">
        <v>110</v>
      </c>
      <c r="B128" s="883" t="s">
        <v>21</v>
      </c>
      <c r="C128" s="883">
        <v>6871037</v>
      </c>
      <c r="D128" s="883">
        <v>6455216</v>
      </c>
      <c r="E128" s="883">
        <v>5417130</v>
      </c>
      <c r="F128" s="883"/>
      <c r="G128" s="883">
        <v>6651641</v>
      </c>
      <c r="H128" s="857" t="s">
        <v>199</v>
      </c>
      <c r="I128" s="666"/>
      <c r="J128" s="666"/>
      <c r="K128" s="666"/>
      <c r="L128" s="666"/>
      <c r="M128" s="666"/>
      <c r="N128" s="666"/>
      <c r="O128" s="666"/>
      <c r="P128" s="666"/>
      <c r="Q128" s="666"/>
      <c r="R128" s="666"/>
      <c r="S128" s="666"/>
      <c r="T128" s="666"/>
      <c r="U128" s="666"/>
      <c r="V128" s="666"/>
      <c r="W128" s="666"/>
      <c r="X128" s="666"/>
      <c r="Y128" s="667"/>
      <c r="Z128" s="667"/>
    </row>
    <row r="129" spans="1:26" ht="15.75" customHeight="1" thickBot="1">
      <c r="A129" s="882" t="s">
        <v>111</v>
      </c>
      <c r="B129" s="883" t="s">
        <v>21</v>
      </c>
      <c r="C129" s="883">
        <v>20000</v>
      </c>
      <c r="D129" s="883">
        <v>970000</v>
      </c>
      <c r="E129" s="883">
        <f>45092+341543</f>
        <v>386635</v>
      </c>
      <c r="F129" s="813"/>
      <c r="G129" s="883">
        <v>52000</v>
      </c>
      <c r="H129" s="857" t="s">
        <v>207</v>
      </c>
      <c r="I129" s="666"/>
      <c r="J129" s="666"/>
      <c r="K129" s="666"/>
      <c r="L129" s="666"/>
      <c r="M129" s="666"/>
      <c r="N129" s="666"/>
      <c r="O129" s="666"/>
      <c r="P129" s="666"/>
      <c r="Q129" s="666"/>
      <c r="R129" s="666"/>
      <c r="S129" s="666"/>
      <c r="T129" s="666"/>
      <c r="U129" s="666"/>
      <c r="V129" s="666"/>
      <c r="W129" s="666"/>
      <c r="X129" s="666"/>
      <c r="Y129" s="667"/>
      <c r="Z129" s="667"/>
    </row>
    <row r="130" spans="1:26" ht="14.25" customHeight="1" thickBot="1">
      <c r="A130" s="885"/>
      <c r="B130" s="813" t="s">
        <v>25</v>
      </c>
      <c r="C130" s="813">
        <f t="shared" ref="C130:E130" si="173">SUM(C127:C129)</f>
        <v>16710630</v>
      </c>
      <c r="D130" s="813">
        <f t="shared" si="173"/>
        <v>15203855</v>
      </c>
      <c r="E130" s="813">
        <f t="shared" si="173"/>
        <v>9462639</v>
      </c>
      <c r="F130" s="813"/>
      <c r="G130" s="813">
        <f>SUM(G127:G129)</f>
        <v>15066902</v>
      </c>
      <c r="H130" s="858"/>
      <c r="I130" s="666"/>
      <c r="J130" s="666"/>
      <c r="K130" s="666"/>
      <c r="L130" s="666"/>
      <c r="M130" s="666"/>
      <c r="N130" s="666"/>
      <c r="O130" s="666"/>
      <c r="P130" s="666"/>
      <c r="Q130" s="666"/>
      <c r="R130" s="666"/>
      <c r="S130" s="666"/>
      <c r="T130" s="666"/>
      <c r="U130" s="666"/>
      <c r="V130" s="666"/>
      <c r="W130" s="666"/>
      <c r="X130" s="666"/>
      <c r="Y130" s="667"/>
      <c r="Z130" s="667"/>
    </row>
    <row r="131" spans="1:26" ht="12" customHeight="1" thickBot="1">
      <c r="A131" s="885" t="s">
        <v>79</v>
      </c>
      <c r="B131" s="875"/>
      <c r="C131" s="876"/>
      <c r="D131" s="876"/>
      <c r="E131" s="876"/>
      <c r="F131" s="875"/>
      <c r="G131" s="876"/>
      <c r="H131" s="857"/>
      <c r="I131" s="666"/>
      <c r="J131" s="666"/>
      <c r="K131" s="666"/>
      <c r="L131" s="666"/>
      <c r="M131" s="666"/>
      <c r="N131" s="666"/>
      <c r="O131" s="666"/>
      <c r="P131" s="666"/>
      <c r="Q131" s="666"/>
      <c r="R131" s="666"/>
      <c r="S131" s="666"/>
      <c r="T131" s="666"/>
      <c r="U131" s="666"/>
      <c r="V131" s="666"/>
      <c r="W131" s="666"/>
      <c r="X131" s="666"/>
      <c r="Y131" s="667"/>
      <c r="Z131" s="667"/>
    </row>
    <row r="132" spans="1:26" ht="15.75" customHeight="1" thickBot="1">
      <c r="A132" s="885" t="s">
        <v>208</v>
      </c>
      <c r="B132" s="883" t="s">
        <v>21</v>
      </c>
      <c r="C132" s="883">
        <v>9905586</v>
      </c>
      <c r="D132" s="883">
        <v>7439698</v>
      </c>
      <c r="E132" s="883">
        <v>3395083</v>
      </c>
      <c r="F132" s="813"/>
      <c r="G132" s="883">
        <v>8101999</v>
      </c>
      <c r="H132" s="857" t="s">
        <v>198</v>
      </c>
      <c r="I132" s="666"/>
      <c r="J132" s="666"/>
      <c r="K132" s="666"/>
      <c r="L132" s="666"/>
      <c r="M132" s="666"/>
      <c r="N132" s="666"/>
      <c r="O132" s="666"/>
      <c r="P132" s="666"/>
      <c r="Q132" s="666"/>
      <c r="R132" s="666"/>
      <c r="S132" s="666"/>
      <c r="T132" s="666"/>
      <c r="U132" s="666"/>
      <c r="V132" s="666"/>
      <c r="W132" s="666"/>
      <c r="X132" s="666"/>
      <c r="Y132" s="667"/>
      <c r="Z132" s="667"/>
    </row>
    <row r="133" spans="1:26" ht="15.75" customHeight="1" thickBot="1">
      <c r="A133" s="882" t="s">
        <v>110</v>
      </c>
      <c r="B133" s="883" t="s">
        <v>21</v>
      </c>
      <c r="C133" s="883">
        <v>6941037</v>
      </c>
      <c r="D133" s="883">
        <v>6975049</v>
      </c>
      <c r="E133" s="883">
        <v>5155128</v>
      </c>
      <c r="F133" s="813"/>
      <c r="G133" s="883">
        <v>6892665</v>
      </c>
      <c r="H133" s="857" t="s">
        <v>199</v>
      </c>
      <c r="I133" s="666"/>
      <c r="J133" s="666"/>
      <c r="K133" s="666"/>
      <c r="L133" s="666"/>
      <c r="M133" s="666"/>
      <c r="N133" s="666"/>
      <c r="O133" s="666"/>
      <c r="P133" s="666"/>
      <c r="Q133" s="666"/>
      <c r="R133" s="666"/>
      <c r="S133" s="666"/>
      <c r="T133" s="666"/>
      <c r="U133" s="666"/>
      <c r="V133" s="666"/>
      <c r="W133" s="666"/>
      <c r="X133" s="666"/>
      <c r="Y133" s="667"/>
      <c r="Z133" s="667"/>
    </row>
    <row r="134" spans="1:26" ht="15.75" customHeight="1" thickBot="1">
      <c r="A134" s="882" t="s">
        <v>111</v>
      </c>
      <c r="B134" s="883" t="s">
        <v>21</v>
      </c>
      <c r="C134" s="883">
        <v>20000</v>
      </c>
      <c r="D134" s="883">
        <v>240000</v>
      </c>
      <c r="E134" s="883">
        <v>0</v>
      </c>
      <c r="F134" s="886"/>
      <c r="G134" s="883">
        <v>520000</v>
      </c>
      <c r="H134" s="857" t="s">
        <v>207</v>
      </c>
      <c r="I134" s="666"/>
      <c r="J134" s="666"/>
      <c r="K134" s="666"/>
      <c r="L134" s="666"/>
      <c r="M134" s="666"/>
      <c r="N134" s="666"/>
      <c r="O134" s="666"/>
      <c r="P134" s="666"/>
      <c r="Q134" s="666"/>
      <c r="R134" s="666"/>
      <c r="S134" s="666"/>
      <c r="T134" s="666"/>
      <c r="U134" s="666"/>
      <c r="V134" s="666"/>
      <c r="W134" s="666"/>
      <c r="X134" s="666"/>
      <c r="Y134" s="667"/>
      <c r="Z134" s="667"/>
    </row>
    <row r="135" spans="1:26" ht="15" customHeight="1" thickBot="1">
      <c r="A135" s="885"/>
      <c r="B135" s="813" t="s">
        <v>25</v>
      </c>
      <c r="C135" s="813">
        <f t="shared" ref="C135:E135" si="174">SUM(C132:C134)</f>
        <v>16866623</v>
      </c>
      <c r="D135" s="813">
        <f t="shared" si="174"/>
        <v>14654747</v>
      </c>
      <c r="E135" s="813">
        <f t="shared" si="174"/>
        <v>8550211</v>
      </c>
      <c r="F135" s="886"/>
      <c r="G135" s="813">
        <f>SUM(G132:G134)</f>
        <v>15514664</v>
      </c>
      <c r="H135" s="858"/>
      <c r="I135" s="666"/>
      <c r="J135" s="666"/>
      <c r="K135" s="666"/>
      <c r="L135" s="666"/>
      <c r="M135" s="666"/>
      <c r="N135" s="666"/>
      <c r="O135" s="666"/>
      <c r="P135" s="666"/>
      <c r="Q135" s="666"/>
      <c r="R135" s="666"/>
      <c r="S135" s="666"/>
      <c r="T135" s="666"/>
      <c r="U135" s="666"/>
      <c r="V135" s="666"/>
      <c r="W135" s="666"/>
      <c r="X135" s="666"/>
      <c r="Y135" s="667"/>
      <c r="Z135" s="667"/>
    </row>
    <row r="136" spans="1:26" ht="15" customHeight="1" thickBot="1">
      <c r="A136" s="885"/>
      <c r="B136" s="813" t="s">
        <v>83</v>
      </c>
      <c r="C136" s="813">
        <f t="shared" ref="C136:E136" si="175">C130-C135</f>
        <v>-155993</v>
      </c>
      <c r="D136" s="813">
        <f t="shared" si="175"/>
        <v>549108</v>
      </c>
      <c r="E136" s="813">
        <f t="shared" si="175"/>
        <v>912428</v>
      </c>
      <c r="F136" s="813"/>
      <c r="G136" s="813">
        <f>G130-G135</f>
        <v>-447762</v>
      </c>
      <c r="H136" s="858"/>
      <c r="I136" s="666"/>
      <c r="J136" s="666"/>
      <c r="K136" s="666"/>
      <c r="L136" s="666"/>
      <c r="M136" s="666"/>
      <c r="N136" s="666"/>
      <c r="O136" s="666"/>
      <c r="P136" s="666"/>
      <c r="Q136" s="666"/>
      <c r="R136" s="666"/>
      <c r="S136" s="666"/>
      <c r="T136" s="666"/>
      <c r="U136" s="666"/>
      <c r="V136" s="666"/>
      <c r="W136" s="666"/>
      <c r="X136" s="666"/>
      <c r="Y136" s="667"/>
      <c r="Z136" s="667"/>
    </row>
    <row r="137" spans="1:26" ht="13.5" customHeight="1" thickBot="1">
      <c r="A137" s="885" t="s">
        <v>178</v>
      </c>
      <c r="B137" s="875"/>
      <c r="C137" s="876"/>
      <c r="D137" s="876"/>
      <c r="E137" s="876"/>
      <c r="F137" s="876"/>
      <c r="G137" s="876"/>
      <c r="H137" s="857"/>
      <c r="I137" s="666"/>
      <c r="J137" s="666"/>
      <c r="K137" s="666"/>
      <c r="L137" s="666"/>
      <c r="M137" s="666"/>
      <c r="N137" s="666"/>
      <c r="O137" s="666"/>
      <c r="P137" s="666"/>
      <c r="Q137" s="666"/>
      <c r="R137" s="666"/>
      <c r="S137" s="666"/>
      <c r="T137" s="666"/>
      <c r="U137" s="666"/>
      <c r="V137" s="666"/>
      <c r="W137" s="666"/>
      <c r="X137" s="666"/>
      <c r="Y137" s="667"/>
      <c r="Z137" s="667"/>
    </row>
    <row r="138" spans="1:26" ht="15.75" customHeight="1" thickBot="1">
      <c r="A138" s="885" t="s">
        <v>117</v>
      </c>
      <c r="B138" s="883" t="s">
        <v>21</v>
      </c>
      <c r="C138" s="883">
        <v>0</v>
      </c>
      <c r="D138" s="883">
        <v>5216</v>
      </c>
      <c r="E138" s="883">
        <v>5217</v>
      </c>
      <c r="F138" s="883"/>
      <c r="G138" s="883">
        <v>0</v>
      </c>
      <c r="H138" s="857" t="s">
        <v>200</v>
      </c>
      <c r="I138" s="666"/>
      <c r="J138" s="666"/>
      <c r="K138" s="666"/>
      <c r="L138" s="666"/>
      <c r="M138" s="666"/>
      <c r="N138" s="666"/>
      <c r="O138" s="666"/>
      <c r="P138" s="666"/>
      <c r="Q138" s="666"/>
      <c r="R138" s="666"/>
      <c r="S138" s="666"/>
      <c r="T138" s="666"/>
      <c r="U138" s="666"/>
      <c r="V138" s="666"/>
      <c r="W138" s="666"/>
      <c r="X138" s="666"/>
      <c r="Y138" s="667"/>
      <c r="Z138" s="667"/>
    </row>
    <row r="139" spans="1:26" ht="15.75" customHeight="1" thickBot="1">
      <c r="A139" s="885" t="s">
        <v>118</v>
      </c>
      <c r="B139" s="883" t="s">
        <v>28</v>
      </c>
      <c r="C139" s="883">
        <v>0</v>
      </c>
      <c r="D139" s="883">
        <v>0</v>
      </c>
      <c r="E139" s="883">
        <v>121653</v>
      </c>
      <c r="F139" s="883"/>
      <c r="G139" s="883">
        <v>0</v>
      </c>
      <c r="H139" s="857" t="s">
        <v>201</v>
      </c>
      <c r="I139" s="666"/>
      <c r="J139" s="666"/>
      <c r="K139" s="666"/>
      <c r="L139" s="666"/>
      <c r="M139" s="666"/>
      <c r="N139" s="666"/>
      <c r="O139" s="666"/>
      <c r="P139" s="666"/>
      <c r="Q139" s="666"/>
      <c r="R139" s="666"/>
      <c r="S139" s="666"/>
      <c r="T139" s="666"/>
      <c r="U139" s="666"/>
      <c r="V139" s="666"/>
      <c r="W139" s="666"/>
      <c r="X139" s="666"/>
      <c r="Y139" s="667"/>
      <c r="Z139" s="667"/>
    </row>
    <row r="140" spans="1:26" ht="15" customHeight="1" thickBot="1">
      <c r="A140" s="885" t="s">
        <v>112</v>
      </c>
      <c r="B140" s="883" t="s">
        <v>32</v>
      </c>
      <c r="C140" s="883">
        <v>293605</v>
      </c>
      <c r="D140" s="883">
        <v>383887</v>
      </c>
      <c r="E140" s="883">
        <v>1349297</v>
      </c>
      <c r="F140" s="883"/>
      <c r="G140" s="883">
        <v>239956</v>
      </c>
      <c r="H140" s="857" t="s">
        <v>202</v>
      </c>
      <c r="I140" s="666"/>
      <c r="J140" s="666"/>
      <c r="K140" s="666"/>
      <c r="L140" s="666"/>
      <c r="M140" s="666"/>
      <c r="N140" s="666"/>
      <c r="O140" s="666"/>
      <c r="P140" s="666"/>
      <c r="Q140" s="666"/>
      <c r="R140" s="666"/>
      <c r="S140" s="666"/>
      <c r="T140" s="666"/>
      <c r="U140" s="666"/>
      <c r="V140" s="666"/>
      <c r="W140" s="666"/>
      <c r="X140" s="666"/>
      <c r="Y140" s="667"/>
      <c r="Z140" s="667"/>
    </row>
    <row r="141" spans="1:26" ht="14.25" customHeight="1" thickBot="1">
      <c r="A141" s="885" t="s">
        <v>117</v>
      </c>
      <c r="B141" s="887" t="s">
        <v>29</v>
      </c>
      <c r="C141" s="883">
        <v>0</v>
      </c>
      <c r="D141" s="883">
        <v>0</v>
      </c>
      <c r="E141" s="883">
        <v>1412</v>
      </c>
      <c r="F141" s="883"/>
      <c r="G141" s="883"/>
      <c r="H141" s="857" t="s">
        <v>200</v>
      </c>
      <c r="I141" s="666"/>
      <c r="J141" s="666"/>
      <c r="K141" s="666"/>
      <c r="L141" s="666"/>
      <c r="M141" s="666"/>
      <c r="N141" s="666"/>
      <c r="O141" s="666"/>
      <c r="P141" s="666"/>
      <c r="Q141" s="666"/>
      <c r="R141" s="666"/>
      <c r="S141" s="666"/>
      <c r="T141" s="666"/>
      <c r="U141" s="666"/>
      <c r="V141" s="666"/>
      <c r="W141" s="666"/>
      <c r="X141" s="666"/>
      <c r="Y141" s="667"/>
      <c r="Z141" s="667"/>
    </row>
    <row r="142" spans="1:26" ht="16.5" customHeight="1" thickBot="1">
      <c r="A142" s="885" t="s">
        <v>209</v>
      </c>
      <c r="B142" s="887" t="s">
        <v>31</v>
      </c>
      <c r="C142" s="883">
        <v>0</v>
      </c>
      <c r="D142" s="883">
        <v>0</v>
      </c>
      <c r="E142" s="883">
        <v>1042</v>
      </c>
      <c r="F142" s="883"/>
      <c r="G142" s="883"/>
      <c r="H142" s="857" t="s">
        <v>202</v>
      </c>
      <c r="I142" s="666"/>
      <c r="J142" s="666"/>
      <c r="K142" s="666"/>
      <c r="L142" s="666"/>
      <c r="M142" s="666"/>
      <c r="N142" s="666"/>
      <c r="O142" s="666"/>
      <c r="P142" s="666"/>
      <c r="Q142" s="666"/>
      <c r="R142" s="666"/>
      <c r="S142" s="666"/>
      <c r="T142" s="666"/>
      <c r="U142" s="666"/>
      <c r="V142" s="666"/>
      <c r="W142" s="666"/>
      <c r="X142" s="666"/>
      <c r="Y142" s="667"/>
      <c r="Z142" s="667"/>
    </row>
    <row r="143" spans="1:26" ht="14.25" customHeight="1" thickBot="1">
      <c r="A143" s="882"/>
      <c r="B143" s="883"/>
      <c r="C143" s="883">
        <f t="shared" ref="C143:E143" si="176">SUM(C138:C142)</f>
        <v>293605</v>
      </c>
      <c r="D143" s="883">
        <f t="shared" si="176"/>
        <v>389103</v>
      </c>
      <c r="E143" s="883">
        <f t="shared" si="176"/>
        <v>1478621</v>
      </c>
      <c r="F143" s="883"/>
      <c r="G143" s="883">
        <f>SUM(G138:G142)</f>
        <v>239956</v>
      </c>
      <c r="H143" s="857"/>
      <c r="I143" s="666"/>
      <c r="J143" s="666"/>
      <c r="K143" s="666"/>
      <c r="L143" s="666"/>
      <c r="M143" s="666"/>
      <c r="N143" s="666"/>
      <c r="O143" s="666"/>
      <c r="P143" s="666"/>
      <c r="Q143" s="666"/>
      <c r="R143" s="666"/>
      <c r="S143" s="666"/>
      <c r="T143" s="666"/>
      <c r="U143" s="666"/>
      <c r="V143" s="666"/>
      <c r="W143" s="666"/>
      <c r="X143" s="666"/>
      <c r="Y143" s="667"/>
      <c r="Z143" s="667"/>
    </row>
    <row r="144" spans="1:26" ht="14.25" customHeight="1" thickBot="1">
      <c r="A144" s="880"/>
      <c r="B144" s="813" t="s">
        <v>186</v>
      </c>
      <c r="C144" s="813">
        <f t="shared" ref="C144:E144" si="177">C135+C143</f>
        <v>17160228</v>
      </c>
      <c r="D144" s="813">
        <f t="shared" si="177"/>
        <v>15043850</v>
      </c>
      <c r="E144" s="813">
        <f t="shared" si="177"/>
        <v>10028832</v>
      </c>
      <c r="F144" s="813"/>
      <c r="G144" s="813">
        <f>G135+G143</f>
        <v>15754620</v>
      </c>
      <c r="H144" s="858"/>
      <c r="I144" s="666"/>
      <c r="J144" s="666"/>
      <c r="K144" s="666"/>
      <c r="L144" s="666"/>
      <c r="M144" s="666"/>
      <c r="N144" s="666"/>
      <c r="O144" s="666"/>
      <c r="P144" s="666"/>
      <c r="Q144" s="666"/>
      <c r="R144" s="666"/>
      <c r="S144" s="666"/>
      <c r="T144" s="666"/>
      <c r="U144" s="666"/>
      <c r="V144" s="666"/>
      <c r="W144" s="666"/>
      <c r="X144" s="666"/>
      <c r="Y144" s="667"/>
      <c r="Z144" s="667"/>
    </row>
    <row r="145" spans="1:26" ht="15.75" customHeight="1">
      <c r="A145" s="666"/>
      <c r="B145" s="666"/>
      <c r="C145" s="666"/>
      <c r="D145" s="666"/>
      <c r="E145" s="666"/>
      <c r="F145" s="666"/>
      <c r="G145" s="666"/>
      <c r="H145" s="666"/>
      <c r="I145" s="666"/>
      <c r="J145" s="666"/>
      <c r="K145" s="666"/>
      <c r="L145" s="666"/>
      <c r="M145" s="666"/>
      <c r="N145" s="666"/>
      <c r="O145" s="666"/>
      <c r="P145" s="666"/>
      <c r="Q145" s="666"/>
      <c r="R145" s="666"/>
      <c r="S145" s="666"/>
      <c r="T145" s="666"/>
      <c r="U145" s="666"/>
      <c r="V145" s="666"/>
      <c r="W145" s="666"/>
      <c r="X145" s="666"/>
      <c r="Y145" s="667"/>
      <c r="Z145" s="667"/>
    </row>
    <row r="146" spans="1:26" ht="15.75" customHeight="1">
      <c r="A146" s="666"/>
      <c r="B146" s="666"/>
      <c r="C146" s="666"/>
      <c r="D146" s="666"/>
      <c r="E146" s="666"/>
      <c r="F146" s="666"/>
      <c r="G146" s="666"/>
      <c r="H146" s="666"/>
      <c r="I146" s="666"/>
      <c r="J146" s="666"/>
      <c r="K146" s="666"/>
      <c r="L146" s="666"/>
      <c r="M146" s="666"/>
      <c r="N146" s="666"/>
      <c r="O146" s="666"/>
      <c r="P146" s="666"/>
      <c r="Q146" s="666"/>
      <c r="R146" s="666"/>
      <c r="S146" s="666"/>
      <c r="T146" s="666"/>
      <c r="U146" s="666"/>
      <c r="V146" s="666"/>
      <c r="W146" s="666"/>
      <c r="X146" s="666"/>
      <c r="Y146" s="667"/>
      <c r="Z146" s="667"/>
    </row>
    <row r="147" spans="1:26" ht="15.75" customHeight="1">
      <c r="A147" s="666"/>
      <c r="B147" s="666"/>
      <c r="C147" s="666"/>
      <c r="D147" s="666"/>
      <c r="E147" s="666"/>
      <c r="F147" s="666"/>
      <c r="G147" s="666"/>
      <c r="H147" s="666"/>
      <c r="I147" s="666"/>
      <c r="J147" s="666"/>
      <c r="K147" s="666"/>
      <c r="L147" s="666"/>
      <c r="M147" s="666"/>
      <c r="N147" s="666"/>
      <c r="O147" s="666"/>
      <c r="P147" s="666"/>
      <c r="Q147" s="666"/>
      <c r="R147" s="666"/>
      <c r="S147" s="666"/>
      <c r="T147" s="666"/>
      <c r="U147" s="666"/>
      <c r="V147" s="666"/>
      <c r="W147" s="666"/>
      <c r="X147" s="666"/>
      <c r="Y147" s="667"/>
      <c r="Z147" s="667"/>
    </row>
    <row r="148" spans="1:26" ht="15.75" customHeight="1">
      <c r="A148" s="666"/>
      <c r="B148" s="666"/>
      <c r="C148" s="666"/>
      <c r="D148" s="666"/>
      <c r="E148" s="666"/>
      <c r="F148" s="666"/>
      <c r="G148" s="666"/>
      <c r="H148" s="666"/>
      <c r="I148" s="666"/>
      <c r="J148" s="666"/>
      <c r="K148" s="666"/>
      <c r="L148" s="666"/>
      <c r="M148" s="666"/>
      <c r="N148" s="666"/>
      <c r="O148" s="666"/>
      <c r="P148" s="666"/>
      <c r="Q148" s="666"/>
      <c r="R148" s="666"/>
      <c r="S148" s="666"/>
      <c r="T148" s="666"/>
      <c r="U148" s="666"/>
      <c r="V148" s="666"/>
      <c r="W148" s="666"/>
      <c r="X148" s="666"/>
      <c r="Y148" s="667"/>
      <c r="Z148" s="667"/>
    </row>
    <row r="149" spans="1:26" ht="15.75" customHeight="1">
      <c r="A149" s="666"/>
      <c r="B149" s="666"/>
      <c r="C149" s="666"/>
      <c r="D149" s="666"/>
      <c r="E149" s="666"/>
      <c r="F149" s="666"/>
      <c r="G149" s="666"/>
      <c r="H149" s="666"/>
      <c r="I149" s="666"/>
      <c r="J149" s="666"/>
      <c r="K149" s="666"/>
      <c r="L149" s="666"/>
      <c r="M149" s="666"/>
      <c r="N149" s="666"/>
      <c r="O149" s="666"/>
      <c r="P149" s="666"/>
      <c r="Q149" s="666"/>
      <c r="R149" s="666"/>
      <c r="S149" s="666"/>
      <c r="T149" s="666"/>
      <c r="U149" s="666"/>
      <c r="V149" s="666"/>
      <c r="W149" s="666"/>
      <c r="X149" s="666"/>
      <c r="Y149" s="667"/>
      <c r="Z149" s="667"/>
    </row>
    <row r="150" spans="1:26" ht="15.75" customHeight="1">
      <c r="A150" s="666"/>
      <c r="B150" s="666"/>
      <c r="C150" s="666"/>
      <c r="D150" s="666"/>
      <c r="E150" s="666"/>
      <c r="F150" s="666"/>
      <c r="G150" s="666"/>
      <c r="H150" s="666"/>
      <c r="I150" s="666"/>
      <c r="J150" s="666"/>
      <c r="K150" s="666"/>
      <c r="L150" s="666"/>
      <c r="M150" s="666"/>
      <c r="N150" s="666"/>
      <c r="O150" s="666"/>
      <c r="P150" s="666"/>
      <c r="Q150" s="666"/>
      <c r="R150" s="666"/>
      <c r="S150" s="666"/>
      <c r="T150" s="666"/>
      <c r="U150" s="666"/>
      <c r="V150" s="666"/>
      <c r="W150" s="666"/>
      <c r="X150" s="666"/>
      <c r="Y150" s="667"/>
      <c r="Z150" s="667"/>
    </row>
    <row r="151" spans="1:26" ht="15.75" customHeight="1">
      <c r="A151" s="666"/>
      <c r="B151" s="666"/>
      <c r="C151" s="666"/>
      <c r="D151" s="666"/>
      <c r="E151" s="666"/>
      <c r="F151" s="666"/>
      <c r="G151" s="666"/>
      <c r="H151" s="666"/>
      <c r="I151" s="666"/>
      <c r="J151" s="666"/>
      <c r="K151" s="666"/>
      <c r="L151" s="666"/>
      <c r="M151" s="666"/>
      <c r="N151" s="666"/>
      <c r="O151" s="666"/>
      <c r="P151" s="666"/>
      <c r="Q151" s="666"/>
      <c r="R151" s="666"/>
      <c r="S151" s="666"/>
      <c r="T151" s="666"/>
      <c r="U151" s="666"/>
      <c r="V151" s="666"/>
      <c r="W151" s="666"/>
      <c r="X151" s="666"/>
      <c r="Y151" s="667"/>
      <c r="Z151" s="667"/>
    </row>
    <row r="152" spans="1:26" ht="15.75" customHeight="1">
      <c r="A152" s="666"/>
      <c r="B152" s="666"/>
      <c r="C152" s="666"/>
      <c r="D152" s="666"/>
      <c r="E152" s="666"/>
      <c r="F152" s="666"/>
      <c r="G152" s="666"/>
      <c r="H152" s="666"/>
      <c r="I152" s="666"/>
      <c r="J152" s="666"/>
      <c r="K152" s="666"/>
      <c r="L152" s="666"/>
      <c r="M152" s="666"/>
      <c r="N152" s="666"/>
      <c r="O152" s="666"/>
      <c r="P152" s="666"/>
      <c r="Q152" s="666"/>
      <c r="R152" s="666"/>
      <c r="S152" s="666"/>
      <c r="T152" s="666"/>
      <c r="U152" s="666"/>
      <c r="V152" s="666"/>
      <c r="W152" s="666"/>
      <c r="X152" s="666"/>
      <c r="Y152" s="667"/>
      <c r="Z152" s="667"/>
    </row>
    <row r="153" spans="1:26" ht="15.75" customHeight="1">
      <c r="A153" s="666"/>
      <c r="B153" s="666"/>
      <c r="C153" s="666"/>
      <c r="D153" s="666"/>
      <c r="E153" s="666"/>
      <c r="F153" s="666"/>
      <c r="G153" s="666"/>
      <c r="H153" s="666"/>
      <c r="I153" s="666"/>
      <c r="J153" s="666"/>
      <c r="K153" s="666"/>
      <c r="L153" s="666"/>
      <c r="M153" s="666"/>
      <c r="N153" s="666"/>
      <c r="O153" s="666"/>
      <c r="P153" s="666"/>
      <c r="Q153" s="666"/>
      <c r="R153" s="666"/>
      <c r="S153" s="666"/>
      <c r="T153" s="666"/>
      <c r="U153" s="666"/>
      <c r="V153" s="666"/>
      <c r="W153" s="666"/>
      <c r="X153" s="666"/>
      <c r="Y153" s="667"/>
      <c r="Z153" s="667"/>
    </row>
    <row r="154" spans="1:26" ht="15.75" customHeight="1">
      <c r="A154" s="666"/>
      <c r="B154" s="666"/>
      <c r="C154" s="666"/>
      <c r="D154" s="666"/>
      <c r="E154" s="666"/>
      <c r="F154" s="666"/>
      <c r="G154" s="666"/>
      <c r="H154" s="666"/>
      <c r="I154" s="666"/>
      <c r="J154" s="666"/>
      <c r="K154" s="666"/>
      <c r="L154" s="666"/>
      <c r="M154" s="666"/>
      <c r="N154" s="666"/>
      <c r="O154" s="666"/>
      <c r="P154" s="666"/>
      <c r="Q154" s="666"/>
      <c r="R154" s="666"/>
      <c r="S154" s="666"/>
      <c r="T154" s="666"/>
      <c r="U154" s="666"/>
      <c r="V154" s="666"/>
      <c r="W154" s="666"/>
      <c r="X154" s="666"/>
      <c r="Y154" s="667"/>
      <c r="Z154" s="667"/>
    </row>
    <row r="155" spans="1:26" ht="15.75" customHeight="1">
      <c r="A155" s="666"/>
      <c r="B155" s="666"/>
      <c r="C155" s="666"/>
      <c r="D155" s="666"/>
      <c r="E155" s="666"/>
      <c r="F155" s="666"/>
      <c r="G155" s="666"/>
      <c r="H155" s="666"/>
      <c r="I155" s="666"/>
      <c r="J155" s="666"/>
      <c r="K155" s="666"/>
      <c r="L155" s="666"/>
      <c r="M155" s="666"/>
      <c r="N155" s="666"/>
      <c r="O155" s="666"/>
      <c r="P155" s="666"/>
      <c r="Q155" s="666"/>
      <c r="R155" s="666"/>
      <c r="S155" s="666"/>
      <c r="T155" s="666"/>
      <c r="U155" s="666"/>
      <c r="V155" s="666"/>
      <c r="W155" s="666"/>
      <c r="X155" s="666"/>
      <c r="Y155" s="667"/>
      <c r="Z155" s="667"/>
    </row>
    <row r="156" spans="1:26" ht="15.75" customHeight="1">
      <c r="A156" s="666"/>
      <c r="B156" s="666"/>
      <c r="C156" s="666"/>
      <c r="D156" s="666"/>
      <c r="E156" s="666"/>
      <c r="F156" s="666"/>
      <c r="G156" s="666"/>
      <c r="H156" s="666"/>
      <c r="I156" s="666"/>
      <c r="J156" s="666"/>
      <c r="K156" s="666"/>
      <c r="L156" s="666"/>
      <c r="M156" s="666"/>
      <c r="N156" s="666"/>
      <c r="O156" s="666"/>
      <c r="P156" s="666"/>
      <c r="Q156" s="666"/>
      <c r="R156" s="666"/>
      <c r="S156" s="666"/>
      <c r="T156" s="666"/>
      <c r="U156" s="666"/>
      <c r="V156" s="666"/>
      <c r="W156" s="666"/>
      <c r="X156" s="666"/>
      <c r="Y156" s="667"/>
      <c r="Z156" s="667"/>
    </row>
    <row r="157" spans="1:26" ht="15.75" customHeight="1">
      <c r="A157" s="666"/>
      <c r="B157" s="666"/>
      <c r="C157" s="666"/>
      <c r="D157" s="666"/>
      <c r="E157" s="666"/>
      <c r="F157" s="666"/>
      <c r="G157" s="666"/>
      <c r="H157" s="666"/>
      <c r="I157" s="666"/>
      <c r="J157" s="666"/>
      <c r="K157" s="666"/>
      <c r="L157" s="666"/>
      <c r="M157" s="666"/>
      <c r="N157" s="666"/>
      <c r="O157" s="666"/>
      <c r="P157" s="666"/>
      <c r="Q157" s="666"/>
      <c r="R157" s="666"/>
      <c r="S157" s="666"/>
      <c r="T157" s="666"/>
      <c r="U157" s="666"/>
      <c r="V157" s="666"/>
      <c r="W157" s="666"/>
      <c r="X157" s="666"/>
      <c r="Y157" s="667"/>
      <c r="Z157" s="667"/>
    </row>
    <row r="158" spans="1:26" ht="15.75" customHeight="1">
      <c r="A158" s="666"/>
      <c r="B158" s="666"/>
      <c r="C158" s="666"/>
      <c r="D158" s="666"/>
      <c r="E158" s="666"/>
      <c r="F158" s="666"/>
      <c r="G158" s="666"/>
      <c r="H158" s="666"/>
      <c r="I158" s="666"/>
      <c r="J158" s="666"/>
      <c r="K158" s="666"/>
      <c r="L158" s="666"/>
      <c r="M158" s="666"/>
      <c r="N158" s="666"/>
      <c r="O158" s="666"/>
      <c r="P158" s="666"/>
      <c r="Q158" s="666"/>
      <c r="R158" s="666"/>
      <c r="S158" s="666"/>
      <c r="T158" s="666"/>
      <c r="U158" s="666"/>
      <c r="V158" s="666"/>
      <c r="W158" s="666"/>
      <c r="X158" s="666"/>
      <c r="Y158" s="667"/>
      <c r="Z158" s="667"/>
    </row>
    <row r="159" spans="1:26" ht="15.75" customHeight="1">
      <c r="A159" s="666"/>
      <c r="B159" s="666"/>
      <c r="C159" s="666"/>
      <c r="D159" s="666"/>
      <c r="E159" s="666"/>
      <c r="F159" s="666"/>
      <c r="G159" s="666"/>
      <c r="H159" s="666"/>
      <c r="I159" s="666"/>
      <c r="J159" s="666"/>
      <c r="K159" s="666"/>
      <c r="L159" s="666"/>
      <c r="M159" s="666"/>
      <c r="N159" s="666"/>
      <c r="O159" s="666"/>
      <c r="P159" s="666"/>
      <c r="Q159" s="666"/>
      <c r="R159" s="666"/>
      <c r="S159" s="666"/>
      <c r="T159" s="666"/>
      <c r="U159" s="666"/>
      <c r="V159" s="666"/>
      <c r="W159" s="666"/>
      <c r="X159" s="666"/>
      <c r="Y159" s="667"/>
      <c r="Z159" s="667"/>
    </row>
    <row r="160" spans="1:26" ht="15.75" customHeight="1">
      <c r="A160" s="666"/>
      <c r="B160" s="666"/>
      <c r="C160" s="666"/>
      <c r="D160" s="666"/>
      <c r="E160" s="666"/>
      <c r="F160" s="666"/>
      <c r="G160" s="666"/>
      <c r="H160" s="666"/>
      <c r="I160" s="666"/>
      <c r="J160" s="666"/>
      <c r="K160" s="666"/>
      <c r="L160" s="666"/>
      <c r="M160" s="666"/>
      <c r="N160" s="666"/>
      <c r="O160" s="666"/>
      <c r="P160" s="666"/>
      <c r="Q160" s="666"/>
      <c r="R160" s="666"/>
      <c r="S160" s="666"/>
      <c r="T160" s="666"/>
      <c r="U160" s="666"/>
      <c r="V160" s="666"/>
      <c r="W160" s="666"/>
      <c r="X160" s="666"/>
      <c r="Y160" s="667"/>
      <c r="Z160" s="667"/>
    </row>
    <row r="161" spans="1:26" ht="15.75" customHeight="1">
      <c r="A161" s="666"/>
      <c r="B161" s="666"/>
      <c r="C161" s="666"/>
      <c r="D161" s="666"/>
      <c r="E161" s="666"/>
      <c r="F161" s="666"/>
      <c r="G161" s="666"/>
      <c r="H161" s="666"/>
      <c r="I161" s="666"/>
      <c r="J161" s="666"/>
      <c r="K161" s="666"/>
      <c r="L161" s="666"/>
      <c r="M161" s="666"/>
      <c r="N161" s="666"/>
      <c r="O161" s="666"/>
      <c r="P161" s="666"/>
      <c r="Q161" s="666"/>
      <c r="R161" s="666"/>
      <c r="S161" s="666"/>
      <c r="T161" s="666"/>
      <c r="U161" s="666"/>
      <c r="V161" s="666"/>
      <c r="W161" s="666"/>
      <c r="X161" s="666"/>
      <c r="Y161" s="667"/>
      <c r="Z161" s="667"/>
    </row>
    <row r="162" spans="1:26" ht="15.75" customHeight="1">
      <c r="A162" s="666"/>
      <c r="B162" s="666"/>
      <c r="C162" s="666"/>
      <c r="D162" s="666"/>
      <c r="E162" s="666"/>
      <c r="F162" s="666"/>
      <c r="G162" s="666"/>
      <c r="H162" s="666"/>
      <c r="I162" s="666"/>
      <c r="J162" s="666"/>
      <c r="K162" s="666"/>
      <c r="L162" s="666"/>
      <c r="M162" s="666"/>
      <c r="N162" s="666"/>
      <c r="O162" s="666"/>
      <c r="P162" s="666"/>
      <c r="Q162" s="666"/>
      <c r="R162" s="666"/>
      <c r="S162" s="666"/>
      <c r="T162" s="666"/>
      <c r="U162" s="666"/>
      <c r="V162" s="666"/>
      <c r="W162" s="666"/>
      <c r="X162" s="666"/>
      <c r="Y162" s="667"/>
      <c r="Z162" s="667"/>
    </row>
    <row r="163" spans="1:26" ht="15.75" customHeight="1">
      <c r="A163" s="666"/>
      <c r="B163" s="666"/>
      <c r="C163" s="666"/>
      <c r="D163" s="666"/>
      <c r="E163" s="666"/>
      <c r="F163" s="666"/>
      <c r="G163" s="666"/>
      <c r="H163" s="666"/>
      <c r="I163" s="666"/>
      <c r="J163" s="666"/>
      <c r="K163" s="666"/>
      <c r="L163" s="666"/>
      <c r="M163" s="666"/>
      <c r="N163" s="666"/>
      <c r="O163" s="666"/>
      <c r="P163" s="666"/>
      <c r="Q163" s="666"/>
      <c r="R163" s="666"/>
      <c r="S163" s="666"/>
      <c r="T163" s="666"/>
      <c r="U163" s="666"/>
      <c r="V163" s="666"/>
      <c r="W163" s="666"/>
      <c r="X163" s="666"/>
      <c r="Y163" s="667"/>
      <c r="Z163" s="667"/>
    </row>
    <row r="164" spans="1:26" ht="15.75" customHeight="1">
      <c r="A164" s="666"/>
      <c r="B164" s="666"/>
      <c r="C164" s="666"/>
      <c r="D164" s="666"/>
      <c r="E164" s="666"/>
      <c r="F164" s="666"/>
      <c r="G164" s="666"/>
      <c r="H164" s="666"/>
      <c r="I164" s="666"/>
      <c r="J164" s="666"/>
      <c r="K164" s="666"/>
      <c r="L164" s="666"/>
      <c r="M164" s="666"/>
      <c r="N164" s="666"/>
      <c r="O164" s="666"/>
      <c r="P164" s="666"/>
      <c r="Q164" s="666"/>
      <c r="R164" s="666"/>
      <c r="S164" s="666"/>
      <c r="T164" s="666"/>
      <c r="U164" s="666"/>
      <c r="V164" s="666"/>
      <c r="W164" s="666"/>
      <c r="X164" s="666"/>
      <c r="Y164" s="667"/>
      <c r="Z164" s="667"/>
    </row>
    <row r="165" spans="1:26" ht="15.75" customHeight="1">
      <c r="A165" s="666"/>
      <c r="B165" s="666"/>
      <c r="C165" s="666"/>
      <c r="D165" s="666"/>
      <c r="E165" s="666"/>
      <c r="F165" s="666"/>
      <c r="G165" s="666"/>
      <c r="H165" s="666"/>
      <c r="I165" s="666"/>
      <c r="J165" s="666"/>
      <c r="K165" s="666"/>
      <c r="L165" s="666"/>
      <c r="M165" s="666"/>
      <c r="N165" s="666"/>
      <c r="O165" s="666"/>
      <c r="P165" s="666"/>
      <c r="Q165" s="666"/>
      <c r="R165" s="666"/>
      <c r="S165" s="666"/>
      <c r="T165" s="666"/>
      <c r="U165" s="666"/>
      <c r="V165" s="666"/>
      <c r="W165" s="666"/>
      <c r="X165" s="666"/>
      <c r="Y165" s="667"/>
      <c r="Z165" s="667"/>
    </row>
    <row r="166" spans="1:26" ht="15.75" customHeight="1">
      <c r="A166" s="666"/>
      <c r="B166" s="666"/>
      <c r="C166" s="666"/>
      <c r="D166" s="666"/>
      <c r="E166" s="666"/>
      <c r="F166" s="666"/>
      <c r="G166" s="666"/>
      <c r="H166" s="666"/>
      <c r="I166" s="666"/>
      <c r="J166" s="666"/>
      <c r="K166" s="666"/>
      <c r="L166" s="666"/>
      <c r="M166" s="666"/>
      <c r="N166" s="666"/>
      <c r="O166" s="666"/>
      <c r="P166" s="666"/>
      <c r="Q166" s="666"/>
      <c r="R166" s="666"/>
      <c r="S166" s="666"/>
      <c r="T166" s="666"/>
      <c r="U166" s="666"/>
      <c r="V166" s="666"/>
      <c r="W166" s="666"/>
      <c r="X166" s="666"/>
      <c r="Y166" s="667"/>
      <c r="Z166" s="667"/>
    </row>
    <row r="167" spans="1:26" ht="15.75" customHeight="1">
      <c r="A167" s="666"/>
      <c r="B167" s="666"/>
      <c r="C167" s="666"/>
      <c r="D167" s="666"/>
      <c r="E167" s="666"/>
      <c r="F167" s="666"/>
      <c r="G167" s="666"/>
      <c r="H167" s="666"/>
      <c r="I167" s="666"/>
      <c r="J167" s="666"/>
      <c r="K167" s="666"/>
      <c r="L167" s="666"/>
      <c r="M167" s="666"/>
      <c r="N167" s="666"/>
      <c r="O167" s="666"/>
      <c r="P167" s="666"/>
      <c r="Q167" s="666"/>
      <c r="R167" s="666"/>
      <c r="S167" s="666"/>
      <c r="T167" s="666"/>
      <c r="U167" s="666"/>
      <c r="V167" s="666"/>
      <c r="W167" s="666"/>
      <c r="X167" s="666"/>
      <c r="Y167" s="667"/>
      <c r="Z167" s="667"/>
    </row>
    <row r="168" spans="1:26" ht="15.75" customHeight="1">
      <c r="A168" s="666"/>
      <c r="B168" s="666"/>
      <c r="C168" s="666"/>
      <c r="D168" s="666"/>
      <c r="E168" s="666"/>
      <c r="F168" s="666"/>
      <c r="G168" s="666"/>
      <c r="H168" s="666"/>
      <c r="I168" s="666"/>
      <c r="J168" s="666"/>
      <c r="K168" s="666"/>
      <c r="L168" s="666"/>
      <c r="M168" s="666"/>
      <c r="N168" s="666"/>
      <c r="O168" s="666"/>
      <c r="P168" s="666"/>
      <c r="Q168" s="666"/>
      <c r="R168" s="666"/>
      <c r="S168" s="666"/>
      <c r="T168" s="666"/>
      <c r="U168" s="666"/>
      <c r="V168" s="666"/>
      <c r="W168" s="666"/>
      <c r="X168" s="666"/>
      <c r="Y168" s="667"/>
      <c r="Z168" s="667"/>
    </row>
    <row r="169" spans="1:26" ht="15.75" customHeight="1">
      <c r="A169" s="666"/>
      <c r="B169" s="666"/>
      <c r="C169" s="666"/>
      <c r="D169" s="666"/>
      <c r="E169" s="666"/>
      <c r="F169" s="666"/>
      <c r="G169" s="666"/>
      <c r="H169" s="666"/>
      <c r="I169" s="666"/>
      <c r="J169" s="666"/>
      <c r="K169" s="666"/>
      <c r="L169" s="666"/>
      <c r="M169" s="666"/>
      <c r="N169" s="666"/>
      <c r="O169" s="666"/>
      <c r="P169" s="666"/>
      <c r="Q169" s="666"/>
      <c r="R169" s="666"/>
      <c r="S169" s="666"/>
      <c r="T169" s="666"/>
      <c r="U169" s="666"/>
      <c r="V169" s="666"/>
      <c r="W169" s="666"/>
      <c r="X169" s="666"/>
      <c r="Y169" s="667"/>
      <c r="Z169" s="667"/>
    </row>
    <row r="170" spans="1:26" ht="15.75" customHeight="1">
      <c r="A170" s="666"/>
      <c r="B170" s="666"/>
      <c r="C170" s="666"/>
      <c r="D170" s="666"/>
      <c r="E170" s="666"/>
      <c r="F170" s="666"/>
      <c r="G170" s="666"/>
      <c r="H170" s="666"/>
      <c r="I170" s="666"/>
      <c r="J170" s="666"/>
      <c r="K170" s="666"/>
      <c r="L170" s="666"/>
      <c r="M170" s="666"/>
      <c r="N170" s="666"/>
      <c r="O170" s="666"/>
      <c r="P170" s="666"/>
      <c r="Q170" s="666"/>
      <c r="R170" s="666"/>
      <c r="S170" s="666"/>
      <c r="T170" s="666"/>
      <c r="U170" s="666"/>
      <c r="V170" s="666"/>
      <c r="W170" s="666"/>
      <c r="X170" s="666"/>
      <c r="Y170" s="667"/>
      <c r="Z170" s="667"/>
    </row>
    <row r="171" spans="1:26" ht="15.75" customHeight="1">
      <c r="A171" s="666"/>
      <c r="B171" s="666"/>
      <c r="C171" s="666"/>
      <c r="D171" s="666"/>
      <c r="E171" s="666"/>
      <c r="F171" s="666"/>
      <c r="G171" s="666"/>
      <c r="H171" s="666"/>
      <c r="I171" s="666"/>
      <c r="J171" s="666"/>
      <c r="K171" s="666"/>
      <c r="L171" s="666"/>
      <c r="M171" s="666"/>
      <c r="N171" s="666"/>
      <c r="O171" s="666"/>
      <c r="P171" s="666"/>
      <c r="Q171" s="666"/>
      <c r="R171" s="666"/>
      <c r="S171" s="666"/>
      <c r="T171" s="666"/>
      <c r="U171" s="666"/>
      <c r="V171" s="666"/>
      <c r="W171" s="666"/>
      <c r="X171" s="666"/>
      <c r="Y171" s="667"/>
      <c r="Z171" s="667"/>
    </row>
    <row r="172" spans="1:26" ht="15.75" customHeight="1">
      <c r="A172" s="666"/>
      <c r="B172" s="666"/>
      <c r="C172" s="666"/>
      <c r="D172" s="666"/>
      <c r="E172" s="666"/>
      <c r="F172" s="666"/>
      <c r="G172" s="666"/>
      <c r="H172" s="666"/>
      <c r="I172" s="666"/>
      <c r="J172" s="666"/>
      <c r="K172" s="666"/>
      <c r="L172" s="666"/>
      <c r="M172" s="666"/>
      <c r="N172" s="666"/>
      <c r="O172" s="666"/>
      <c r="P172" s="666"/>
      <c r="Q172" s="666"/>
      <c r="R172" s="666"/>
      <c r="S172" s="666"/>
      <c r="T172" s="666"/>
      <c r="U172" s="666"/>
      <c r="V172" s="666"/>
      <c r="W172" s="666"/>
      <c r="X172" s="666"/>
      <c r="Y172" s="667"/>
      <c r="Z172" s="667"/>
    </row>
    <row r="173" spans="1:26" ht="15.75" customHeight="1">
      <c r="A173" s="666"/>
      <c r="B173" s="666"/>
      <c r="C173" s="666"/>
      <c r="D173" s="666"/>
      <c r="E173" s="666"/>
      <c r="F173" s="666"/>
      <c r="G173" s="666"/>
      <c r="H173" s="666"/>
      <c r="I173" s="666"/>
      <c r="J173" s="666"/>
      <c r="K173" s="666"/>
      <c r="L173" s="666"/>
      <c r="M173" s="666"/>
      <c r="N173" s="666"/>
      <c r="O173" s="666"/>
      <c r="P173" s="666"/>
      <c r="Q173" s="666"/>
      <c r="R173" s="666"/>
      <c r="S173" s="666"/>
      <c r="T173" s="666"/>
      <c r="U173" s="666"/>
      <c r="V173" s="666"/>
      <c r="W173" s="666"/>
      <c r="X173" s="666"/>
      <c r="Y173" s="667"/>
      <c r="Z173" s="667"/>
    </row>
    <row r="174" spans="1:26" ht="15.75" customHeight="1">
      <c r="A174" s="666"/>
      <c r="B174" s="666"/>
      <c r="C174" s="666"/>
      <c r="D174" s="666"/>
      <c r="E174" s="666"/>
      <c r="F174" s="666"/>
      <c r="G174" s="666"/>
      <c r="H174" s="666"/>
      <c r="I174" s="666"/>
      <c r="J174" s="666"/>
      <c r="K174" s="666"/>
      <c r="L174" s="666"/>
      <c r="M174" s="666"/>
      <c r="N174" s="666"/>
      <c r="O174" s="666"/>
      <c r="P174" s="666"/>
      <c r="Q174" s="666"/>
      <c r="R174" s="666"/>
      <c r="S174" s="666"/>
      <c r="T174" s="666"/>
      <c r="U174" s="666"/>
      <c r="V174" s="666"/>
      <c r="W174" s="666"/>
      <c r="X174" s="666"/>
      <c r="Y174" s="667"/>
      <c r="Z174" s="667"/>
    </row>
    <row r="175" spans="1:26" ht="15.75" customHeight="1">
      <c r="A175" s="666"/>
      <c r="B175" s="666"/>
      <c r="C175" s="666"/>
      <c r="D175" s="666"/>
      <c r="E175" s="666"/>
      <c r="F175" s="666"/>
      <c r="G175" s="666"/>
      <c r="H175" s="666"/>
      <c r="I175" s="666"/>
      <c r="J175" s="666"/>
      <c r="K175" s="666"/>
      <c r="L175" s="666"/>
      <c r="M175" s="666"/>
      <c r="N175" s="666"/>
      <c r="O175" s="666"/>
      <c r="P175" s="666"/>
      <c r="Q175" s="666"/>
      <c r="R175" s="666"/>
      <c r="S175" s="666"/>
      <c r="T175" s="666"/>
      <c r="U175" s="666"/>
      <c r="V175" s="666"/>
      <c r="W175" s="666"/>
      <c r="X175" s="666"/>
      <c r="Y175" s="667"/>
      <c r="Z175" s="667"/>
    </row>
    <row r="176" spans="1:26" ht="15.75" customHeight="1">
      <c r="A176" s="666"/>
      <c r="B176" s="666"/>
      <c r="C176" s="666"/>
      <c r="D176" s="666"/>
      <c r="E176" s="666"/>
      <c r="F176" s="666"/>
      <c r="G176" s="666"/>
      <c r="H176" s="666"/>
      <c r="I176" s="666"/>
      <c r="J176" s="666"/>
      <c r="K176" s="666"/>
      <c r="L176" s="666"/>
      <c r="M176" s="666"/>
      <c r="N176" s="666"/>
      <c r="O176" s="666"/>
      <c r="P176" s="666"/>
      <c r="Q176" s="666"/>
      <c r="R176" s="666"/>
      <c r="S176" s="666"/>
      <c r="T176" s="666"/>
      <c r="U176" s="666"/>
      <c r="V176" s="666"/>
      <c r="W176" s="666"/>
      <c r="X176" s="666"/>
      <c r="Y176" s="667"/>
      <c r="Z176" s="667"/>
    </row>
    <row r="177" spans="1:26" ht="15.75" customHeight="1">
      <c r="A177" s="666"/>
      <c r="B177" s="666"/>
      <c r="C177" s="666"/>
      <c r="D177" s="666"/>
      <c r="E177" s="666"/>
      <c r="F177" s="666"/>
      <c r="G177" s="666"/>
      <c r="H177" s="666"/>
      <c r="I177" s="666"/>
      <c r="J177" s="666"/>
      <c r="K177" s="666"/>
      <c r="L177" s="666"/>
      <c r="M177" s="666"/>
      <c r="N177" s="666"/>
      <c r="O177" s="666"/>
      <c r="P177" s="666"/>
      <c r="Q177" s="666"/>
      <c r="R177" s="666"/>
      <c r="S177" s="666"/>
      <c r="T177" s="666"/>
      <c r="U177" s="666"/>
      <c r="V177" s="666"/>
      <c r="W177" s="666"/>
      <c r="X177" s="666"/>
      <c r="Y177" s="667"/>
      <c r="Z177" s="667"/>
    </row>
    <row r="178" spans="1:26" ht="15.75" customHeight="1">
      <c r="A178" s="666"/>
      <c r="B178" s="666"/>
      <c r="C178" s="666"/>
      <c r="D178" s="666"/>
      <c r="E178" s="666"/>
      <c r="F178" s="666"/>
      <c r="G178" s="666"/>
      <c r="H178" s="666"/>
      <c r="I178" s="666"/>
      <c r="J178" s="666"/>
      <c r="K178" s="666"/>
      <c r="L178" s="666"/>
      <c r="M178" s="666"/>
      <c r="N178" s="666"/>
      <c r="O178" s="666"/>
      <c r="P178" s="666"/>
      <c r="Q178" s="666"/>
      <c r="R178" s="666"/>
      <c r="S178" s="666"/>
      <c r="T178" s="666"/>
      <c r="U178" s="666"/>
      <c r="V178" s="666"/>
      <c r="W178" s="666"/>
      <c r="X178" s="666"/>
      <c r="Y178" s="667"/>
      <c r="Z178" s="667"/>
    </row>
    <row r="179" spans="1:26" ht="15.75" customHeight="1">
      <c r="A179" s="666"/>
      <c r="B179" s="666"/>
      <c r="C179" s="666"/>
      <c r="D179" s="666"/>
      <c r="E179" s="666"/>
      <c r="F179" s="666"/>
      <c r="G179" s="666"/>
      <c r="H179" s="666"/>
      <c r="I179" s="666"/>
      <c r="J179" s="666"/>
      <c r="K179" s="666"/>
      <c r="L179" s="666"/>
      <c r="M179" s="666"/>
      <c r="N179" s="666"/>
      <c r="O179" s="666"/>
      <c r="P179" s="666"/>
      <c r="Q179" s="666"/>
      <c r="R179" s="666"/>
      <c r="S179" s="666"/>
      <c r="T179" s="666"/>
      <c r="U179" s="666"/>
      <c r="V179" s="666"/>
      <c r="W179" s="666"/>
      <c r="X179" s="666"/>
      <c r="Y179" s="667"/>
      <c r="Z179" s="667"/>
    </row>
    <row r="180" spans="1:26" ht="15.75" customHeight="1">
      <c r="A180" s="666"/>
      <c r="B180" s="666"/>
      <c r="C180" s="666"/>
      <c r="D180" s="666"/>
      <c r="E180" s="666"/>
      <c r="F180" s="666"/>
      <c r="G180" s="666"/>
      <c r="H180" s="666"/>
      <c r="I180" s="666"/>
      <c r="J180" s="666"/>
      <c r="K180" s="666"/>
      <c r="L180" s="666"/>
      <c r="M180" s="666"/>
      <c r="N180" s="666"/>
      <c r="O180" s="666"/>
      <c r="P180" s="666"/>
      <c r="Q180" s="666"/>
      <c r="R180" s="666"/>
      <c r="S180" s="666"/>
      <c r="T180" s="666"/>
      <c r="U180" s="666"/>
      <c r="V180" s="666"/>
      <c r="W180" s="666"/>
      <c r="X180" s="666"/>
      <c r="Y180" s="667"/>
      <c r="Z180" s="667"/>
    </row>
    <row r="181" spans="1:26" ht="15.75" customHeight="1">
      <c r="A181" s="666"/>
      <c r="B181" s="666"/>
      <c r="C181" s="666"/>
      <c r="D181" s="666"/>
      <c r="E181" s="666"/>
      <c r="F181" s="666"/>
      <c r="G181" s="666"/>
      <c r="H181" s="666"/>
      <c r="I181" s="666"/>
      <c r="J181" s="666"/>
      <c r="K181" s="666"/>
      <c r="L181" s="666"/>
      <c r="M181" s="666"/>
      <c r="N181" s="666"/>
      <c r="O181" s="666"/>
      <c r="P181" s="666"/>
      <c r="Q181" s="666"/>
      <c r="R181" s="666"/>
      <c r="S181" s="666"/>
      <c r="T181" s="666"/>
      <c r="U181" s="666"/>
      <c r="V181" s="666"/>
      <c r="W181" s="666"/>
      <c r="X181" s="666"/>
      <c r="Y181" s="667"/>
      <c r="Z181" s="667"/>
    </row>
    <row r="182" spans="1:26" ht="15.75" customHeight="1">
      <c r="A182" s="666"/>
      <c r="B182" s="666"/>
      <c r="C182" s="666"/>
      <c r="D182" s="666"/>
      <c r="E182" s="666"/>
      <c r="F182" s="666"/>
      <c r="G182" s="666"/>
      <c r="H182" s="666"/>
      <c r="I182" s="666"/>
      <c r="J182" s="666"/>
      <c r="K182" s="666"/>
      <c r="L182" s="666"/>
      <c r="M182" s="666"/>
      <c r="N182" s="666"/>
      <c r="O182" s="666"/>
      <c r="P182" s="666"/>
      <c r="Q182" s="666"/>
      <c r="R182" s="666"/>
      <c r="S182" s="666"/>
      <c r="T182" s="666"/>
      <c r="U182" s="666"/>
      <c r="V182" s="666"/>
      <c r="W182" s="666"/>
      <c r="X182" s="666"/>
      <c r="Y182" s="667"/>
      <c r="Z182" s="667"/>
    </row>
    <row r="183" spans="1:26" ht="15.75" customHeight="1">
      <c r="A183" s="666"/>
      <c r="B183" s="666"/>
      <c r="C183" s="666"/>
      <c r="D183" s="666"/>
      <c r="E183" s="666"/>
      <c r="F183" s="666"/>
      <c r="G183" s="666"/>
      <c r="H183" s="666"/>
      <c r="I183" s="666"/>
      <c r="J183" s="666"/>
      <c r="K183" s="666"/>
      <c r="L183" s="666"/>
      <c r="M183" s="666"/>
      <c r="N183" s="666"/>
      <c r="O183" s="666"/>
      <c r="P183" s="666"/>
      <c r="Q183" s="666"/>
      <c r="R183" s="666"/>
      <c r="S183" s="666"/>
      <c r="T183" s="666"/>
      <c r="U183" s="666"/>
      <c r="V183" s="666"/>
      <c r="W183" s="666"/>
      <c r="X183" s="666"/>
      <c r="Y183" s="667"/>
      <c r="Z183" s="667"/>
    </row>
    <row r="184" spans="1:26" ht="15.75" customHeight="1">
      <c r="A184" s="666"/>
      <c r="B184" s="666"/>
      <c r="C184" s="666"/>
      <c r="D184" s="666"/>
      <c r="E184" s="666"/>
      <c r="F184" s="666"/>
      <c r="G184" s="666"/>
      <c r="H184" s="666"/>
      <c r="I184" s="666"/>
      <c r="J184" s="666"/>
      <c r="K184" s="666"/>
      <c r="L184" s="666"/>
      <c r="M184" s="666"/>
      <c r="N184" s="666"/>
      <c r="O184" s="666"/>
      <c r="P184" s="666"/>
      <c r="Q184" s="666"/>
      <c r="R184" s="666"/>
      <c r="S184" s="666"/>
      <c r="T184" s="666"/>
      <c r="U184" s="666"/>
      <c r="V184" s="666"/>
      <c r="W184" s="666"/>
      <c r="X184" s="666"/>
      <c r="Y184" s="667"/>
      <c r="Z184" s="667"/>
    </row>
    <row r="185" spans="1:26" ht="15.75" customHeight="1">
      <c r="A185" s="666"/>
      <c r="B185" s="666"/>
      <c r="C185" s="666"/>
      <c r="D185" s="666"/>
      <c r="E185" s="666"/>
      <c r="F185" s="666"/>
      <c r="G185" s="666"/>
      <c r="H185" s="666"/>
      <c r="I185" s="666"/>
      <c r="J185" s="666"/>
      <c r="K185" s="666"/>
      <c r="L185" s="666"/>
      <c r="M185" s="666"/>
      <c r="N185" s="666"/>
      <c r="O185" s="666"/>
      <c r="P185" s="666"/>
      <c r="Q185" s="666"/>
      <c r="R185" s="666"/>
      <c r="S185" s="666"/>
      <c r="T185" s="666"/>
      <c r="U185" s="666"/>
      <c r="V185" s="666"/>
      <c r="W185" s="666"/>
      <c r="X185" s="666"/>
      <c r="Y185" s="667"/>
      <c r="Z185" s="667"/>
    </row>
    <row r="186" spans="1:26" ht="15.75" customHeight="1">
      <c r="A186" s="666"/>
      <c r="B186" s="666"/>
      <c r="C186" s="666"/>
      <c r="D186" s="666"/>
      <c r="E186" s="666"/>
      <c r="F186" s="666"/>
      <c r="G186" s="666"/>
      <c r="H186" s="666"/>
      <c r="I186" s="666"/>
      <c r="J186" s="666"/>
      <c r="K186" s="666"/>
      <c r="L186" s="666"/>
      <c r="M186" s="666"/>
      <c r="N186" s="666"/>
      <c r="O186" s="666"/>
      <c r="P186" s="666"/>
      <c r="Q186" s="666"/>
      <c r="R186" s="666"/>
      <c r="S186" s="666"/>
      <c r="T186" s="666"/>
      <c r="U186" s="666"/>
      <c r="V186" s="666"/>
      <c r="W186" s="666"/>
      <c r="X186" s="666"/>
      <c r="Y186" s="667"/>
      <c r="Z186" s="667"/>
    </row>
    <row r="187" spans="1:26" ht="15.75" customHeight="1">
      <c r="A187" s="666"/>
      <c r="B187" s="666"/>
      <c r="C187" s="666"/>
      <c r="D187" s="666"/>
      <c r="E187" s="666"/>
      <c r="F187" s="666"/>
      <c r="G187" s="666"/>
      <c r="H187" s="666"/>
      <c r="I187" s="666"/>
      <c r="J187" s="666"/>
      <c r="K187" s="666"/>
      <c r="L187" s="666"/>
      <c r="M187" s="666"/>
      <c r="N187" s="666"/>
      <c r="O187" s="666"/>
      <c r="P187" s="666"/>
      <c r="Q187" s="666"/>
      <c r="R187" s="666"/>
      <c r="S187" s="666"/>
      <c r="T187" s="666"/>
      <c r="U187" s="666"/>
      <c r="V187" s="666"/>
      <c r="W187" s="666"/>
      <c r="X187" s="666"/>
      <c r="Y187" s="667"/>
      <c r="Z187" s="667"/>
    </row>
    <row r="188" spans="1:26" ht="15.75" customHeight="1">
      <c r="A188" s="666"/>
      <c r="B188" s="666"/>
      <c r="C188" s="666"/>
      <c r="D188" s="666"/>
      <c r="E188" s="666"/>
      <c r="F188" s="666"/>
      <c r="G188" s="666"/>
      <c r="H188" s="666"/>
      <c r="I188" s="666"/>
      <c r="J188" s="666"/>
      <c r="K188" s="666"/>
      <c r="L188" s="666"/>
      <c r="M188" s="666"/>
      <c r="N188" s="666"/>
      <c r="O188" s="666"/>
      <c r="P188" s="666"/>
      <c r="Q188" s="666"/>
      <c r="R188" s="666"/>
      <c r="S188" s="666"/>
      <c r="T188" s="666"/>
      <c r="U188" s="666"/>
      <c r="V188" s="666"/>
      <c r="W188" s="666"/>
      <c r="X188" s="666"/>
      <c r="Y188" s="667"/>
      <c r="Z188" s="667"/>
    </row>
    <row r="189" spans="1:26" ht="15.75" customHeight="1">
      <c r="A189" s="666"/>
      <c r="B189" s="666"/>
      <c r="C189" s="666"/>
      <c r="D189" s="666"/>
      <c r="E189" s="666"/>
      <c r="F189" s="666"/>
      <c r="G189" s="666"/>
      <c r="H189" s="666"/>
      <c r="I189" s="666"/>
      <c r="J189" s="666"/>
      <c r="K189" s="666"/>
      <c r="L189" s="666"/>
      <c r="M189" s="666"/>
      <c r="N189" s="666"/>
      <c r="O189" s="666"/>
      <c r="P189" s="666"/>
      <c r="Q189" s="666"/>
      <c r="R189" s="666"/>
      <c r="S189" s="666"/>
      <c r="T189" s="666"/>
      <c r="U189" s="666"/>
      <c r="V189" s="666"/>
      <c r="W189" s="666"/>
      <c r="X189" s="666"/>
      <c r="Y189" s="667"/>
      <c r="Z189" s="667"/>
    </row>
    <row r="190" spans="1:26" ht="15.75" customHeight="1">
      <c r="A190" s="666"/>
      <c r="B190" s="666"/>
      <c r="C190" s="666"/>
      <c r="D190" s="666"/>
      <c r="E190" s="666"/>
      <c r="F190" s="666"/>
      <c r="G190" s="666"/>
      <c r="H190" s="666"/>
      <c r="I190" s="666"/>
      <c r="J190" s="666"/>
      <c r="K190" s="666"/>
      <c r="L190" s="666"/>
      <c r="M190" s="666"/>
      <c r="N190" s="666"/>
      <c r="O190" s="666"/>
      <c r="P190" s="666"/>
      <c r="Q190" s="666"/>
      <c r="R190" s="666"/>
      <c r="S190" s="666"/>
      <c r="T190" s="666"/>
      <c r="U190" s="666"/>
      <c r="V190" s="666"/>
      <c r="W190" s="666"/>
      <c r="X190" s="666"/>
      <c r="Y190" s="667"/>
      <c r="Z190" s="667"/>
    </row>
    <row r="191" spans="1:26" ht="15.75" customHeight="1">
      <c r="A191" s="666"/>
      <c r="B191" s="666"/>
      <c r="C191" s="666"/>
      <c r="D191" s="666"/>
      <c r="E191" s="666"/>
      <c r="F191" s="666"/>
      <c r="G191" s="666"/>
      <c r="H191" s="666"/>
      <c r="I191" s="666"/>
      <c r="J191" s="666"/>
      <c r="K191" s="666"/>
      <c r="L191" s="666"/>
      <c r="M191" s="666"/>
      <c r="N191" s="666"/>
      <c r="O191" s="666"/>
      <c r="P191" s="666"/>
      <c r="Q191" s="666"/>
      <c r="R191" s="666"/>
      <c r="S191" s="666"/>
      <c r="T191" s="666"/>
      <c r="U191" s="666"/>
      <c r="V191" s="666"/>
      <c r="W191" s="666"/>
      <c r="X191" s="666"/>
      <c r="Y191" s="667"/>
      <c r="Z191" s="667"/>
    </row>
    <row r="192" spans="1:26" ht="15.75" customHeight="1">
      <c r="A192" s="666"/>
      <c r="B192" s="666"/>
      <c r="C192" s="666"/>
      <c r="D192" s="666"/>
      <c r="E192" s="666"/>
      <c r="F192" s="666"/>
      <c r="G192" s="666"/>
      <c r="H192" s="666"/>
      <c r="I192" s="666"/>
      <c r="J192" s="666"/>
      <c r="K192" s="666"/>
      <c r="L192" s="666"/>
      <c r="M192" s="666"/>
      <c r="N192" s="666"/>
      <c r="O192" s="666"/>
      <c r="P192" s="666"/>
      <c r="Q192" s="666"/>
      <c r="R192" s="666"/>
      <c r="S192" s="666"/>
      <c r="T192" s="666"/>
      <c r="U192" s="666"/>
      <c r="V192" s="666"/>
      <c r="W192" s="666"/>
      <c r="X192" s="666"/>
      <c r="Y192" s="667"/>
      <c r="Z192" s="667"/>
    </row>
    <row r="193" spans="1:26" ht="15.75" customHeight="1">
      <c r="A193" s="666"/>
      <c r="B193" s="666"/>
      <c r="C193" s="666"/>
      <c r="D193" s="666"/>
      <c r="E193" s="666"/>
      <c r="F193" s="666"/>
      <c r="G193" s="666"/>
      <c r="H193" s="666"/>
      <c r="I193" s="666"/>
      <c r="J193" s="666"/>
      <c r="K193" s="666"/>
      <c r="L193" s="666"/>
      <c r="M193" s="666"/>
      <c r="N193" s="666"/>
      <c r="O193" s="666"/>
      <c r="P193" s="666"/>
      <c r="Q193" s="666"/>
      <c r="R193" s="666"/>
      <c r="S193" s="666"/>
      <c r="T193" s="666"/>
      <c r="U193" s="666"/>
      <c r="V193" s="666"/>
      <c r="W193" s="666"/>
      <c r="X193" s="666"/>
      <c r="Y193" s="667"/>
      <c r="Z193" s="667"/>
    </row>
    <row r="194" spans="1:26" ht="15.75" customHeight="1">
      <c r="A194" s="666"/>
      <c r="B194" s="666"/>
      <c r="C194" s="666"/>
      <c r="D194" s="666"/>
      <c r="E194" s="666"/>
      <c r="F194" s="666"/>
      <c r="G194" s="666"/>
      <c r="H194" s="666"/>
      <c r="I194" s="666"/>
      <c r="J194" s="666"/>
      <c r="K194" s="666"/>
      <c r="L194" s="666"/>
      <c r="M194" s="666"/>
      <c r="N194" s="666"/>
      <c r="O194" s="666"/>
      <c r="P194" s="666"/>
      <c r="Q194" s="666"/>
      <c r="R194" s="666"/>
      <c r="S194" s="666"/>
      <c r="T194" s="666"/>
      <c r="U194" s="666"/>
      <c r="V194" s="666"/>
      <c r="W194" s="666"/>
      <c r="X194" s="666"/>
      <c r="Y194" s="667"/>
      <c r="Z194" s="667"/>
    </row>
    <row r="195" spans="1:26" ht="15.75" customHeight="1">
      <c r="A195" s="666"/>
      <c r="B195" s="666"/>
      <c r="C195" s="666"/>
      <c r="D195" s="666"/>
      <c r="E195" s="666"/>
      <c r="F195" s="666"/>
      <c r="G195" s="666"/>
      <c r="H195" s="666"/>
      <c r="I195" s="666"/>
      <c r="J195" s="666"/>
      <c r="K195" s="666"/>
      <c r="L195" s="666"/>
      <c r="M195" s="666"/>
      <c r="N195" s="666"/>
      <c r="O195" s="666"/>
      <c r="P195" s="666"/>
      <c r="Q195" s="666"/>
      <c r="R195" s="666"/>
      <c r="S195" s="666"/>
      <c r="T195" s="666"/>
      <c r="U195" s="666"/>
      <c r="V195" s="666"/>
      <c r="W195" s="666"/>
      <c r="X195" s="666"/>
      <c r="Y195" s="667"/>
      <c r="Z195" s="667"/>
    </row>
    <row r="196" spans="1:26" ht="15.75" customHeight="1">
      <c r="A196" s="666"/>
      <c r="B196" s="666"/>
      <c r="C196" s="666"/>
      <c r="D196" s="666"/>
      <c r="E196" s="666"/>
      <c r="F196" s="666"/>
      <c r="G196" s="666"/>
      <c r="H196" s="666"/>
      <c r="I196" s="666"/>
      <c r="J196" s="666"/>
      <c r="K196" s="666"/>
      <c r="L196" s="666"/>
      <c r="M196" s="666"/>
      <c r="N196" s="666"/>
      <c r="O196" s="666"/>
      <c r="P196" s="666"/>
      <c r="Q196" s="666"/>
      <c r="R196" s="666"/>
      <c r="S196" s="666"/>
      <c r="T196" s="666"/>
      <c r="U196" s="666"/>
      <c r="V196" s="666"/>
      <c r="W196" s="666"/>
      <c r="X196" s="666"/>
      <c r="Y196" s="667"/>
      <c r="Z196" s="667"/>
    </row>
    <row r="197" spans="1:26" ht="15.75" customHeight="1">
      <c r="A197" s="666"/>
      <c r="B197" s="666"/>
      <c r="C197" s="666"/>
      <c r="D197" s="666"/>
      <c r="E197" s="666"/>
      <c r="F197" s="666"/>
      <c r="G197" s="666"/>
      <c r="H197" s="666"/>
      <c r="I197" s="666"/>
      <c r="J197" s="666"/>
      <c r="K197" s="666"/>
      <c r="L197" s="666"/>
      <c r="M197" s="666"/>
      <c r="N197" s="666"/>
      <c r="O197" s="666"/>
      <c r="P197" s="666"/>
      <c r="Q197" s="666"/>
      <c r="R197" s="666"/>
      <c r="S197" s="666"/>
      <c r="T197" s="666"/>
      <c r="U197" s="666"/>
      <c r="V197" s="666"/>
      <c r="W197" s="666"/>
      <c r="X197" s="666"/>
      <c r="Y197" s="667"/>
      <c r="Z197" s="667"/>
    </row>
    <row r="198" spans="1:26" ht="15.75" customHeight="1">
      <c r="A198" s="666"/>
      <c r="B198" s="666"/>
      <c r="C198" s="666"/>
      <c r="D198" s="666"/>
      <c r="E198" s="666"/>
      <c r="F198" s="666"/>
      <c r="G198" s="666"/>
      <c r="H198" s="666"/>
      <c r="I198" s="666"/>
      <c r="J198" s="666"/>
      <c r="K198" s="666"/>
      <c r="L198" s="666"/>
      <c r="M198" s="666"/>
      <c r="N198" s="666"/>
      <c r="O198" s="666"/>
      <c r="P198" s="666"/>
      <c r="Q198" s="666"/>
      <c r="R198" s="666"/>
      <c r="S198" s="666"/>
      <c r="T198" s="666"/>
      <c r="U198" s="666"/>
      <c r="V198" s="666"/>
      <c r="W198" s="666"/>
      <c r="X198" s="666"/>
      <c r="Y198" s="667"/>
      <c r="Z198" s="667"/>
    </row>
    <row r="199" spans="1:26" ht="15.75" customHeight="1">
      <c r="A199" s="666"/>
      <c r="B199" s="666"/>
      <c r="C199" s="666"/>
      <c r="D199" s="666"/>
      <c r="E199" s="666"/>
      <c r="F199" s="666"/>
      <c r="G199" s="666"/>
      <c r="H199" s="666"/>
      <c r="I199" s="666"/>
      <c r="J199" s="666"/>
      <c r="K199" s="666"/>
      <c r="L199" s="666"/>
      <c r="M199" s="666"/>
      <c r="N199" s="666"/>
      <c r="O199" s="666"/>
      <c r="P199" s="666"/>
      <c r="Q199" s="666"/>
      <c r="R199" s="666"/>
      <c r="S199" s="666"/>
      <c r="T199" s="666"/>
      <c r="U199" s="666"/>
      <c r="V199" s="666"/>
      <c r="W199" s="666"/>
      <c r="X199" s="666"/>
      <c r="Y199" s="667"/>
      <c r="Z199" s="667"/>
    </row>
    <row r="200" spans="1:26" ht="15.75" customHeight="1">
      <c r="A200" s="666"/>
      <c r="B200" s="666"/>
      <c r="C200" s="666"/>
      <c r="D200" s="666"/>
      <c r="E200" s="666"/>
      <c r="F200" s="666"/>
      <c r="G200" s="666"/>
      <c r="H200" s="666"/>
      <c r="I200" s="666"/>
      <c r="J200" s="666"/>
      <c r="K200" s="666"/>
      <c r="L200" s="666"/>
      <c r="M200" s="666"/>
      <c r="N200" s="666"/>
      <c r="O200" s="666"/>
      <c r="P200" s="666"/>
      <c r="Q200" s="666"/>
      <c r="R200" s="666"/>
      <c r="S200" s="666"/>
      <c r="T200" s="666"/>
      <c r="U200" s="666"/>
      <c r="V200" s="666"/>
      <c r="W200" s="666"/>
      <c r="X200" s="666"/>
      <c r="Y200" s="667"/>
      <c r="Z200" s="667"/>
    </row>
    <row r="201" spans="1:26" ht="15.75" customHeight="1">
      <c r="A201" s="666"/>
      <c r="B201" s="666"/>
      <c r="C201" s="666"/>
      <c r="D201" s="666"/>
      <c r="E201" s="666"/>
      <c r="F201" s="666"/>
      <c r="G201" s="666"/>
      <c r="H201" s="666"/>
      <c r="I201" s="666"/>
      <c r="J201" s="666"/>
      <c r="K201" s="666"/>
      <c r="L201" s="666"/>
      <c r="M201" s="666"/>
      <c r="N201" s="666"/>
      <c r="O201" s="666"/>
      <c r="P201" s="666"/>
      <c r="Q201" s="666"/>
      <c r="R201" s="666"/>
      <c r="S201" s="666"/>
      <c r="T201" s="666"/>
      <c r="U201" s="666"/>
      <c r="V201" s="666"/>
      <c r="W201" s="666"/>
      <c r="X201" s="666"/>
      <c r="Y201" s="667"/>
      <c r="Z201" s="667"/>
    </row>
    <row r="202" spans="1:26" ht="15.75" customHeight="1">
      <c r="A202" s="666"/>
      <c r="B202" s="666"/>
      <c r="C202" s="666"/>
      <c r="D202" s="666"/>
      <c r="E202" s="666"/>
      <c r="F202" s="666"/>
      <c r="G202" s="666"/>
      <c r="H202" s="666"/>
      <c r="I202" s="666"/>
      <c r="J202" s="666"/>
      <c r="K202" s="666"/>
      <c r="L202" s="666"/>
      <c r="M202" s="666"/>
      <c r="N202" s="666"/>
      <c r="O202" s="666"/>
      <c r="P202" s="666"/>
      <c r="Q202" s="666"/>
      <c r="R202" s="666"/>
      <c r="S202" s="666"/>
      <c r="T202" s="666"/>
      <c r="U202" s="666"/>
      <c r="V202" s="666"/>
      <c r="W202" s="666"/>
      <c r="X202" s="666"/>
      <c r="Y202" s="667"/>
      <c r="Z202" s="667"/>
    </row>
    <row r="203" spans="1:26" ht="15.75" customHeight="1">
      <c r="A203" s="666"/>
      <c r="B203" s="666"/>
      <c r="C203" s="666"/>
      <c r="D203" s="666"/>
      <c r="E203" s="666"/>
      <c r="F203" s="666"/>
      <c r="G203" s="666"/>
      <c r="H203" s="666"/>
      <c r="I203" s="666"/>
      <c r="J203" s="666"/>
      <c r="K203" s="666"/>
      <c r="L203" s="666"/>
      <c r="M203" s="666"/>
      <c r="N203" s="666"/>
      <c r="O203" s="666"/>
      <c r="P203" s="666"/>
      <c r="Q203" s="666"/>
      <c r="R203" s="666"/>
      <c r="S203" s="666"/>
      <c r="T203" s="666"/>
      <c r="U203" s="666"/>
      <c r="V203" s="666"/>
      <c r="W203" s="666"/>
      <c r="X203" s="666"/>
      <c r="Y203" s="667"/>
      <c r="Z203" s="667"/>
    </row>
    <row r="204" spans="1:26" ht="15.75" customHeight="1">
      <c r="A204" s="666"/>
      <c r="B204" s="666"/>
      <c r="C204" s="666"/>
      <c r="D204" s="666"/>
      <c r="E204" s="666"/>
      <c r="F204" s="666"/>
      <c r="G204" s="666"/>
      <c r="H204" s="666"/>
      <c r="I204" s="666"/>
      <c r="J204" s="666"/>
      <c r="K204" s="666"/>
      <c r="L204" s="666"/>
      <c r="M204" s="666"/>
      <c r="N204" s="666"/>
      <c r="O204" s="666"/>
      <c r="P204" s="666"/>
      <c r="Q204" s="666"/>
      <c r="R204" s="666"/>
      <c r="S204" s="666"/>
      <c r="T204" s="666"/>
      <c r="U204" s="666"/>
      <c r="V204" s="666"/>
      <c r="W204" s="666"/>
      <c r="X204" s="666"/>
      <c r="Y204" s="667"/>
      <c r="Z204" s="667"/>
    </row>
    <row r="205" spans="1:26" ht="15.75" customHeight="1">
      <c r="A205" s="666"/>
      <c r="B205" s="666"/>
      <c r="C205" s="666"/>
      <c r="D205" s="666"/>
      <c r="E205" s="666"/>
      <c r="F205" s="666"/>
      <c r="G205" s="666"/>
      <c r="H205" s="666"/>
      <c r="I205" s="666"/>
      <c r="J205" s="666"/>
      <c r="K205" s="666"/>
      <c r="L205" s="666"/>
      <c r="M205" s="666"/>
      <c r="N205" s="666"/>
      <c r="O205" s="666"/>
      <c r="P205" s="666"/>
      <c r="Q205" s="666"/>
      <c r="R205" s="666"/>
      <c r="S205" s="666"/>
      <c r="T205" s="666"/>
      <c r="U205" s="666"/>
      <c r="V205" s="666"/>
      <c r="W205" s="666"/>
      <c r="X205" s="666"/>
      <c r="Y205" s="667"/>
      <c r="Z205" s="667"/>
    </row>
    <row r="206" spans="1:26" ht="15.75" customHeight="1">
      <c r="A206" s="666"/>
      <c r="B206" s="666"/>
      <c r="C206" s="666"/>
      <c r="D206" s="666"/>
      <c r="E206" s="666"/>
      <c r="F206" s="666"/>
      <c r="G206" s="666"/>
      <c r="H206" s="666"/>
      <c r="I206" s="666"/>
      <c r="J206" s="666"/>
      <c r="K206" s="666"/>
      <c r="L206" s="666"/>
      <c r="M206" s="666"/>
      <c r="N206" s="666"/>
      <c r="O206" s="666"/>
      <c r="P206" s="666"/>
      <c r="Q206" s="666"/>
      <c r="R206" s="666"/>
      <c r="S206" s="666"/>
      <c r="T206" s="666"/>
      <c r="U206" s="666"/>
      <c r="V206" s="666"/>
      <c r="W206" s="666"/>
      <c r="X206" s="666"/>
      <c r="Y206" s="667"/>
      <c r="Z206" s="667"/>
    </row>
    <row r="207" spans="1:26" ht="15.75" customHeight="1">
      <c r="A207" s="666"/>
      <c r="B207" s="666"/>
      <c r="C207" s="666"/>
      <c r="D207" s="666"/>
      <c r="E207" s="666"/>
      <c r="F207" s="666"/>
      <c r="G207" s="666"/>
      <c r="H207" s="666"/>
      <c r="I207" s="666"/>
      <c r="J207" s="666"/>
      <c r="K207" s="666"/>
      <c r="L207" s="666"/>
      <c r="M207" s="666"/>
      <c r="N207" s="666"/>
      <c r="O207" s="666"/>
      <c r="P207" s="666"/>
      <c r="Q207" s="666"/>
      <c r="R207" s="666"/>
      <c r="S207" s="666"/>
      <c r="T207" s="666"/>
      <c r="U207" s="666"/>
      <c r="V207" s="666"/>
      <c r="W207" s="666"/>
      <c r="X207" s="666"/>
      <c r="Y207" s="667"/>
      <c r="Z207" s="667"/>
    </row>
    <row r="208" spans="1:26" ht="15.75" customHeight="1">
      <c r="A208" s="666"/>
      <c r="B208" s="666"/>
      <c r="C208" s="666"/>
      <c r="D208" s="666"/>
      <c r="E208" s="666"/>
      <c r="F208" s="666"/>
      <c r="G208" s="666"/>
      <c r="H208" s="666"/>
      <c r="I208" s="666"/>
      <c r="J208" s="666"/>
      <c r="K208" s="666"/>
      <c r="L208" s="666"/>
      <c r="M208" s="666"/>
      <c r="N208" s="666"/>
      <c r="O208" s="666"/>
      <c r="P208" s="666"/>
      <c r="Q208" s="666"/>
      <c r="R208" s="666"/>
      <c r="S208" s="666"/>
      <c r="T208" s="666"/>
      <c r="U208" s="666"/>
      <c r="V208" s="666"/>
      <c r="W208" s="666"/>
      <c r="X208" s="666"/>
      <c r="Y208" s="667"/>
      <c r="Z208" s="667"/>
    </row>
    <row r="209" spans="1:26" ht="15.75" customHeight="1">
      <c r="A209" s="666"/>
      <c r="B209" s="666"/>
      <c r="C209" s="666"/>
      <c r="D209" s="666"/>
      <c r="E209" s="666"/>
      <c r="F209" s="666"/>
      <c r="G209" s="666"/>
      <c r="H209" s="666"/>
      <c r="I209" s="666"/>
      <c r="J209" s="666"/>
      <c r="K209" s="666"/>
      <c r="L209" s="666"/>
      <c r="M209" s="666"/>
      <c r="N209" s="666"/>
      <c r="O209" s="666"/>
      <c r="P209" s="666"/>
      <c r="Q209" s="666"/>
      <c r="R209" s="666"/>
      <c r="S209" s="666"/>
      <c r="T209" s="666"/>
      <c r="U209" s="666"/>
      <c r="V209" s="666"/>
      <c r="W209" s="666"/>
      <c r="X209" s="666"/>
      <c r="Y209" s="667"/>
      <c r="Z209" s="667"/>
    </row>
    <row r="210" spans="1:26" ht="15.75" customHeight="1">
      <c r="A210" s="666"/>
      <c r="B210" s="666"/>
      <c r="C210" s="666"/>
      <c r="D210" s="666"/>
      <c r="E210" s="666"/>
      <c r="F210" s="666"/>
      <c r="G210" s="666"/>
      <c r="H210" s="666"/>
      <c r="I210" s="666"/>
      <c r="J210" s="666"/>
      <c r="K210" s="666"/>
      <c r="L210" s="666"/>
      <c r="M210" s="666"/>
      <c r="N210" s="666"/>
      <c r="O210" s="666"/>
      <c r="P210" s="666"/>
      <c r="Q210" s="666"/>
      <c r="R210" s="666"/>
      <c r="S210" s="666"/>
      <c r="T210" s="666"/>
      <c r="U210" s="666"/>
      <c r="V210" s="666"/>
      <c r="W210" s="666"/>
      <c r="X210" s="666"/>
      <c r="Y210" s="667"/>
      <c r="Z210" s="667"/>
    </row>
    <row r="211" spans="1:26" ht="15.75" customHeight="1">
      <c r="A211" s="666"/>
      <c r="B211" s="666"/>
      <c r="C211" s="666"/>
      <c r="D211" s="666"/>
      <c r="E211" s="666"/>
      <c r="F211" s="666"/>
      <c r="G211" s="666"/>
      <c r="H211" s="666"/>
      <c r="I211" s="666"/>
      <c r="J211" s="666"/>
      <c r="K211" s="666"/>
      <c r="L211" s="666"/>
      <c r="M211" s="666"/>
      <c r="N211" s="666"/>
      <c r="O211" s="666"/>
      <c r="P211" s="666"/>
      <c r="Q211" s="666"/>
      <c r="R211" s="666"/>
      <c r="S211" s="666"/>
      <c r="T211" s="666"/>
      <c r="U211" s="666"/>
      <c r="V211" s="666"/>
      <c r="W211" s="666"/>
      <c r="X211" s="666"/>
      <c r="Y211" s="667"/>
      <c r="Z211" s="667"/>
    </row>
    <row r="212" spans="1:26" ht="15.75" customHeight="1">
      <c r="A212" s="666"/>
      <c r="B212" s="666"/>
      <c r="C212" s="666"/>
      <c r="D212" s="666"/>
      <c r="E212" s="666"/>
      <c r="F212" s="666"/>
      <c r="G212" s="666"/>
      <c r="H212" s="666"/>
      <c r="I212" s="666"/>
      <c r="J212" s="666"/>
      <c r="K212" s="666"/>
      <c r="L212" s="666"/>
      <c r="M212" s="666"/>
      <c r="N212" s="666"/>
      <c r="O212" s="666"/>
      <c r="P212" s="666"/>
      <c r="Q212" s="666"/>
      <c r="R212" s="666"/>
      <c r="S212" s="666"/>
      <c r="T212" s="666"/>
      <c r="U212" s="666"/>
      <c r="V212" s="666"/>
      <c r="W212" s="666"/>
      <c r="X212" s="666"/>
      <c r="Y212" s="667"/>
      <c r="Z212" s="667"/>
    </row>
    <row r="213" spans="1:26" ht="15.75" customHeight="1">
      <c r="A213" s="666"/>
      <c r="B213" s="666"/>
      <c r="C213" s="666"/>
      <c r="D213" s="666"/>
      <c r="E213" s="666"/>
      <c r="F213" s="666"/>
      <c r="G213" s="666"/>
      <c r="H213" s="666"/>
      <c r="I213" s="666"/>
      <c r="J213" s="666"/>
      <c r="K213" s="666"/>
      <c r="L213" s="666"/>
      <c r="M213" s="666"/>
      <c r="N213" s="666"/>
      <c r="O213" s="666"/>
      <c r="P213" s="666"/>
      <c r="Q213" s="666"/>
      <c r="R213" s="666"/>
      <c r="S213" s="666"/>
      <c r="T213" s="666"/>
      <c r="U213" s="666"/>
      <c r="V213" s="666"/>
      <c r="W213" s="666"/>
      <c r="X213" s="666"/>
      <c r="Y213" s="667"/>
      <c r="Z213" s="667"/>
    </row>
    <row r="214" spans="1:26" ht="15.75" customHeight="1">
      <c r="A214" s="666"/>
      <c r="B214" s="666"/>
      <c r="C214" s="666"/>
      <c r="D214" s="666"/>
      <c r="E214" s="666"/>
      <c r="F214" s="666"/>
      <c r="G214" s="666"/>
      <c r="H214" s="666"/>
      <c r="I214" s="666"/>
      <c r="J214" s="666"/>
      <c r="K214" s="666"/>
      <c r="L214" s="666"/>
      <c r="M214" s="666"/>
      <c r="N214" s="666"/>
      <c r="O214" s="666"/>
      <c r="P214" s="666"/>
      <c r="Q214" s="666"/>
      <c r="R214" s="666"/>
      <c r="S214" s="666"/>
      <c r="T214" s="666"/>
      <c r="U214" s="666"/>
      <c r="V214" s="666"/>
      <c r="W214" s="666"/>
      <c r="X214" s="666"/>
      <c r="Y214" s="667"/>
      <c r="Z214" s="667"/>
    </row>
    <row r="215" spans="1:26" ht="15.75" customHeight="1">
      <c r="A215" s="666"/>
      <c r="B215" s="666"/>
      <c r="C215" s="666"/>
      <c r="D215" s="666"/>
      <c r="E215" s="666"/>
      <c r="F215" s="666"/>
      <c r="G215" s="666"/>
      <c r="H215" s="666"/>
      <c r="I215" s="666"/>
      <c r="J215" s="666"/>
      <c r="K215" s="666"/>
      <c r="L215" s="666"/>
      <c r="M215" s="666"/>
      <c r="N215" s="666"/>
      <c r="O215" s="666"/>
      <c r="P215" s="666"/>
      <c r="Q215" s="666"/>
      <c r="R215" s="666"/>
      <c r="S215" s="666"/>
      <c r="T215" s="666"/>
      <c r="U215" s="666"/>
      <c r="V215" s="666"/>
      <c r="W215" s="666"/>
      <c r="X215" s="666"/>
      <c r="Y215" s="667"/>
      <c r="Z215" s="667"/>
    </row>
    <row r="216" spans="1:26" ht="15.75" customHeight="1">
      <c r="A216" s="666"/>
      <c r="B216" s="666"/>
      <c r="C216" s="666"/>
      <c r="D216" s="666"/>
      <c r="E216" s="666"/>
      <c r="F216" s="666"/>
      <c r="G216" s="666"/>
      <c r="H216" s="666"/>
      <c r="I216" s="666"/>
      <c r="J216" s="666"/>
      <c r="K216" s="666"/>
      <c r="L216" s="666"/>
      <c r="M216" s="666"/>
      <c r="N216" s="666"/>
      <c r="O216" s="666"/>
      <c r="P216" s="666"/>
      <c r="Q216" s="666"/>
      <c r="R216" s="666"/>
      <c r="S216" s="666"/>
      <c r="T216" s="666"/>
      <c r="U216" s="666"/>
      <c r="V216" s="666"/>
      <c r="W216" s="666"/>
      <c r="X216" s="666"/>
      <c r="Y216" s="667"/>
      <c r="Z216" s="667"/>
    </row>
    <row r="217" spans="1:26" ht="15.75" customHeight="1">
      <c r="A217" s="666"/>
      <c r="B217" s="666"/>
      <c r="C217" s="666"/>
      <c r="D217" s="666"/>
      <c r="E217" s="666"/>
      <c r="F217" s="666"/>
      <c r="G217" s="666"/>
      <c r="H217" s="666"/>
      <c r="I217" s="666"/>
      <c r="J217" s="666"/>
      <c r="K217" s="666"/>
      <c r="L217" s="666"/>
      <c r="M217" s="666"/>
      <c r="N217" s="666"/>
      <c r="O217" s="666"/>
      <c r="P217" s="666"/>
      <c r="Q217" s="666"/>
      <c r="R217" s="666"/>
      <c r="S217" s="666"/>
      <c r="T217" s="666"/>
      <c r="U217" s="666"/>
      <c r="V217" s="666"/>
      <c r="W217" s="666"/>
      <c r="X217" s="666"/>
      <c r="Y217" s="667"/>
      <c r="Z217" s="667"/>
    </row>
    <row r="218" spans="1:26" ht="15.75" customHeight="1">
      <c r="A218" s="666"/>
      <c r="B218" s="666"/>
      <c r="C218" s="666"/>
      <c r="D218" s="666"/>
      <c r="E218" s="666"/>
      <c r="F218" s="666"/>
      <c r="G218" s="666"/>
      <c r="H218" s="666"/>
      <c r="I218" s="666"/>
      <c r="J218" s="666"/>
      <c r="K218" s="666"/>
      <c r="L218" s="666"/>
      <c r="M218" s="666"/>
      <c r="N218" s="666"/>
      <c r="O218" s="666"/>
      <c r="P218" s="666"/>
      <c r="Q218" s="666"/>
      <c r="R218" s="666"/>
      <c r="S218" s="666"/>
      <c r="T218" s="666"/>
      <c r="U218" s="666"/>
      <c r="V218" s="666"/>
      <c r="W218" s="666"/>
      <c r="X218" s="666"/>
      <c r="Y218" s="667"/>
      <c r="Z218" s="667"/>
    </row>
    <row r="219" spans="1:26" ht="15.75" customHeight="1">
      <c r="A219" s="666"/>
      <c r="B219" s="666"/>
      <c r="C219" s="666"/>
      <c r="D219" s="666"/>
      <c r="E219" s="666"/>
      <c r="F219" s="666"/>
      <c r="G219" s="666"/>
      <c r="H219" s="666"/>
      <c r="I219" s="666"/>
      <c r="J219" s="666"/>
      <c r="K219" s="666"/>
      <c r="L219" s="666"/>
      <c r="M219" s="666"/>
      <c r="N219" s="666"/>
      <c r="O219" s="666"/>
      <c r="P219" s="666"/>
      <c r="Q219" s="666"/>
      <c r="R219" s="666"/>
      <c r="S219" s="666"/>
      <c r="T219" s="666"/>
      <c r="U219" s="666"/>
      <c r="V219" s="666"/>
      <c r="W219" s="666"/>
      <c r="X219" s="666"/>
      <c r="Y219" s="667"/>
      <c r="Z219" s="667"/>
    </row>
    <row r="220" spans="1:26" ht="15.75" customHeight="1">
      <c r="A220" s="666"/>
      <c r="B220" s="666"/>
      <c r="C220" s="666"/>
      <c r="D220" s="666"/>
      <c r="E220" s="666"/>
      <c r="F220" s="666"/>
      <c r="G220" s="666"/>
      <c r="H220" s="666"/>
      <c r="I220" s="666"/>
      <c r="J220" s="666"/>
      <c r="K220" s="666"/>
      <c r="L220" s="666"/>
      <c r="M220" s="666"/>
      <c r="N220" s="666"/>
      <c r="O220" s="666"/>
      <c r="P220" s="666"/>
      <c r="Q220" s="666"/>
      <c r="R220" s="666"/>
      <c r="S220" s="666"/>
      <c r="T220" s="666"/>
      <c r="U220" s="666"/>
      <c r="V220" s="666"/>
      <c r="W220" s="666"/>
      <c r="X220" s="666"/>
      <c r="Y220" s="667"/>
      <c r="Z220" s="667"/>
    </row>
    <row r="221" spans="1:26" ht="15.75" customHeight="1">
      <c r="A221" s="666"/>
      <c r="B221" s="666"/>
      <c r="C221" s="666"/>
      <c r="D221" s="666"/>
      <c r="E221" s="666"/>
      <c r="F221" s="666"/>
      <c r="G221" s="666"/>
      <c r="H221" s="666"/>
      <c r="I221" s="666"/>
      <c r="J221" s="666"/>
      <c r="K221" s="666"/>
      <c r="L221" s="666"/>
      <c r="M221" s="666"/>
      <c r="N221" s="666"/>
      <c r="O221" s="666"/>
      <c r="P221" s="666"/>
      <c r="Q221" s="666"/>
      <c r="R221" s="666"/>
      <c r="S221" s="666"/>
      <c r="T221" s="666"/>
      <c r="U221" s="666"/>
      <c r="V221" s="666"/>
      <c r="W221" s="666"/>
      <c r="X221" s="666"/>
      <c r="Y221" s="667"/>
      <c r="Z221" s="667"/>
    </row>
    <row r="222" spans="1:26" ht="15.75" customHeight="1">
      <c r="A222" s="666"/>
      <c r="B222" s="666"/>
      <c r="C222" s="666"/>
      <c r="D222" s="666"/>
      <c r="E222" s="666"/>
      <c r="F222" s="666"/>
      <c r="G222" s="666"/>
      <c r="H222" s="666"/>
      <c r="I222" s="666"/>
      <c r="J222" s="666"/>
      <c r="K222" s="666"/>
      <c r="L222" s="666"/>
      <c r="M222" s="666"/>
      <c r="N222" s="666"/>
      <c r="O222" s="666"/>
      <c r="P222" s="666"/>
      <c r="Q222" s="666"/>
      <c r="R222" s="666"/>
      <c r="S222" s="666"/>
      <c r="T222" s="666"/>
      <c r="U222" s="666"/>
      <c r="V222" s="666"/>
      <c r="W222" s="666"/>
      <c r="X222" s="666"/>
      <c r="Y222" s="667"/>
      <c r="Z222" s="667"/>
    </row>
    <row r="223" spans="1:26" ht="15.75" customHeight="1">
      <c r="A223" s="666"/>
      <c r="B223" s="666"/>
      <c r="C223" s="666"/>
      <c r="D223" s="666"/>
      <c r="E223" s="666"/>
      <c r="F223" s="666"/>
      <c r="G223" s="666"/>
      <c r="H223" s="666"/>
      <c r="I223" s="666"/>
      <c r="J223" s="666"/>
      <c r="K223" s="666"/>
      <c r="L223" s="666"/>
      <c r="M223" s="666"/>
      <c r="N223" s="666"/>
      <c r="O223" s="666"/>
      <c r="P223" s="666"/>
      <c r="Q223" s="666"/>
      <c r="R223" s="666"/>
      <c r="S223" s="666"/>
      <c r="T223" s="666"/>
      <c r="U223" s="666"/>
      <c r="V223" s="666"/>
      <c r="W223" s="666"/>
      <c r="X223" s="666"/>
      <c r="Y223" s="667"/>
      <c r="Z223" s="667"/>
    </row>
    <row r="224" spans="1:26" ht="15.75" customHeight="1">
      <c r="A224" s="666"/>
      <c r="B224" s="666"/>
      <c r="C224" s="666"/>
      <c r="D224" s="666"/>
      <c r="E224" s="666"/>
      <c r="F224" s="666"/>
      <c r="G224" s="666"/>
      <c r="H224" s="666"/>
      <c r="I224" s="666"/>
      <c r="J224" s="666"/>
      <c r="K224" s="666"/>
      <c r="L224" s="666"/>
      <c r="M224" s="666"/>
      <c r="N224" s="666"/>
      <c r="O224" s="666"/>
      <c r="P224" s="666"/>
      <c r="Q224" s="666"/>
      <c r="R224" s="666"/>
      <c r="S224" s="666"/>
      <c r="T224" s="666"/>
      <c r="U224" s="666"/>
      <c r="V224" s="666"/>
      <c r="W224" s="666"/>
      <c r="X224" s="666"/>
      <c r="Y224" s="667"/>
      <c r="Z224" s="667"/>
    </row>
    <row r="225" spans="1:26" ht="15.75" customHeight="1">
      <c r="A225" s="666"/>
      <c r="B225" s="666"/>
      <c r="C225" s="666"/>
      <c r="D225" s="666"/>
      <c r="E225" s="666"/>
      <c r="F225" s="666"/>
      <c r="G225" s="666"/>
      <c r="H225" s="666"/>
      <c r="I225" s="666"/>
      <c r="J225" s="666"/>
      <c r="K225" s="666"/>
      <c r="L225" s="666"/>
      <c r="M225" s="666"/>
      <c r="N225" s="666"/>
      <c r="O225" s="666"/>
      <c r="P225" s="666"/>
      <c r="Q225" s="666"/>
      <c r="R225" s="666"/>
      <c r="S225" s="666"/>
      <c r="T225" s="666"/>
      <c r="U225" s="666"/>
      <c r="V225" s="666"/>
      <c r="W225" s="666"/>
      <c r="X225" s="666"/>
      <c r="Y225" s="667"/>
      <c r="Z225" s="667"/>
    </row>
    <row r="226" spans="1:26" ht="15.75" customHeight="1">
      <c r="A226" s="666"/>
      <c r="B226" s="666"/>
      <c r="C226" s="666"/>
      <c r="D226" s="666"/>
      <c r="E226" s="666"/>
      <c r="F226" s="666"/>
      <c r="G226" s="666"/>
      <c r="H226" s="666"/>
      <c r="I226" s="666"/>
      <c r="J226" s="666"/>
      <c r="K226" s="666"/>
      <c r="L226" s="666"/>
      <c r="M226" s="666"/>
      <c r="N226" s="666"/>
      <c r="O226" s="666"/>
      <c r="P226" s="666"/>
      <c r="Q226" s="666"/>
      <c r="R226" s="666"/>
      <c r="S226" s="666"/>
      <c r="T226" s="666"/>
      <c r="U226" s="666"/>
      <c r="V226" s="666"/>
      <c r="W226" s="666"/>
      <c r="X226" s="666"/>
      <c r="Y226" s="667"/>
      <c r="Z226" s="667"/>
    </row>
    <row r="227" spans="1:26" ht="15.75" customHeight="1">
      <c r="A227" s="666"/>
      <c r="B227" s="666"/>
      <c r="C227" s="666"/>
      <c r="D227" s="666"/>
      <c r="E227" s="666"/>
      <c r="F227" s="666"/>
      <c r="G227" s="666"/>
      <c r="H227" s="666"/>
      <c r="I227" s="666"/>
      <c r="J227" s="666"/>
      <c r="K227" s="666"/>
      <c r="L227" s="666"/>
      <c r="M227" s="666"/>
      <c r="N227" s="666"/>
      <c r="O227" s="666"/>
      <c r="P227" s="666"/>
      <c r="Q227" s="666"/>
      <c r="R227" s="666"/>
      <c r="S227" s="666"/>
      <c r="T227" s="666"/>
      <c r="U227" s="666"/>
      <c r="V227" s="666"/>
      <c r="W227" s="666"/>
      <c r="X227" s="666"/>
      <c r="Y227" s="667"/>
      <c r="Z227" s="667"/>
    </row>
    <row r="228" spans="1:26" ht="15.75" customHeight="1">
      <c r="A228" s="666"/>
      <c r="B228" s="666"/>
      <c r="C228" s="666"/>
      <c r="D228" s="666"/>
      <c r="E228" s="666"/>
      <c r="F228" s="666"/>
      <c r="G228" s="666"/>
      <c r="H228" s="666"/>
      <c r="I228" s="666"/>
      <c r="J228" s="666"/>
      <c r="K228" s="666"/>
      <c r="L228" s="666"/>
      <c r="M228" s="666"/>
      <c r="N228" s="666"/>
      <c r="O228" s="666"/>
      <c r="P228" s="666"/>
      <c r="Q228" s="666"/>
      <c r="R228" s="666"/>
      <c r="S228" s="666"/>
      <c r="T228" s="666"/>
      <c r="U228" s="666"/>
      <c r="V228" s="666"/>
      <c r="W228" s="666"/>
      <c r="X228" s="666"/>
      <c r="Y228" s="667"/>
      <c r="Z228" s="667"/>
    </row>
    <row r="229" spans="1:26" ht="15.75" customHeight="1">
      <c r="A229" s="666"/>
      <c r="B229" s="666"/>
      <c r="C229" s="666"/>
      <c r="D229" s="666"/>
      <c r="E229" s="666"/>
      <c r="F229" s="666"/>
      <c r="G229" s="666"/>
      <c r="H229" s="666"/>
      <c r="I229" s="666"/>
      <c r="J229" s="666"/>
      <c r="K229" s="666"/>
      <c r="L229" s="666"/>
      <c r="M229" s="666"/>
      <c r="N229" s="666"/>
      <c r="O229" s="666"/>
      <c r="P229" s="666"/>
      <c r="Q229" s="666"/>
      <c r="R229" s="666"/>
      <c r="S229" s="666"/>
      <c r="T229" s="666"/>
      <c r="U229" s="666"/>
      <c r="V229" s="666"/>
      <c r="W229" s="666"/>
      <c r="X229" s="666"/>
      <c r="Y229" s="667"/>
      <c r="Z229" s="667"/>
    </row>
    <row r="230" spans="1:26" ht="15.75" customHeight="1">
      <c r="A230" s="666"/>
      <c r="B230" s="666"/>
      <c r="C230" s="666"/>
      <c r="D230" s="666"/>
      <c r="E230" s="666"/>
      <c r="F230" s="666"/>
      <c r="G230" s="666"/>
      <c r="H230" s="666"/>
      <c r="I230" s="666"/>
      <c r="J230" s="666"/>
      <c r="K230" s="666"/>
      <c r="L230" s="666"/>
      <c r="M230" s="666"/>
      <c r="N230" s="666"/>
      <c r="O230" s="666"/>
      <c r="P230" s="666"/>
      <c r="Q230" s="666"/>
      <c r="R230" s="666"/>
      <c r="S230" s="666"/>
      <c r="T230" s="666"/>
      <c r="U230" s="666"/>
      <c r="V230" s="666"/>
      <c r="W230" s="666"/>
      <c r="X230" s="666"/>
      <c r="Y230" s="667"/>
      <c r="Z230" s="667"/>
    </row>
    <row r="231" spans="1:26" ht="15.75" customHeight="1">
      <c r="A231" s="666"/>
      <c r="B231" s="666"/>
      <c r="C231" s="666"/>
      <c r="D231" s="666"/>
      <c r="E231" s="666"/>
      <c r="F231" s="666"/>
      <c r="G231" s="666"/>
      <c r="H231" s="666"/>
      <c r="I231" s="666"/>
      <c r="J231" s="666"/>
      <c r="K231" s="666"/>
      <c r="L231" s="666"/>
      <c r="M231" s="666"/>
      <c r="N231" s="666"/>
      <c r="O231" s="666"/>
      <c r="P231" s="666"/>
      <c r="Q231" s="666"/>
      <c r="R231" s="666"/>
      <c r="S231" s="666"/>
      <c r="T231" s="666"/>
      <c r="U231" s="666"/>
      <c r="V231" s="666"/>
      <c r="W231" s="666"/>
      <c r="X231" s="666"/>
      <c r="Y231" s="667"/>
      <c r="Z231" s="667"/>
    </row>
    <row r="232" spans="1:26" ht="15.75" customHeight="1">
      <c r="A232" s="666"/>
      <c r="B232" s="666"/>
      <c r="C232" s="666"/>
      <c r="D232" s="666"/>
      <c r="E232" s="666"/>
      <c r="F232" s="666"/>
      <c r="G232" s="666"/>
      <c r="H232" s="666"/>
      <c r="I232" s="666"/>
      <c r="J232" s="666"/>
      <c r="K232" s="666"/>
      <c r="L232" s="666"/>
      <c r="M232" s="666"/>
      <c r="N232" s="666"/>
      <c r="O232" s="666"/>
      <c r="P232" s="666"/>
      <c r="Q232" s="666"/>
      <c r="R232" s="666"/>
      <c r="S232" s="666"/>
      <c r="T232" s="666"/>
      <c r="U232" s="666"/>
      <c r="V232" s="666"/>
      <c r="W232" s="666"/>
      <c r="X232" s="666"/>
      <c r="Y232" s="667"/>
      <c r="Z232" s="667"/>
    </row>
    <row r="233" spans="1:26" ht="15.75" customHeight="1">
      <c r="A233" s="666"/>
      <c r="B233" s="666"/>
      <c r="C233" s="666"/>
      <c r="D233" s="666"/>
      <c r="E233" s="666"/>
      <c r="F233" s="666"/>
      <c r="G233" s="666"/>
      <c r="H233" s="666"/>
      <c r="I233" s="666"/>
      <c r="J233" s="666"/>
      <c r="K233" s="666"/>
      <c r="L233" s="666"/>
      <c r="M233" s="666"/>
      <c r="N233" s="666"/>
      <c r="O233" s="666"/>
      <c r="P233" s="666"/>
      <c r="Q233" s="666"/>
      <c r="R233" s="666"/>
      <c r="S233" s="666"/>
      <c r="T233" s="666"/>
      <c r="U233" s="666"/>
      <c r="V233" s="666"/>
      <c r="W233" s="666"/>
      <c r="X233" s="666"/>
      <c r="Y233" s="667"/>
      <c r="Z233" s="667"/>
    </row>
    <row r="234" spans="1:26" ht="15.75" customHeight="1">
      <c r="A234" s="666"/>
      <c r="B234" s="666"/>
      <c r="C234" s="666"/>
      <c r="D234" s="666"/>
      <c r="E234" s="666"/>
      <c r="F234" s="666"/>
      <c r="G234" s="666"/>
      <c r="H234" s="666"/>
      <c r="I234" s="666"/>
      <c r="J234" s="666"/>
      <c r="K234" s="666"/>
      <c r="L234" s="666"/>
      <c r="M234" s="666"/>
      <c r="N234" s="666"/>
      <c r="O234" s="666"/>
      <c r="P234" s="666"/>
      <c r="Q234" s="666"/>
      <c r="R234" s="666"/>
      <c r="S234" s="666"/>
      <c r="T234" s="666"/>
      <c r="U234" s="666"/>
      <c r="V234" s="666"/>
      <c r="W234" s="666"/>
      <c r="X234" s="666"/>
      <c r="Y234" s="667"/>
      <c r="Z234" s="667"/>
    </row>
    <row r="235" spans="1:26" ht="15.75" customHeight="1">
      <c r="A235" s="666"/>
      <c r="B235" s="666"/>
      <c r="C235" s="666"/>
      <c r="D235" s="666"/>
      <c r="E235" s="666"/>
      <c r="F235" s="666"/>
      <c r="G235" s="666"/>
      <c r="H235" s="666"/>
      <c r="I235" s="666"/>
      <c r="J235" s="666"/>
      <c r="K235" s="666"/>
      <c r="L235" s="666"/>
      <c r="M235" s="666"/>
      <c r="N235" s="666"/>
      <c r="O235" s="666"/>
      <c r="P235" s="666"/>
      <c r="Q235" s="666"/>
      <c r="R235" s="666"/>
      <c r="S235" s="666"/>
      <c r="T235" s="666"/>
      <c r="U235" s="666"/>
      <c r="V235" s="666"/>
      <c r="W235" s="666"/>
      <c r="X235" s="666"/>
      <c r="Y235" s="667"/>
      <c r="Z235" s="667"/>
    </row>
    <row r="236" spans="1:26" ht="15.75" customHeight="1">
      <c r="A236" s="666"/>
      <c r="B236" s="666"/>
      <c r="C236" s="666"/>
      <c r="D236" s="666"/>
      <c r="E236" s="666"/>
      <c r="F236" s="666"/>
      <c r="G236" s="666"/>
      <c r="H236" s="666"/>
      <c r="I236" s="666"/>
      <c r="J236" s="666"/>
      <c r="K236" s="666"/>
      <c r="L236" s="666"/>
      <c r="M236" s="666"/>
      <c r="N236" s="666"/>
      <c r="O236" s="666"/>
      <c r="P236" s="666"/>
      <c r="Q236" s="666"/>
      <c r="R236" s="666"/>
      <c r="S236" s="666"/>
      <c r="T236" s="666"/>
      <c r="U236" s="666"/>
      <c r="V236" s="666"/>
      <c r="W236" s="666"/>
      <c r="X236" s="666"/>
      <c r="Y236" s="667"/>
      <c r="Z236" s="667"/>
    </row>
    <row r="237" spans="1:26" ht="15.75" customHeight="1">
      <c r="A237" s="666"/>
      <c r="B237" s="666"/>
      <c r="C237" s="666"/>
      <c r="D237" s="666"/>
      <c r="E237" s="666"/>
      <c r="F237" s="666"/>
      <c r="G237" s="666"/>
      <c r="H237" s="666"/>
      <c r="I237" s="666"/>
      <c r="J237" s="666"/>
      <c r="K237" s="666"/>
      <c r="L237" s="666"/>
      <c r="M237" s="666"/>
      <c r="N237" s="666"/>
      <c r="O237" s="666"/>
      <c r="P237" s="666"/>
      <c r="Q237" s="666"/>
      <c r="R237" s="666"/>
      <c r="S237" s="666"/>
      <c r="T237" s="666"/>
      <c r="U237" s="666"/>
      <c r="V237" s="666"/>
      <c r="W237" s="666"/>
      <c r="X237" s="666"/>
      <c r="Y237" s="667"/>
      <c r="Z237" s="667"/>
    </row>
    <row r="238" spans="1:26" ht="15.75" customHeight="1">
      <c r="A238" s="666"/>
      <c r="B238" s="666"/>
      <c r="C238" s="666"/>
      <c r="D238" s="666"/>
      <c r="E238" s="666"/>
      <c r="F238" s="666"/>
      <c r="G238" s="666"/>
      <c r="H238" s="666"/>
      <c r="I238" s="666"/>
      <c r="J238" s="666"/>
      <c r="K238" s="666"/>
      <c r="L238" s="666"/>
      <c r="M238" s="666"/>
      <c r="N238" s="666"/>
      <c r="O238" s="666"/>
      <c r="P238" s="666"/>
      <c r="Q238" s="666"/>
      <c r="R238" s="666"/>
      <c r="S238" s="666"/>
      <c r="T238" s="666"/>
      <c r="U238" s="666"/>
      <c r="V238" s="666"/>
      <c r="W238" s="666"/>
      <c r="X238" s="666"/>
      <c r="Y238" s="667"/>
      <c r="Z238" s="667"/>
    </row>
    <row r="239" spans="1:26" ht="15.75" customHeight="1">
      <c r="A239" s="666"/>
      <c r="B239" s="666"/>
      <c r="C239" s="666"/>
      <c r="D239" s="666"/>
      <c r="E239" s="666"/>
      <c r="F239" s="666"/>
      <c r="G239" s="666"/>
      <c r="H239" s="666"/>
      <c r="I239" s="666"/>
      <c r="J239" s="666"/>
      <c r="K239" s="666"/>
      <c r="L239" s="666"/>
      <c r="M239" s="666"/>
      <c r="N239" s="666"/>
      <c r="O239" s="666"/>
      <c r="P239" s="666"/>
      <c r="Q239" s="666"/>
      <c r="R239" s="666"/>
      <c r="S239" s="666"/>
      <c r="T239" s="666"/>
      <c r="U239" s="666"/>
      <c r="V239" s="666"/>
      <c r="W239" s="666"/>
      <c r="X239" s="666"/>
      <c r="Y239" s="667"/>
      <c r="Z239" s="667"/>
    </row>
    <row r="240" spans="1:26" ht="15.75" customHeight="1">
      <c r="A240" s="666"/>
      <c r="B240" s="666"/>
      <c r="C240" s="666"/>
      <c r="D240" s="666"/>
      <c r="E240" s="666"/>
      <c r="F240" s="666"/>
      <c r="G240" s="666"/>
      <c r="H240" s="666"/>
      <c r="I240" s="666"/>
      <c r="J240" s="666"/>
      <c r="K240" s="666"/>
      <c r="L240" s="666"/>
      <c r="M240" s="666"/>
      <c r="N240" s="666"/>
      <c r="O240" s="666"/>
      <c r="P240" s="666"/>
      <c r="Q240" s="666"/>
      <c r="R240" s="666"/>
      <c r="S240" s="666"/>
      <c r="T240" s="666"/>
      <c r="U240" s="666"/>
      <c r="V240" s="666"/>
      <c r="W240" s="666"/>
      <c r="X240" s="666"/>
      <c r="Y240" s="667"/>
      <c r="Z240" s="667"/>
    </row>
    <row r="241" spans="1:26" ht="15.75" customHeight="1">
      <c r="A241" s="666"/>
      <c r="B241" s="666"/>
      <c r="C241" s="666"/>
      <c r="D241" s="666"/>
      <c r="E241" s="666"/>
      <c r="F241" s="666"/>
      <c r="G241" s="666"/>
      <c r="H241" s="666"/>
      <c r="I241" s="666"/>
      <c r="J241" s="666"/>
      <c r="K241" s="666"/>
      <c r="L241" s="666"/>
      <c r="M241" s="666"/>
      <c r="N241" s="666"/>
      <c r="O241" s="666"/>
      <c r="P241" s="666"/>
      <c r="Q241" s="666"/>
      <c r="R241" s="666"/>
      <c r="S241" s="666"/>
      <c r="T241" s="666"/>
      <c r="U241" s="666"/>
      <c r="V241" s="666"/>
      <c r="W241" s="666"/>
      <c r="X241" s="666"/>
      <c r="Y241" s="667"/>
      <c r="Z241" s="667"/>
    </row>
    <row r="242" spans="1:26" ht="15.75" customHeight="1">
      <c r="A242" s="666"/>
      <c r="B242" s="666"/>
      <c r="C242" s="666"/>
      <c r="D242" s="666"/>
      <c r="E242" s="666"/>
      <c r="F242" s="666"/>
      <c r="G242" s="666"/>
      <c r="H242" s="666"/>
      <c r="I242" s="666"/>
      <c r="J242" s="666"/>
      <c r="K242" s="666"/>
      <c r="L242" s="666"/>
      <c r="M242" s="666"/>
      <c r="N242" s="666"/>
      <c r="O242" s="666"/>
      <c r="P242" s="666"/>
      <c r="Q242" s="666"/>
      <c r="R242" s="666"/>
      <c r="S242" s="666"/>
      <c r="T242" s="666"/>
      <c r="U242" s="666"/>
      <c r="V242" s="666"/>
      <c r="W242" s="666"/>
      <c r="X242" s="666"/>
      <c r="Y242" s="667"/>
      <c r="Z242" s="667"/>
    </row>
    <row r="243" spans="1:26" ht="15.75" customHeight="1">
      <c r="A243" s="666"/>
      <c r="B243" s="666"/>
      <c r="C243" s="666"/>
      <c r="D243" s="666"/>
      <c r="E243" s="666"/>
      <c r="F243" s="666"/>
      <c r="G243" s="666"/>
      <c r="H243" s="666"/>
      <c r="I243" s="666"/>
      <c r="J243" s="666"/>
      <c r="K243" s="666"/>
      <c r="L243" s="666"/>
      <c r="M243" s="666"/>
      <c r="N243" s="666"/>
      <c r="O243" s="666"/>
      <c r="P243" s="666"/>
      <c r="Q243" s="666"/>
      <c r="R243" s="666"/>
      <c r="S243" s="666"/>
      <c r="T243" s="666"/>
      <c r="U243" s="666"/>
      <c r="V243" s="666"/>
      <c r="W243" s="666"/>
      <c r="X243" s="666"/>
      <c r="Y243" s="667"/>
      <c r="Z243" s="667"/>
    </row>
    <row r="244" spans="1:26" ht="15.75" customHeight="1">
      <c r="A244" s="666"/>
      <c r="B244" s="666"/>
      <c r="C244" s="666"/>
      <c r="D244" s="666"/>
      <c r="E244" s="666"/>
      <c r="F244" s="666"/>
      <c r="G244" s="666"/>
      <c r="H244" s="666"/>
      <c r="I244" s="666"/>
      <c r="J244" s="666"/>
      <c r="K244" s="666"/>
      <c r="L244" s="666"/>
      <c r="M244" s="666"/>
      <c r="N244" s="666"/>
      <c r="O244" s="666"/>
      <c r="P244" s="666"/>
      <c r="Q244" s="666"/>
      <c r="R244" s="666"/>
      <c r="S244" s="666"/>
      <c r="T244" s="666"/>
      <c r="U244" s="666"/>
      <c r="V244" s="666"/>
      <c r="W244" s="666"/>
      <c r="X244" s="666"/>
      <c r="Y244" s="667"/>
      <c r="Z244" s="667"/>
    </row>
    <row r="245" spans="1:26" ht="15.75" customHeight="1">
      <c r="A245" s="666"/>
      <c r="B245" s="666"/>
      <c r="C245" s="666"/>
      <c r="D245" s="666"/>
      <c r="E245" s="666"/>
      <c r="F245" s="666"/>
      <c r="G245" s="666"/>
      <c r="H245" s="666"/>
      <c r="I245" s="666"/>
      <c r="J245" s="666"/>
      <c r="K245" s="666"/>
      <c r="L245" s="666"/>
      <c r="M245" s="666"/>
      <c r="N245" s="666"/>
      <c r="O245" s="666"/>
      <c r="P245" s="666"/>
      <c r="Q245" s="666"/>
      <c r="R245" s="666"/>
      <c r="S245" s="666"/>
      <c r="T245" s="666"/>
      <c r="U245" s="666"/>
      <c r="V245" s="666"/>
      <c r="W245" s="666"/>
      <c r="X245" s="666"/>
      <c r="Y245" s="667"/>
      <c r="Z245" s="667"/>
    </row>
    <row r="246" spans="1:26" ht="15.75" customHeight="1">
      <c r="A246" s="666"/>
      <c r="B246" s="666"/>
      <c r="C246" s="666"/>
      <c r="D246" s="666"/>
      <c r="E246" s="666"/>
      <c r="F246" s="666"/>
      <c r="G246" s="666"/>
      <c r="H246" s="666"/>
      <c r="I246" s="666"/>
      <c r="J246" s="666"/>
      <c r="K246" s="666"/>
      <c r="L246" s="666"/>
      <c r="M246" s="666"/>
      <c r="N246" s="666"/>
      <c r="O246" s="666"/>
      <c r="P246" s="666"/>
      <c r="Q246" s="666"/>
      <c r="R246" s="666"/>
      <c r="S246" s="666"/>
      <c r="T246" s="666"/>
      <c r="U246" s="666"/>
      <c r="V246" s="666"/>
      <c r="W246" s="666"/>
      <c r="X246" s="666"/>
      <c r="Y246" s="667"/>
      <c r="Z246" s="667"/>
    </row>
    <row r="247" spans="1:26" ht="15.75" customHeight="1">
      <c r="A247" s="666"/>
      <c r="B247" s="666"/>
      <c r="C247" s="666"/>
      <c r="D247" s="666"/>
      <c r="E247" s="666"/>
      <c r="F247" s="666"/>
      <c r="G247" s="666"/>
      <c r="H247" s="666"/>
      <c r="I247" s="666"/>
      <c r="J247" s="666"/>
      <c r="K247" s="666"/>
      <c r="L247" s="666"/>
      <c r="M247" s="666"/>
      <c r="N247" s="666"/>
      <c r="O247" s="666"/>
      <c r="P247" s="666"/>
      <c r="Q247" s="666"/>
      <c r="R247" s="666"/>
      <c r="S247" s="666"/>
      <c r="T247" s="666"/>
      <c r="U247" s="666"/>
      <c r="V247" s="666"/>
      <c r="W247" s="666"/>
      <c r="X247" s="666"/>
      <c r="Y247" s="667"/>
      <c r="Z247" s="667"/>
    </row>
    <row r="248" spans="1:26" ht="15.75" customHeight="1">
      <c r="A248" s="666"/>
      <c r="B248" s="666"/>
      <c r="C248" s="666"/>
      <c r="D248" s="666"/>
      <c r="E248" s="666"/>
      <c r="F248" s="666"/>
      <c r="G248" s="666"/>
      <c r="H248" s="666"/>
      <c r="I248" s="666"/>
      <c r="J248" s="666"/>
      <c r="K248" s="666"/>
      <c r="L248" s="666"/>
      <c r="M248" s="666"/>
      <c r="N248" s="666"/>
      <c r="O248" s="666"/>
      <c r="P248" s="666"/>
      <c r="Q248" s="666"/>
      <c r="R248" s="666"/>
      <c r="S248" s="666"/>
      <c r="T248" s="666"/>
      <c r="U248" s="666"/>
      <c r="V248" s="666"/>
      <c r="W248" s="666"/>
      <c r="X248" s="666"/>
      <c r="Y248" s="667"/>
      <c r="Z248" s="667"/>
    </row>
    <row r="249" spans="1:26" ht="15.75" customHeight="1">
      <c r="A249" s="666"/>
      <c r="B249" s="666"/>
      <c r="C249" s="666"/>
      <c r="D249" s="666"/>
      <c r="E249" s="666"/>
      <c r="F249" s="666"/>
      <c r="G249" s="666"/>
      <c r="H249" s="666"/>
      <c r="I249" s="666"/>
      <c r="J249" s="666"/>
      <c r="K249" s="666"/>
      <c r="L249" s="666"/>
      <c r="M249" s="666"/>
      <c r="N249" s="666"/>
      <c r="O249" s="666"/>
      <c r="P249" s="666"/>
      <c r="Q249" s="666"/>
      <c r="R249" s="666"/>
      <c r="S249" s="666"/>
      <c r="T249" s="666"/>
      <c r="U249" s="666"/>
      <c r="V249" s="666"/>
      <c r="W249" s="666"/>
      <c r="X249" s="666"/>
      <c r="Y249" s="667"/>
      <c r="Z249" s="667"/>
    </row>
    <row r="250" spans="1:26" ht="15.75" customHeight="1">
      <c r="A250" s="666"/>
      <c r="B250" s="666"/>
      <c r="C250" s="666"/>
      <c r="D250" s="666"/>
      <c r="E250" s="666"/>
      <c r="F250" s="666"/>
      <c r="G250" s="666"/>
      <c r="H250" s="666"/>
      <c r="I250" s="666"/>
      <c r="J250" s="666"/>
      <c r="K250" s="666"/>
      <c r="L250" s="666"/>
      <c r="M250" s="666"/>
      <c r="N250" s="666"/>
      <c r="O250" s="666"/>
      <c r="P250" s="666"/>
      <c r="Q250" s="666"/>
      <c r="R250" s="666"/>
      <c r="S250" s="666"/>
      <c r="T250" s="666"/>
      <c r="U250" s="666"/>
      <c r="V250" s="666"/>
      <c r="W250" s="666"/>
      <c r="X250" s="666"/>
      <c r="Y250" s="667"/>
      <c r="Z250" s="667"/>
    </row>
    <row r="251" spans="1:26" ht="15.75" customHeight="1">
      <c r="A251" s="666"/>
      <c r="B251" s="666"/>
      <c r="C251" s="666"/>
      <c r="D251" s="666"/>
      <c r="E251" s="666"/>
      <c r="F251" s="666"/>
      <c r="G251" s="666"/>
      <c r="H251" s="666"/>
      <c r="I251" s="666"/>
      <c r="J251" s="666"/>
      <c r="K251" s="666"/>
      <c r="L251" s="666"/>
      <c r="M251" s="666"/>
      <c r="N251" s="666"/>
      <c r="O251" s="666"/>
      <c r="P251" s="666"/>
      <c r="Q251" s="666"/>
      <c r="R251" s="666"/>
      <c r="S251" s="666"/>
      <c r="T251" s="666"/>
      <c r="U251" s="666"/>
      <c r="V251" s="666"/>
      <c r="W251" s="666"/>
      <c r="X251" s="666"/>
      <c r="Y251" s="667"/>
      <c r="Z251" s="667"/>
    </row>
    <row r="252" spans="1:26" ht="15.75" customHeight="1">
      <c r="A252" s="666"/>
      <c r="B252" s="666"/>
      <c r="C252" s="666"/>
      <c r="D252" s="666"/>
      <c r="E252" s="666"/>
      <c r="F252" s="666"/>
      <c r="G252" s="666"/>
      <c r="H252" s="666"/>
      <c r="I252" s="666"/>
      <c r="J252" s="666"/>
      <c r="K252" s="666"/>
      <c r="L252" s="666"/>
      <c r="M252" s="666"/>
      <c r="N252" s="666"/>
      <c r="O252" s="666"/>
      <c r="P252" s="666"/>
      <c r="Q252" s="666"/>
      <c r="R252" s="666"/>
      <c r="S252" s="666"/>
      <c r="T252" s="666"/>
      <c r="U252" s="666"/>
      <c r="V252" s="666"/>
      <c r="W252" s="666"/>
      <c r="X252" s="666"/>
      <c r="Y252" s="667"/>
      <c r="Z252" s="667"/>
    </row>
    <row r="253" spans="1:26" ht="15.75" customHeight="1">
      <c r="A253" s="666"/>
      <c r="B253" s="666"/>
      <c r="C253" s="666"/>
      <c r="D253" s="666"/>
      <c r="E253" s="666"/>
      <c r="F253" s="666"/>
      <c r="G253" s="666"/>
      <c r="H253" s="666"/>
      <c r="I253" s="666"/>
      <c r="J253" s="666"/>
      <c r="K253" s="666"/>
      <c r="L253" s="666"/>
      <c r="M253" s="666"/>
      <c r="N253" s="666"/>
      <c r="O253" s="666"/>
      <c r="P253" s="666"/>
      <c r="Q253" s="666"/>
      <c r="R253" s="666"/>
      <c r="S253" s="666"/>
      <c r="T253" s="666"/>
      <c r="U253" s="666"/>
      <c r="V253" s="666"/>
      <c r="W253" s="666"/>
      <c r="X253" s="666"/>
      <c r="Y253" s="667"/>
      <c r="Z253" s="667"/>
    </row>
    <row r="254" spans="1:26" ht="15.75" customHeight="1">
      <c r="A254" s="666"/>
      <c r="B254" s="666"/>
      <c r="C254" s="666"/>
      <c r="D254" s="666"/>
      <c r="E254" s="666"/>
      <c r="F254" s="666"/>
      <c r="G254" s="666"/>
      <c r="H254" s="666"/>
      <c r="I254" s="666"/>
      <c r="J254" s="666"/>
      <c r="K254" s="666"/>
      <c r="L254" s="666"/>
      <c r="M254" s="666"/>
      <c r="N254" s="666"/>
      <c r="O254" s="666"/>
      <c r="P254" s="666"/>
      <c r="Q254" s="666"/>
      <c r="R254" s="666"/>
      <c r="S254" s="666"/>
      <c r="T254" s="666"/>
      <c r="U254" s="666"/>
      <c r="V254" s="666"/>
      <c r="W254" s="666"/>
      <c r="X254" s="666"/>
      <c r="Y254" s="667"/>
      <c r="Z254" s="667"/>
    </row>
    <row r="255" spans="1:26" ht="15.75" customHeight="1">
      <c r="A255" s="666"/>
      <c r="B255" s="666"/>
      <c r="C255" s="666"/>
      <c r="D255" s="666"/>
      <c r="E255" s="666"/>
      <c r="F255" s="666"/>
      <c r="G255" s="666"/>
      <c r="H255" s="666"/>
      <c r="I255" s="666"/>
      <c r="J255" s="666"/>
      <c r="K255" s="666"/>
      <c r="L255" s="666"/>
      <c r="M255" s="666"/>
      <c r="N255" s="666"/>
      <c r="O255" s="666"/>
      <c r="P255" s="666"/>
      <c r="Q255" s="666"/>
      <c r="R255" s="666"/>
      <c r="S255" s="666"/>
      <c r="T255" s="666"/>
      <c r="U255" s="666"/>
      <c r="V255" s="666"/>
      <c r="W255" s="666"/>
      <c r="X255" s="666"/>
      <c r="Y255" s="667"/>
      <c r="Z255" s="667"/>
    </row>
    <row r="256" spans="1:26" ht="15.75" customHeight="1">
      <c r="A256" s="666"/>
      <c r="B256" s="666"/>
      <c r="C256" s="666"/>
      <c r="D256" s="666"/>
      <c r="E256" s="666"/>
      <c r="F256" s="666"/>
      <c r="G256" s="666"/>
      <c r="H256" s="666"/>
      <c r="I256" s="666"/>
      <c r="J256" s="666"/>
      <c r="K256" s="666"/>
      <c r="L256" s="666"/>
      <c r="M256" s="666"/>
      <c r="N256" s="666"/>
      <c r="O256" s="666"/>
      <c r="P256" s="666"/>
      <c r="Q256" s="666"/>
      <c r="R256" s="666"/>
      <c r="S256" s="666"/>
      <c r="T256" s="666"/>
      <c r="U256" s="666"/>
      <c r="V256" s="666"/>
      <c r="W256" s="666"/>
      <c r="X256" s="666"/>
      <c r="Y256" s="667"/>
      <c r="Z256" s="667"/>
    </row>
    <row r="257" spans="1:26" ht="15.75" customHeight="1">
      <c r="A257" s="666"/>
      <c r="B257" s="666"/>
      <c r="C257" s="666"/>
      <c r="D257" s="666"/>
      <c r="E257" s="666"/>
      <c r="F257" s="666"/>
      <c r="G257" s="666"/>
      <c r="H257" s="666"/>
      <c r="I257" s="666"/>
      <c r="J257" s="666"/>
      <c r="K257" s="666"/>
      <c r="L257" s="666"/>
      <c r="M257" s="666"/>
      <c r="N257" s="666"/>
      <c r="O257" s="666"/>
      <c r="P257" s="666"/>
      <c r="Q257" s="666"/>
      <c r="R257" s="666"/>
      <c r="S257" s="666"/>
      <c r="T257" s="666"/>
      <c r="U257" s="666"/>
      <c r="V257" s="666"/>
      <c r="W257" s="666"/>
      <c r="X257" s="666"/>
      <c r="Y257" s="667"/>
      <c r="Z257" s="667"/>
    </row>
    <row r="258" spans="1:26" ht="15.75" customHeight="1">
      <c r="A258" s="666"/>
      <c r="B258" s="666"/>
      <c r="C258" s="666"/>
      <c r="D258" s="666"/>
      <c r="E258" s="666"/>
      <c r="F258" s="666"/>
      <c r="G258" s="666"/>
      <c r="H258" s="666"/>
      <c r="I258" s="666"/>
      <c r="J258" s="666"/>
      <c r="K258" s="666"/>
      <c r="L258" s="666"/>
      <c r="M258" s="666"/>
      <c r="N258" s="666"/>
      <c r="O258" s="666"/>
      <c r="P258" s="666"/>
      <c r="Q258" s="666"/>
      <c r="R258" s="666"/>
      <c r="S258" s="666"/>
      <c r="T258" s="666"/>
      <c r="U258" s="666"/>
      <c r="V258" s="666"/>
      <c r="W258" s="666"/>
      <c r="X258" s="666"/>
      <c r="Y258" s="667"/>
      <c r="Z258" s="667"/>
    </row>
    <row r="259" spans="1:26" ht="15.75" customHeight="1">
      <c r="A259" s="666"/>
      <c r="B259" s="666"/>
      <c r="C259" s="666"/>
      <c r="D259" s="666"/>
      <c r="E259" s="666"/>
      <c r="F259" s="666"/>
      <c r="G259" s="666"/>
      <c r="H259" s="666"/>
      <c r="I259" s="666"/>
      <c r="J259" s="666"/>
      <c r="K259" s="666"/>
      <c r="L259" s="666"/>
      <c r="M259" s="666"/>
      <c r="N259" s="666"/>
      <c r="O259" s="666"/>
      <c r="P259" s="666"/>
      <c r="Q259" s="666"/>
      <c r="R259" s="666"/>
      <c r="S259" s="666"/>
      <c r="T259" s="666"/>
      <c r="U259" s="666"/>
      <c r="V259" s="666"/>
      <c r="W259" s="666"/>
      <c r="X259" s="666"/>
      <c r="Y259" s="667"/>
      <c r="Z259" s="667"/>
    </row>
    <row r="260" spans="1:26" ht="15.75" customHeight="1">
      <c r="A260" s="666"/>
      <c r="B260" s="666"/>
      <c r="C260" s="666"/>
      <c r="D260" s="666"/>
      <c r="E260" s="666"/>
      <c r="F260" s="666"/>
      <c r="G260" s="666"/>
      <c r="H260" s="666"/>
      <c r="I260" s="666"/>
      <c r="J260" s="666"/>
      <c r="K260" s="666"/>
      <c r="L260" s="666"/>
      <c r="M260" s="666"/>
      <c r="N260" s="666"/>
      <c r="O260" s="666"/>
      <c r="P260" s="666"/>
      <c r="Q260" s="666"/>
      <c r="R260" s="666"/>
      <c r="S260" s="666"/>
      <c r="T260" s="666"/>
      <c r="U260" s="666"/>
      <c r="V260" s="666"/>
      <c r="W260" s="666"/>
      <c r="X260" s="666"/>
      <c r="Y260" s="667"/>
      <c r="Z260" s="667"/>
    </row>
    <row r="261" spans="1:26" ht="15.75" customHeight="1">
      <c r="A261" s="666"/>
      <c r="B261" s="666"/>
      <c r="C261" s="666"/>
      <c r="D261" s="666"/>
      <c r="E261" s="666"/>
      <c r="F261" s="666"/>
      <c r="G261" s="666"/>
      <c r="H261" s="666"/>
      <c r="I261" s="666"/>
      <c r="J261" s="666"/>
      <c r="K261" s="666"/>
      <c r="L261" s="666"/>
      <c r="M261" s="666"/>
      <c r="N261" s="666"/>
      <c r="O261" s="666"/>
      <c r="P261" s="666"/>
      <c r="Q261" s="666"/>
      <c r="R261" s="666"/>
      <c r="S261" s="666"/>
      <c r="T261" s="666"/>
      <c r="U261" s="666"/>
      <c r="V261" s="666"/>
      <c r="W261" s="666"/>
      <c r="X261" s="666"/>
      <c r="Y261" s="667"/>
      <c r="Z261" s="667"/>
    </row>
    <row r="262" spans="1:26" ht="15.75" customHeight="1">
      <c r="A262" s="666"/>
      <c r="B262" s="666"/>
      <c r="C262" s="666"/>
      <c r="D262" s="666"/>
      <c r="E262" s="666"/>
      <c r="F262" s="666"/>
      <c r="G262" s="666"/>
      <c r="H262" s="666"/>
      <c r="I262" s="666"/>
      <c r="J262" s="666"/>
      <c r="K262" s="666"/>
      <c r="L262" s="666"/>
      <c r="M262" s="666"/>
      <c r="N262" s="666"/>
      <c r="O262" s="666"/>
      <c r="P262" s="666"/>
      <c r="Q262" s="666"/>
      <c r="R262" s="666"/>
      <c r="S262" s="666"/>
      <c r="T262" s="666"/>
      <c r="U262" s="666"/>
      <c r="V262" s="666"/>
      <c r="W262" s="666"/>
      <c r="X262" s="666"/>
      <c r="Y262" s="667"/>
      <c r="Z262" s="667"/>
    </row>
    <row r="263" spans="1:26" ht="15.75" customHeight="1">
      <c r="A263" s="666"/>
      <c r="B263" s="666"/>
      <c r="C263" s="666"/>
      <c r="D263" s="666"/>
      <c r="E263" s="666"/>
      <c r="F263" s="666"/>
      <c r="G263" s="666"/>
      <c r="H263" s="666"/>
      <c r="I263" s="666"/>
      <c r="J263" s="666"/>
      <c r="K263" s="666"/>
      <c r="L263" s="666"/>
      <c r="M263" s="666"/>
      <c r="N263" s="666"/>
      <c r="O263" s="666"/>
      <c r="P263" s="666"/>
      <c r="Q263" s="666"/>
      <c r="R263" s="666"/>
      <c r="S263" s="666"/>
      <c r="T263" s="666"/>
      <c r="U263" s="666"/>
      <c r="V263" s="666"/>
      <c r="W263" s="666"/>
      <c r="X263" s="666"/>
      <c r="Y263" s="667"/>
      <c r="Z263" s="667"/>
    </row>
    <row r="264" spans="1:26" ht="15.75" customHeight="1">
      <c r="A264" s="666"/>
      <c r="B264" s="666"/>
      <c r="C264" s="666"/>
      <c r="D264" s="666"/>
      <c r="E264" s="666"/>
      <c r="F264" s="666"/>
      <c r="G264" s="666"/>
      <c r="H264" s="666"/>
      <c r="I264" s="666"/>
      <c r="J264" s="666"/>
      <c r="K264" s="666"/>
      <c r="L264" s="666"/>
      <c r="M264" s="666"/>
      <c r="N264" s="666"/>
      <c r="O264" s="666"/>
      <c r="P264" s="666"/>
      <c r="Q264" s="666"/>
      <c r="R264" s="666"/>
      <c r="S264" s="666"/>
      <c r="T264" s="666"/>
      <c r="U264" s="666"/>
      <c r="V264" s="666"/>
      <c r="W264" s="666"/>
      <c r="X264" s="666"/>
      <c r="Y264" s="667"/>
      <c r="Z264" s="667"/>
    </row>
    <row r="265" spans="1:26" ht="15.75" customHeight="1">
      <c r="A265" s="666"/>
      <c r="B265" s="666"/>
      <c r="C265" s="666"/>
      <c r="D265" s="666"/>
      <c r="E265" s="666"/>
      <c r="F265" s="666"/>
      <c r="G265" s="666"/>
      <c r="H265" s="666"/>
      <c r="I265" s="666"/>
      <c r="J265" s="666"/>
      <c r="K265" s="666"/>
      <c r="L265" s="666"/>
      <c r="M265" s="666"/>
      <c r="N265" s="666"/>
      <c r="O265" s="666"/>
      <c r="P265" s="666"/>
      <c r="Q265" s="666"/>
      <c r="R265" s="666"/>
      <c r="S265" s="666"/>
      <c r="T265" s="666"/>
      <c r="U265" s="666"/>
      <c r="V265" s="666"/>
      <c r="W265" s="666"/>
      <c r="X265" s="666"/>
      <c r="Y265" s="667"/>
      <c r="Z265" s="667"/>
    </row>
    <row r="266" spans="1:26" ht="15.75" customHeight="1">
      <c r="A266" s="666"/>
      <c r="B266" s="666"/>
      <c r="C266" s="666"/>
      <c r="D266" s="666"/>
      <c r="E266" s="666"/>
      <c r="F266" s="666"/>
      <c r="G266" s="666"/>
      <c r="H266" s="666"/>
      <c r="I266" s="666"/>
      <c r="J266" s="666"/>
      <c r="K266" s="666"/>
      <c r="L266" s="666"/>
      <c r="M266" s="666"/>
      <c r="N266" s="666"/>
      <c r="O266" s="666"/>
      <c r="P266" s="666"/>
      <c r="Q266" s="666"/>
      <c r="R266" s="666"/>
      <c r="S266" s="666"/>
      <c r="T266" s="666"/>
      <c r="U266" s="666"/>
      <c r="V266" s="666"/>
      <c r="W266" s="666"/>
      <c r="X266" s="666"/>
      <c r="Y266" s="667"/>
      <c r="Z266" s="667"/>
    </row>
    <row r="267" spans="1:26" ht="15.75" customHeight="1">
      <c r="A267" s="666"/>
      <c r="B267" s="666"/>
      <c r="C267" s="666"/>
      <c r="D267" s="666"/>
      <c r="E267" s="666"/>
      <c r="F267" s="666"/>
      <c r="G267" s="666"/>
      <c r="H267" s="666"/>
      <c r="I267" s="666"/>
      <c r="J267" s="666"/>
      <c r="K267" s="666"/>
      <c r="L267" s="666"/>
      <c r="M267" s="666"/>
      <c r="N267" s="666"/>
      <c r="O267" s="666"/>
      <c r="P267" s="666"/>
      <c r="Q267" s="666"/>
      <c r="R267" s="666"/>
      <c r="S267" s="666"/>
      <c r="T267" s="666"/>
      <c r="U267" s="666"/>
      <c r="V267" s="666"/>
      <c r="W267" s="666"/>
      <c r="X267" s="666"/>
      <c r="Y267" s="667"/>
      <c r="Z267" s="667"/>
    </row>
    <row r="268" spans="1:26" ht="15.75" customHeight="1">
      <c r="A268" s="666"/>
      <c r="B268" s="666"/>
      <c r="C268" s="666"/>
      <c r="D268" s="666"/>
      <c r="E268" s="666"/>
      <c r="F268" s="666"/>
      <c r="G268" s="666"/>
      <c r="H268" s="666"/>
      <c r="I268" s="666"/>
      <c r="J268" s="666"/>
      <c r="K268" s="666"/>
      <c r="L268" s="666"/>
      <c r="M268" s="666"/>
      <c r="N268" s="666"/>
      <c r="O268" s="666"/>
      <c r="P268" s="666"/>
      <c r="Q268" s="666"/>
      <c r="R268" s="666"/>
      <c r="S268" s="666"/>
      <c r="T268" s="666"/>
      <c r="U268" s="666"/>
      <c r="V268" s="666"/>
      <c r="W268" s="666"/>
      <c r="X268" s="666"/>
      <c r="Y268" s="667"/>
      <c r="Z268" s="667"/>
    </row>
    <row r="269" spans="1:26" ht="15.75" customHeight="1">
      <c r="A269" s="666"/>
      <c r="B269" s="666"/>
      <c r="C269" s="666"/>
      <c r="D269" s="666"/>
      <c r="E269" s="666"/>
      <c r="F269" s="666"/>
      <c r="G269" s="666"/>
      <c r="H269" s="666"/>
      <c r="I269" s="666"/>
      <c r="J269" s="666"/>
      <c r="K269" s="666"/>
      <c r="L269" s="666"/>
      <c r="M269" s="666"/>
      <c r="N269" s="666"/>
      <c r="O269" s="666"/>
      <c r="P269" s="666"/>
      <c r="Q269" s="666"/>
      <c r="R269" s="666"/>
      <c r="S269" s="666"/>
      <c r="T269" s="666"/>
      <c r="U269" s="666"/>
      <c r="V269" s="666"/>
      <c r="W269" s="666"/>
      <c r="X269" s="666"/>
      <c r="Y269" s="667"/>
      <c r="Z269" s="667"/>
    </row>
    <row r="270" spans="1:26" ht="15.75" customHeight="1">
      <c r="A270" s="666"/>
      <c r="B270" s="666"/>
      <c r="C270" s="666"/>
      <c r="D270" s="666"/>
      <c r="E270" s="666"/>
      <c r="F270" s="666"/>
      <c r="G270" s="666"/>
      <c r="H270" s="666"/>
      <c r="I270" s="666"/>
      <c r="J270" s="666"/>
      <c r="K270" s="666"/>
      <c r="L270" s="666"/>
      <c r="M270" s="666"/>
      <c r="N270" s="666"/>
      <c r="O270" s="666"/>
      <c r="P270" s="666"/>
      <c r="Q270" s="666"/>
      <c r="R270" s="666"/>
      <c r="S270" s="666"/>
      <c r="T270" s="666"/>
      <c r="U270" s="666"/>
      <c r="V270" s="666"/>
      <c r="W270" s="666"/>
      <c r="X270" s="666"/>
      <c r="Y270" s="667"/>
      <c r="Z270" s="667"/>
    </row>
    <row r="271" spans="1:26" ht="15.75" customHeight="1">
      <c r="A271" s="666"/>
      <c r="B271" s="666"/>
      <c r="C271" s="666"/>
      <c r="D271" s="666"/>
      <c r="E271" s="666"/>
      <c r="F271" s="666"/>
      <c r="G271" s="666"/>
      <c r="H271" s="666"/>
      <c r="I271" s="666"/>
      <c r="J271" s="666"/>
      <c r="K271" s="666"/>
      <c r="L271" s="666"/>
      <c r="M271" s="666"/>
      <c r="N271" s="666"/>
      <c r="O271" s="666"/>
      <c r="P271" s="666"/>
      <c r="Q271" s="666"/>
      <c r="R271" s="666"/>
      <c r="S271" s="666"/>
      <c r="T271" s="666"/>
      <c r="U271" s="666"/>
      <c r="V271" s="666"/>
      <c r="W271" s="666"/>
      <c r="X271" s="666"/>
      <c r="Y271" s="667"/>
      <c r="Z271" s="667"/>
    </row>
    <row r="272" spans="1:26" ht="15.75" customHeight="1">
      <c r="A272" s="666"/>
      <c r="B272" s="666"/>
      <c r="C272" s="666"/>
      <c r="D272" s="666"/>
      <c r="E272" s="666"/>
      <c r="F272" s="666"/>
      <c r="G272" s="666"/>
      <c r="H272" s="666"/>
      <c r="I272" s="666"/>
      <c r="J272" s="666"/>
      <c r="K272" s="666"/>
      <c r="L272" s="666"/>
      <c r="M272" s="666"/>
      <c r="N272" s="666"/>
      <c r="O272" s="666"/>
      <c r="P272" s="666"/>
      <c r="Q272" s="666"/>
      <c r="R272" s="666"/>
      <c r="S272" s="666"/>
      <c r="T272" s="666"/>
      <c r="U272" s="666"/>
      <c r="V272" s="666"/>
      <c r="W272" s="666"/>
      <c r="X272" s="666"/>
      <c r="Y272" s="667"/>
      <c r="Z272" s="667"/>
    </row>
    <row r="273" spans="1:26" ht="15.75" customHeight="1">
      <c r="A273" s="666"/>
      <c r="B273" s="666"/>
      <c r="C273" s="666"/>
      <c r="D273" s="666"/>
      <c r="E273" s="666"/>
      <c r="F273" s="666"/>
      <c r="G273" s="666"/>
      <c r="H273" s="666"/>
      <c r="I273" s="666"/>
      <c r="J273" s="666"/>
      <c r="K273" s="666"/>
      <c r="L273" s="666"/>
      <c r="M273" s="666"/>
      <c r="N273" s="666"/>
      <c r="O273" s="666"/>
      <c r="P273" s="666"/>
      <c r="Q273" s="666"/>
      <c r="R273" s="666"/>
      <c r="S273" s="666"/>
      <c r="T273" s="666"/>
      <c r="U273" s="666"/>
      <c r="V273" s="666"/>
      <c r="W273" s="666"/>
      <c r="X273" s="666"/>
      <c r="Y273" s="667"/>
      <c r="Z273" s="667"/>
    </row>
    <row r="274" spans="1:26" ht="15.75" customHeight="1">
      <c r="A274" s="666"/>
      <c r="B274" s="666"/>
      <c r="C274" s="666"/>
      <c r="D274" s="666"/>
      <c r="E274" s="666"/>
      <c r="F274" s="666"/>
      <c r="G274" s="666"/>
      <c r="H274" s="666"/>
      <c r="I274" s="666"/>
      <c r="J274" s="666"/>
      <c r="K274" s="666"/>
      <c r="L274" s="666"/>
      <c r="M274" s="666"/>
      <c r="N274" s="666"/>
      <c r="O274" s="666"/>
      <c r="P274" s="666"/>
      <c r="Q274" s="666"/>
      <c r="R274" s="666"/>
      <c r="S274" s="666"/>
      <c r="T274" s="666"/>
      <c r="U274" s="666"/>
      <c r="V274" s="666"/>
      <c r="W274" s="666"/>
      <c r="X274" s="666"/>
      <c r="Y274" s="667"/>
      <c r="Z274" s="667"/>
    </row>
    <row r="275" spans="1:26" ht="15.75" customHeight="1">
      <c r="A275" s="666"/>
      <c r="B275" s="666"/>
      <c r="C275" s="666"/>
      <c r="D275" s="666"/>
      <c r="E275" s="666"/>
      <c r="F275" s="666"/>
      <c r="G275" s="666"/>
      <c r="H275" s="666"/>
      <c r="I275" s="666"/>
      <c r="J275" s="666"/>
      <c r="K275" s="666"/>
      <c r="L275" s="666"/>
      <c r="M275" s="666"/>
      <c r="N275" s="666"/>
      <c r="O275" s="666"/>
      <c r="P275" s="666"/>
      <c r="Q275" s="666"/>
      <c r="R275" s="666"/>
      <c r="S275" s="666"/>
      <c r="T275" s="666"/>
      <c r="U275" s="666"/>
      <c r="V275" s="666"/>
      <c r="W275" s="666"/>
      <c r="X275" s="666"/>
      <c r="Y275" s="667"/>
      <c r="Z275" s="667"/>
    </row>
    <row r="276" spans="1:26" ht="15.75" customHeight="1">
      <c r="A276" s="666"/>
      <c r="B276" s="666"/>
      <c r="C276" s="666"/>
      <c r="D276" s="666"/>
      <c r="E276" s="666"/>
      <c r="F276" s="666"/>
      <c r="G276" s="666"/>
      <c r="H276" s="666"/>
      <c r="I276" s="666"/>
      <c r="J276" s="666"/>
      <c r="K276" s="666"/>
      <c r="L276" s="666"/>
      <c r="M276" s="666"/>
      <c r="N276" s="666"/>
      <c r="O276" s="666"/>
      <c r="P276" s="666"/>
      <c r="Q276" s="666"/>
      <c r="R276" s="666"/>
      <c r="S276" s="666"/>
      <c r="T276" s="666"/>
      <c r="U276" s="666"/>
      <c r="V276" s="666"/>
      <c r="W276" s="666"/>
      <c r="X276" s="666"/>
      <c r="Y276" s="667"/>
      <c r="Z276" s="667"/>
    </row>
    <row r="277" spans="1:26" ht="15.75" customHeight="1">
      <c r="A277" s="666"/>
      <c r="B277" s="666"/>
      <c r="C277" s="666"/>
      <c r="D277" s="666"/>
      <c r="E277" s="666"/>
      <c r="F277" s="666"/>
      <c r="G277" s="666"/>
      <c r="H277" s="666"/>
      <c r="I277" s="666"/>
      <c r="J277" s="666"/>
      <c r="K277" s="666"/>
      <c r="L277" s="666"/>
      <c r="M277" s="666"/>
      <c r="N277" s="666"/>
      <c r="O277" s="666"/>
      <c r="P277" s="666"/>
      <c r="Q277" s="666"/>
      <c r="R277" s="666"/>
      <c r="S277" s="666"/>
      <c r="T277" s="666"/>
      <c r="U277" s="666"/>
      <c r="V277" s="666"/>
      <c r="W277" s="666"/>
      <c r="X277" s="666"/>
      <c r="Y277" s="667"/>
      <c r="Z277" s="667"/>
    </row>
    <row r="278" spans="1:26" ht="15.75" customHeight="1">
      <c r="A278" s="666"/>
      <c r="B278" s="666"/>
      <c r="C278" s="666"/>
      <c r="D278" s="666"/>
      <c r="E278" s="666"/>
      <c r="F278" s="666"/>
      <c r="G278" s="666"/>
      <c r="H278" s="666"/>
      <c r="I278" s="666"/>
      <c r="J278" s="666"/>
      <c r="K278" s="666"/>
      <c r="L278" s="666"/>
      <c r="M278" s="666"/>
      <c r="N278" s="666"/>
      <c r="O278" s="666"/>
      <c r="P278" s="666"/>
      <c r="Q278" s="666"/>
      <c r="R278" s="666"/>
      <c r="S278" s="666"/>
      <c r="T278" s="666"/>
      <c r="U278" s="666"/>
      <c r="V278" s="666"/>
      <c r="W278" s="666"/>
      <c r="X278" s="666"/>
      <c r="Y278" s="667"/>
      <c r="Z278" s="667"/>
    </row>
    <row r="279" spans="1:26" ht="15.75" customHeight="1">
      <c r="A279" s="666"/>
      <c r="B279" s="666"/>
      <c r="C279" s="666"/>
      <c r="D279" s="666"/>
      <c r="E279" s="666"/>
      <c r="F279" s="666"/>
      <c r="G279" s="666"/>
      <c r="H279" s="666"/>
      <c r="I279" s="666"/>
      <c r="J279" s="666"/>
      <c r="K279" s="666"/>
      <c r="L279" s="666"/>
      <c r="M279" s="666"/>
      <c r="N279" s="666"/>
      <c r="O279" s="666"/>
      <c r="P279" s="666"/>
      <c r="Q279" s="666"/>
      <c r="R279" s="666"/>
      <c r="S279" s="666"/>
      <c r="T279" s="666"/>
      <c r="U279" s="666"/>
      <c r="V279" s="666"/>
      <c r="W279" s="666"/>
      <c r="X279" s="666"/>
      <c r="Y279" s="667"/>
      <c r="Z279" s="667"/>
    </row>
    <row r="280" spans="1:26" ht="15.75" customHeight="1">
      <c r="A280" s="666"/>
      <c r="B280" s="666"/>
      <c r="C280" s="666"/>
      <c r="D280" s="666"/>
      <c r="E280" s="666"/>
      <c r="F280" s="666"/>
      <c r="G280" s="666"/>
      <c r="H280" s="666"/>
      <c r="I280" s="666"/>
      <c r="J280" s="666"/>
      <c r="K280" s="666"/>
      <c r="L280" s="666"/>
      <c r="M280" s="666"/>
      <c r="N280" s="666"/>
      <c r="O280" s="666"/>
      <c r="P280" s="666"/>
      <c r="Q280" s="666"/>
      <c r="R280" s="666"/>
      <c r="S280" s="666"/>
      <c r="T280" s="666"/>
      <c r="U280" s="666"/>
      <c r="V280" s="666"/>
      <c r="W280" s="666"/>
      <c r="X280" s="666"/>
      <c r="Y280" s="667"/>
      <c r="Z280" s="667"/>
    </row>
    <row r="281" spans="1:26" ht="15.75" customHeight="1">
      <c r="A281" s="666"/>
      <c r="B281" s="666"/>
      <c r="C281" s="666"/>
      <c r="D281" s="666"/>
      <c r="E281" s="666"/>
      <c r="F281" s="666"/>
      <c r="G281" s="666"/>
      <c r="H281" s="666"/>
      <c r="I281" s="666"/>
      <c r="J281" s="666"/>
      <c r="K281" s="666"/>
      <c r="L281" s="666"/>
      <c r="M281" s="666"/>
      <c r="N281" s="666"/>
      <c r="O281" s="666"/>
      <c r="P281" s="666"/>
      <c r="Q281" s="666"/>
      <c r="R281" s="666"/>
      <c r="S281" s="666"/>
      <c r="T281" s="666"/>
      <c r="U281" s="666"/>
      <c r="V281" s="666"/>
      <c r="W281" s="666"/>
      <c r="X281" s="666"/>
      <c r="Y281" s="667"/>
      <c r="Z281" s="667"/>
    </row>
    <row r="282" spans="1:26" ht="15.75" customHeight="1">
      <c r="A282" s="666"/>
      <c r="B282" s="666"/>
      <c r="C282" s="666"/>
      <c r="D282" s="666"/>
      <c r="E282" s="666"/>
      <c r="F282" s="666"/>
      <c r="G282" s="666"/>
      <c r="H282" s="666"/>
      <c r="I282" s="666"/>
      <c r="J282" s="666"/>
      <c r="K282" s="666"/>
      <c r="L282" s="666"/>
      <c r="M282" s="666"/>
      <c r="N282" s="666"/>
      <c r="O282" s="666"/>
      <c r="P282" s="666"/>
      <c r="Q282" s="666"/>
      <c r="R282" s="666"/>
      <c r="S282" s="666"/>
      <c r="T282" s="666"/>
      <c r="U282" s="666"/>
      <c r="V282" s="666"/>
      <c r="W282" s="666"/>
      <c r="X282" s="666"/>
      <c r="Y282" s="667"/>
      <c r="Z282" s="667"/>
    </row>
    <row r="283" spans="1:26" ht="15.75" customHeight="1">
      <c r="A283" s="666"/>
      <c r="B283" s="666"/>
      <c r="C283" s="666"/>
      <c r="D283" s="666"/>
      <c r="E283" s="666"/>
      <c r="F283" s="666"/>
      <c r="G283" s="666"/>
      <c r="H283" s="666"/>
      <c r="I283" s="666"/>
      <c r="J283" s="666"/>
      <c r="K283" s="666"/>
      <c r="L283" s="666"/>
      <c r="M283" s="666"/>
      <c r="N283" s="666"/>
      <c r="O283" s="666"/>
      <c r="P283" s="666"/>
      <c r="Q283" s="666"/>
      <c r="R283" s="666"/>
      <c r="S283" s="666"/>
      <c r="T283" s="666"/>
      <c r="U283" s="666"/>
      <c r="V283" s="666"/>
      <c r="W283" s="666"/>
      <c r="X283" s="666"/>
      <c r="Y283" s="667"/>
      <c r="Z283" s="667"/>
    </row>
    <row r="284" spans="1:26" ht="15.75" customHeight="1">
      <c r="A284" s="666"/>
      <c r="B284" s="666"/>
      <c r="C284" s="666"/>
      <c r="D284" s="666"/>
      <c r="E284" s="666"/>
      <c r="F284" s="666"/>
      <c r="G284" s="666"/>
      <c r="H284" s="666"/>
      <c r="I284" s="666"/>
      <c r="J284" s="666"/>
      <c r="K284" s="666"/>
      <c r="L284" s="666"/>
      <c r="M284" s="666"/>
      <c r="N284" s="666"/>
      <c r="O284" s="666"/>
      <c r="P284" s="666"/>
      <c r="Q284" s="666"/>
      <c r="R284" s="666"/>
      <c r="S284" s="666"/>
      <c r="T284" s="666"/>
      <c r="U284" s="666"/>
      <c r="V284" s="666"/>
      <c r="W284" s="666"/>
      <c r="X284" s="666"/>
      <c r="Y284" s="667"/>
      <c r="Z284" s="667"/>
    </row>
    <row r="285" spans="1:26" ht="15.75" customHeight="1">
      <c r="A285" s="666"/>
      <c r="B285" s="666"/>
      <c r="C285" s="666"/>
      <c r="D285" s="666"/>
      <c r="E285" s="666"/>
      <c r="F285" s="666"/>
      <c r="G285" s="666"/>
      <c r="H285" s="666"/>
      <c r="I285" s="666"/>
      <c r="J285" s="666"/>
      <c r="K285" s="666"/>
      <c r="L285" s="666"/>
      <c r="M285" s="666"/>
      <c r="N285" s="666"/>
      <c r="O285" s="666"/>
      <c r="P285" s="666"/>
      <c r="Q285" s="666"/>
      <c r="R285" s="666"/>
      <c r="S285" s="666"/>
      <c r="T285" s="666"/>
      <c r="U285" s="666"/>
      <c r="V285" s="666"/>
      <c r="W285" s="666"/>
      <c r="X285" s="666"/>
      <c r="Y285" s="667"/>
      <c r="Z285" s="667"/>
    </row>
    <row r="286" spans="1:26" ht="15.75" customHeight="1">
      <c r="A286" s="666"/>
      <c r="B286" s="666"/>
      <c r="C286" s="666"/>
      <c r="D286" s="666"/>
      <c r="E286" s="666"/>
      <c r="F286" s="666"/>
      <c r="G286" s="666"/>
      <c r="H286" s="666"/>
      <c r="I286" s="666"/>
      <c r="J286" s="666"/>
      <c r="K286" s="666"/>
      <c r="L286" s="666"/>
      <c r="M286" s="666"/>
      <c r="N286" s="666"/>
      <c r="O286" s="666"/>
      <c r="P286" s="666"/>
      <c r="Q286" s="666"/>
      <c r="R286" s="666"/>
      <c r="S286" s="666"/>
      <c r="T286" s="666"/>
      <c r="U286" s="666"/>
      <c r="V286" s="666"/>
      <c r="W286" s="666"/>
      <c r="X286" s="666"/>
      <c r="Y286" s="667"/>
      <c r="Z286" s="667"/>
    </row>
    <row r="287" spans="1:26" ht="15.75" customHeight="1">
      <c r="A287" s="666"/>
      <c r="B287" s="666"/>
      <c r="C287" s="666"/>
      <c r="D287" s="666"/>
      <c r="E287" s="666"/>
      <c r="F287" s="666"/>
      <c r="G287" s="666"/>
      <c r="H287" s="666"/>
      <c r="I287" s="666"/>
      <c r="J287" s="666"/>
      <c r="K287" s="666"/>
      <c r="L287" s="666"/>
      <c r="M287" s="666"/>
      <c r="N287" s="666"/>
      <c r="O287" s="666"/>
      <c r="P287" s="666"/>
      <c r="Q287" s="666"/>
      <c r="R287" s="666"/>
      <c r="S287" s="666"/>
      <c r="T287" s="666"/>
      <c r="U287" s="666"/>
      <c r="V287" s="666"/>
      <c r="W287" s="666"/>
      <c r="X287" s="666"/>
      <c r="Y287" s="667"/>
      <c r="Z287" s="667"/>
    </row>
    <row r="288" spans="1:26" ht="15.75" customHeight="1">
      <c r="A288" s="666"/>
      <c r="B288" s="666"/>
      <c r="C288" s="666"/>
      <c r="D288" s="666"/>
      <c r="E288" s="666"/>
      <c r="F288" s="666"/>
      <c r="G288" s="666"/>
      <c r="H288" s="666"/>
      <c r="I288" s="666"/>
      <c r="J288" s="666"/>
      <c r="K288" s="666"/>
      <c r="L288" s="666"/>
      <c r="M288" s="666"/>
      <c r="N288" s="666"/>
      <c r="O288" s="666"/>
      <c r="P288" s="666"/>
      <c r="Q288" s="666"/>
      <c r="R288" s="666"/>
      <c r="S288" s="666"/>
      <c r="T288" s="666"/>
      <c r="U288" s="666"/>
      <c r="V288" s="666"/>
      <c r="W288" s="666"/>
      <c r="X288" s="666"/>
      <c r="Y288" s="667"/>
      <c r="Z288" s="667"/>
    </row>
    <row r="289" spans="1:26" ht="15.75" customHeight="1">
      <c r="A289" s="666"/>
      <c r="B289" s="666"/>
      <c r="C289" s="666"/>
      <c r="D289" s="666"/>
      <c r="E289" s="666"/>
      <c r="F289" s="666"/>
      <c r="G289" s="666"/>
      <c r="H289" s="666"/>
      <c r="I289" s="666"/>
      <c r="J289" s="666"/>
      <c r="K289" s="666"/>
      <c r="L289" s="666"/>
      <c r="M289" s="666"/>
      <c r="N289" s="666"/>
      <c r="O289" s="666"/>
      <c r="P289" s="666"/>
      <c r="Q289" s="666"/>
      <c r="R289" s="666"/>
      <c r="S289" s="666"/>
      <c r="T289" s="666"/>
      <c r="U289" s="666"/>
      <c r="V289" s="666"/>
      <c r="W289" s="666"/>
      <c r="X289" s="666"/>
      <c r="Y289" s="667"/>
      <c r="Z289" s="667"/>
    </row>
    <row r="290" spans="1:26" ht="15.75" customHeight="1">
      <c r="A290" s="666"/>
      <c r="B290" s="666"/>
      <c r="C290" s="666"/>
      <c r="D290" s="666"/>
      <c r="E290" s="666"/>
      <c r="F290" s="666"/>
      <c r="G290" s="666"/>
      <c r="H290" s="666"/>
      <c r="I290" s="666"/>
      <c r="J290" s="666"/>
      <c r="K290" s="666"/>
      <c r="L290" s="666"/>
      <c r="M290" s="666"/>
      <c r="N290" s="666"/>
      <c r="O290" s="666"/>
      <c r="P290" s="666"/>
      <c r="Q290" s="666"/>
      <c r="R290" s="666"/>
      <c r="S290" s="666"/>
      <c r="T290" s="666"/>
      <c r="U290" s="666"/>
      <c r="V290" s="666"/>
      <c r="W290" s="666"/>
      <c r="X290" s="666"/>
      <c r="Y290" s="667"/>
      <c r="Z290" s="667"/>
    </row>
    <row r="291" spans="1:26" ht="15.75" customHeight="1">
      <c r="A291" s="666"/>
      <c r="B291" s="666"/>
      <c r="C291" s="666"/>
      <c r="D291" s="666"/>
      <c r="E291" s="666"/>
      <c r="F291" s="666"/>
      <c r="G291" s="666"/>
      <c r="H291" s="666"/>
      <c r="I291" s="666"/>
      <c r="J291" s="666"/>
      <c r="K291" s="666"/>
      <c r="L291" s="666"/>
      <c r="M291" s="666"/>
      <c r="N291" s="666"/>
      <c r="O291" s="666"/>
      <c r="P291" s="666"/>
      <c r="Q291" s="666"/>
      <c r="R291" s="666"/>
      <c r="S291" s="666"/>
      <c r="T291" s="666"/>
      <c r="U291" s="666"/>
      <c r="V291" s="666"/>
      <c r="W291" s="666"/>
      <c r="X291" s="666"/>
      <c r="Y291" s="667"/>
      <c r="Z291" s="667"/>
    </row>
    <row r="292" spans="1:26" ht="15.75" customHeight="1">
      <c r="A292" s="666"/>
      <c r="B292" s="666"/>
      <c r="C292" s="666"/>
      <c r="D292" s="666"/>
      <c r="E292" s="666"/>
      <c r="F292" s="666"/>
      <c r="G292" s="666"/>
      <c r="H292" s="666"/>
      <c r="I292" s="666"/>
      <c r="J292" s="666"/>
      <c r="K292" s="666"/>
      <c r="L292" s="666"/>
      <c r="M292" s="666"/>
      <c r="N292" s="666"/>
      <c r="O292" s="666"/>
      <c r="P292" s="666"/>
      <c r="Q292" s="666"/>
      <c r="R292" s="666"/>
      <c r="S292" s="666"/>
      <c r="T292" s="666"/>
      <c r="U292" s="666"/>
      <c r="V292" s="666"/>
      <c r="W292" s="666"/>
      <c r="X292" s="666"/>
      <c r="Y292" s="667"/>
      <c r="Z292" s="667"/>
    </row>
    <row r="293" spans="1:26" ht="15.75" customHeight="1">
      <c r="A293" s="666"/>
      <c r="B293" s="666"/>
      <c r="C293" s="666"/>
      <c r="D293" s="666"/>
      <c r="E293" s="666"/>
      <c r="F293" s="666"/>
      <c r="G293" s="666"/>
      <c r="H293" s="666"/>
      <c r="I293" s="666"/>
      <c r="J293" s="666"/>
      <c r="K293" s="666"/>
      <c r="L293" s="666"/>
      <c r="M293" s="666"/>
      <c r="N293" s="666"/>
      <c r="O293" s="666"/>
      <c r="P293" s="666"/>
      <c r="Q293" s="666"/>
      <c r="R293" s="666"/>
      <c r="S293" s="666"/>
      <c r="T293" s="666"/>
      <c r="U293" s="666"/>
      <c r="V293" s="666"/>
      <c r="W293" s="666"/>
      <c r="X293" s="666"/>
      <c r="Y293" s="667"/>
      <c r="Z293" s="667"/>
    </row>
    <row r="294" spans="1:26" ht="15.75" customHeight="1">
      <c r="A294" s="666"/>
      <c r="B294" s="666"/>
      <c r="C294" s="666"/>
      <c r="D294" s="666"/>
      <c r="E294" s="666"/>
      <c r="F294" s="666"/>
      <c r="G294" s="666"/>
      <c r="H294" s="666"/>
      <c r="I294" s="666"/>
      <c r="J294" s="666"/>
      <c r="K294" s="666"/>
      <c r="L294" s="666"/>
      <c r="M294" s="666"/>
      <c r="N294" s="666"/>
      <c r="O294" s="666"/>
      <c r="P294" s="666"/>
      <c r="Q294" s="666"/>
      <c r="R294" s="666"/>
      <c r="S294" s="666"/>
      <c r="T294" s="666"/>
      <c r="U294" s="666"/>
      <c r="V294" s="666"/>
      <c r="W294" s="666"/>
      <c r="X294" s="666"/>
      <c r="Y294" s="667"/>
      <c r="Z294" s="667"/>
    </row>
    <row r="295" spans="1:26" ht="15.75" customHeight="1">
      <c r="A295" s="666"/>
      <c r="B295" s="666"/>
      <c r="C295" s="666"/>
      <c r="D295" s="666"/>
      <c r="E295" s="666"/>
      <c r="F295" s="666"/>
      <c r="G295" s="666"/>
      <c r="H295" s="666"/>
      <c r="I295" s="666"/>
      <c r="J295" s="666"/>
      <c r="K295" s="666"/>
      <c r="L295" s="666"/>
      <c r="M295" s="666"/>
      <c r="N295" s="666"/>
      <c r="O295" s="666"/>
      <c r="P295" s="666"/>
      <c r="Q295" s="666"/>
      <c r="R295" s="666"/>
      <c r="S295" s="666"/>
      <c r="T295" s="666"/>
      <c r="U295" s="666"/>
      <c r="V295" s="666"/>
      <c r="W295" s="666"/>
      <c r="X295" s="666"/>
      <c r="Y295" s="667"/>
      <c r="Z295" s="667"/>
    </row>
    <row r="296" spans="1:26" ht="15.75" customHeight="1">
      <c r="A296" s="666"/>
      <c r="B296" s="666"/>
      <c r="C296" s="666"/>
      <c r="D296" s="666"/>
      <c r="E296" s="666"/>
      <c r="F296" s="666"/>
      <c r="G296" s="666"/>
      <c r="H296" s="666"/>
      <c r="I296" s="666"/>
      <c r="J296" s="666"/>
      <c r="K296" s="666"/>
      <c r="L296" s="666"/>
      <c r="M296" s="666"/>
      <c r="N296" s="666"/>
      <c r="O296" s="666"/>
      <c r="P296" s="666"/>
      <c r="Q296" s="666"/>
      <c r="R296" s="666"/>
      <c r="S296" s="666"/>
      <c r="T296" s="666"/>
      <c r="U296" s="666"/>
      <c r="V296" s="666"/>
      <c r="W296" s="666"/>
      <c r="X296" s="666"/>
      <c r="Y296" s="667"/>
      <c r="Z296" s="667"/>
    </row>
    <row r="297" spans="1:26" ht="15.75" customHeight="1">
      <c r="A297" s="666"/>
      <c r="B297" s="666"/>
      <c r="C297" s="666"/>
      <c r="D297" s="666"/>
      <c r="E297" s="666"/>
      <c r="F297" s="666"/>
      <c r="G297" s="666"/>
      <c r="H297" s="666"/>
      <c r="I297" s="666"/>
      <c r="J297" s="666"/>
      <c r="K297" s="666"/>
      <c r="L297" s="666"/>
      <c r="M297" s="666"/>
      <c r="N297" s="666"/>
      <c r="O297" s="666"/>
      <c r="P297" s="666"/>
      <c r="Q297" s="666"/>
      <c r="R297" s="666"/>
      <c r="S297" s="666"/>
      <c r="T297" s="666"/>
      <c r="U297" s="666"/>
      <c r="V297" s="666"/>
      <c r="W297" s="666"/>
      <c r="X297" s="666"/>
      <c r="Y297" s="667"/>
      <c r="Z297" s="667"/>
    </row>
    <row r="298" spans="1:26" ht="15.75" customHeight="1">
      <c r="A298" s="666"/>
      <c r="B298" s="666"/>
      <c r="C298" s="666"/>
      <c r="D298" s="666"/>
      <c r="E298" s="666"/>
      <c r="F298" s="666"/>
      <c r="G298" s="666"/>
      <c r="H298" s="666"/>
      <c r="I298" s="666"/>
      <c r="J298" s="666"/>
      <c r="K298" s="666"/>
      <c r="L298" s="666"/>
      <c r="M298" s="666"/>
      <c r="N298" s="666"/>
      <c r="O298" s="666"/>
      <c r="P298" s="666"/>
      <c r="Q298" s="666"/>
      <c r="R298" s="666"/>
      <c r="S298" s="666"/>
      <c r="T298" s="666"/>
      <c r="U298" s="666"/>
      <c r="V298" s="666"/>
      <c r="W298" s="666"/>
      <c r="X298" s="666"/>
      <c r="Y298" s="667"/>
      <c r="Z298" s="667"/>
    </row>
    <row r="299" spans="1:26" ht="15.75" customHeight="1">
      <c r="A299" s="666"/>
      <c r="B299" s="666"/>
      <c r="C299" s="666"/>
      <c r="D299" s="666"/>
      <c r="E299" s="666"/>
      <c r="F299" s="666"/>
      <c r="G299" s="666"/>
      <c r="H299" s="666"/>
      <c r="I299" s="666"/>
      <c r="J299" s="666"/>
      <c r="K299" s="666"/>
      <c r="L299" s="666"/>
      <c r="M299" s="666"/>
      <c r="N299" s="666"/>
      <c r="O299" s="666"/>
      <c r="P299" s="666"/>
      <c r="Q299" s="666"/>
      <c r="R299" s="666"/>
      <c r="S299" s="666"/>
      <c r="T299" s="666"/>
      <c r="U299" s="666"/>
      <c r="V299" s="666"/>
      <c r="W299" s="666"/>
      <c r="X299" s="666"/>
      <c r="Y299" s="667"/>
      <c r="Z299" s="667"/>
    </row>
    <row r="300" spans="1:26" ht="15.75" customHeight="1">
      <c r="A300" s="666"/>
      <c r="B300" s="666"/>
      <c r="C300" s="666"/>
      <c r="D300" s="666"/>
      <c r="E300" s="666"/>
      <c r="F300" s="666"/>
      <c r="G300" s="666"/>
      <c r="H300" s="666"/>
      <c r="I300" s="666"/>
      <c r="J300" s="666"/>
      <c r="K300" s="666"/>
      <c r="L300" s="666"/>
      <c r="M300" s="666"/>
      <c r="N300" s="666"/>
      <c r="O300" s="666"/>
      <c r="P300" s="666"/>
      <c r="Q300" s="666"/>
      <c r="R300" s="666"/>
      <c r="S300" s="666"/>
      <c r="T300" s="666"/>
      <c r="U300" s="666"/>
      <c r="V300" s="666"/>
      <c r="W300" s="666"/>
      <c r="X300" s="666"/>
      <c r="Y300" s="667"/>
      <c r="Z300" s="667"/>
    </row>
    <row r="301" spans="1:26" ht="15.75" customHeight="1">
      <c r="A301" s="666"/>
      <c r="B301" s="666"/>
      <c r="C301" s="666"/>
      <c r="D301" s="666"/>
      <c r="E301" s="666"/>
      <c r="F301" s="666"/>
      <c r="G301" s="666"/>
      <c r="H301" s="666"/>
      <c r="I301" s="666"/>
      <c r="J301" s="666"/>
      <c r="K301" s="666"/>
      <c r="L301" s="666"/>
      <c r="M301" s="666"/>
      <c r="N301" s="666"/>
      <c r="O301" s="666"/>
      <c r="P301" s="666"/>
      <c r="Q301" s="666"/>
      <c r="R301" s="666"/>
      <c r="S301" s="666"/>
      <c r="T301" s="666"/>
      <c r="U301" s="666"/>
      <c r="V301" s="666"/>
      <c r="W301" s="666"/>
      <c r="X301" s="666"/>
      <c r="Y301" s="667"/>
      <c r="Z301" s="667"/>
    </row>
    <row r="302" spans="1:26" ht="15.75" customHeight="1">
      <c r="A302" s="666"/>
      <c r="B302" s="666"/>
      <c r="C302" s="666"/>
      <c r="D302" s="666"/>
      <c r="E302" s="666"/>
      <c r="F302" s="666"/>
      <c r="G302" s="666"/>
      <c r="H302" s="666"/>
      <c r="I302" s="666"/>
      <c r="J302" s="666"/>
      <c r="K302" s="666"/>
      <c r="L302" s="666"/>
      <c r="M302" s="666"/>
      <c r="N302" s="666"/>
      <c r="O302" s="666"/>
      <c r="P302" s="666"/>
      <c r="Q302" s="666"/>
      <c r="R302" s="666"/>
      <c r="S302" s="666"/>
      <c r="T302" s="666"/>
      <c r="U302" s="666"/>
      <c r="V302" s="666"/>
      <c r="W302" s="666"/>
      <c r="X302" s="666"/>
      <c r="Y302" s="667"/>
      <c r="Z302" s="667"/>
    </row>
    <row r="303" spans="1:26" ht="15.75" customHeight="1">
      <c r="A303" s="666"/>
      <c r="B303" s="666"/>
      <c r="C303" s="666"/>
      <c r="D303" s="666"/>
      <c r="E303" s="666"/>
      <c r="F303" s="666"/>
      <c r="G303" s="666"/>
      <c r="H303" s="666"/>
      <c r="I303" s="666"/>
      <c r="J303" s="666"/>
      <c r="K303" s="666"/>
      <c r="L303" s="666"/>
      <c r="M303" s="666"/>
      <c r="N303" s="666"/>
      <c r="O303" s="666"/>
      <c r="P303" s="666"/>
      <c r="Q303" s="666"/>
      <c r="R303" s="666"/>
      <c r="S303" s="666"/>
      <c r="T303" s="666"/>
      <c r="U303" s="666"/>
      <c r="V303" s="666"/>
      <c r="W303" s="666"/>
      <c r="X303" s="666"/>
      <c r="Y303" s="667"/>
      <c r="Z303" s="667"/>
    </row>
    <row r="304" spans="1:26" ht="15.75" customHeight="1">
      <c r="A304" s="666"/>
      <c r="B304" s="666"/>
      <c r="C304" s="666"/>
      <c r="D304" s="666"/>
      <c r="E304" s="666"/>
      <c r="F304" s="666"/>
      <c r="G304" s="666"/>
      <c r="H304" s="666"/>
      <c r="I304" s="666"/>
      <c r="J304" s="666"/>
      <c r="K304" s="666"/>
      <c r="L304" s="666"/>
      <c r="M304" s="666"/>
      <c r="N304" s="666"/>
      <c r="O304" s="666"/>
      <c r="P304" s="666"/>
      <c r="Q304" s="666"/>
      <c r="R304" s="666"/>
      <c r="S304" s="666"/>
      <c r="T304" s="666"/>
      <c r="U304" s="666"/>
      <c r="V304" s="666"/>
      <c r="W304" s="666"/>
      <c r="X304" s="666"/>
      <c r="Y304" s="667"/>
      <c r="Z304" s="667"/>
    </row>
    <row r="305" spans="1:26" ht="15.75" customHeight="1">
      <c r="A305" s="666"/>
      <c r="B305" s="666"/>
      <c r="C305" s="666"/>
      <c r="D305" s="666"/>
      <c r="E305" s="666"/>
      <c r="F305" s="666"/>
      <c r="G305" s="666"/>
      <c r="H305" s="666"/>
      <c r="I305" s="666"/>
      <c r="J305" s="666"/>
      <c r="K305" s="666"/>
      <c r="L305" s="666"/>
      <c r="M305" s="666"/>
      <c r="N305" s="666"/>
      <c r="O305" s="666"/>
      <c r="P305" s="666"/>
      <c r="Q305" s="666"/>
      <c r="R305" s="666"/>
      <c r="S305" s="666"/>
      <c r="T305" s="666"/>
      <c r="U305" s="666"/>
      <c r="V305" s="666"/>
      <c r="W305" s="666"/>
      <c r="X305" s="666"/>
      <c r="Y305" s="667"/>
      <c r="Z305" s="667"/>
    </row>
    <row r="306" spans="1:26" ht="15.75" customHeight="1">
      <c r="A306" s="666"/>
      <c r="B306" s="666"/>
      <c r="C306" s="666"/>
      <c r="D306" s="666"/>
      <c r="E306" s="666"/>
      <c r="F306" s="666"/>
      <c r="G306" s="666"/>
      <c r="H306" s="666"/>
      <c r="I306" s="666"/>
      <c r="J306" s="666"/>
      <c r="K306" s="666"/>
      <c r="L306" s="666"/>
      <c r="M306" s="666"/>
      <c r="N306" s="666"/>
      <c r="O306" s="666"/>
      <c r="P306" s="666"/>
      <c r="Q306" s="666"/>
      <c r="R306" s="666"/>
      <c r="S306" s="666"/>
      <c r="T306" s="666"/>
      <c r="U306" s="666"/>
      <c r="V306" s="666"/>
      <c r="W306" s="666"/>
      <c r="X306" s="666"/>
      <c r="Y306" s="667"/>
      <c r="Z306" s="667"/>
    </row>
    <row r="307" spans="1:26" ht="15.75" customHeight="1">
      <c r="A307" s="666"/>
      <c r="B307" s="666"/>
      <c r="C307" s="666"/>
      <c r="D307" s="666"/>
      <c r="E307" s="666"/>
      <c r="F307" s="666"/>
      <c r="G307" s="666"/>
      <c r="H307" s="666"/>
      <c r="I307" s="666"/>
      <c r="J307" s="666"/>
      <c r="K307" s="666"/>
      <c r="L307" s="666"/>
      <c r="M307" s="666"/>
      <c r="N307" s="666"/>
      <c r="O307" s="666"/>
      <c r="P307" s="666"/>
      <c r="Q307" s="666"/>
      <c r="R307" s="666"/>
      <c r="S307" s="666"/>
      <c r="T307" s="666"/>
      <c r="U307" s="666"/>
      <c r="V307" s="666"/>
      <c r="W307" s="666"/>
      <c r="X307" s="666"/>
      <c r="Y307" s="667"/>
      <c r="Z307" s="667"/>
    </row>
    <row r="308" spans="1:26" ht="15.75" customHeight="1">
      <c r="A308" s="666"/>
      <c r="B308" s="666"/>
      <c r="C308" s="666"/>
      <c r="D308" s="666"/>
      <c r="E308" s="666"/>
      <c r="F308" s="666"/>
      <c r="G308" s="666"/>
      <c r="H308" s="666"/>
      <c r="I308" s="666"/>
      <c r="J308" s="666"/>
      <c r="K308" s="666"/>
      <c r="L308" s="666"/>
      <c r="M308" s="666"/>
      <c r="N308" s="666"/>
      <c r="O308" s="666"/>
      <c r="P308" s="666"/>
      <c r="Q308" s="666"/>
      <c r="R308" s="666"/>
      <c r="S308" s="666"/>
      <c r="T308" s="666"/>
      <c r="U308" s="666"/>
      <c r="V308" s="666"/>
      <c r="W308" s="666"/>
      <c r="X308" s="666"/>
      <c r="Y308" s="667"/>
      <c r="Z308" s="667"/>
    </row>
    <row r="309" spans="1:26" ht="15.75" customHeight="1">
      <c r="A309" s="666"/>
      <c r="B309" s="666"/>
      <c r="C309" s="666"/>
      <c r="D309" s="666"/>
      <c r="E309" s="666"/>
      <c r="F309" s="666"/>
      <c r="G309" s="666"/>
      <c r="H309" s="666"/>
      <c r="I309" s="666"/>
      <c r="J309" s="666"/>
      <c r="K309" s="666"/>
      <c r="L309" s="666"/>
      <c r="M309" s="666"/>
      <c r="N309" s="666"/>
      <c r="O309" s="666"/>
      <c r="P309" s="666"/>
      <c r="Q309" s="666"/>
      <c r="R309" s="666"/>
      <c r="S309" s="666"/>
      <c r="T309" s="666"/>
      <c r="U309" s="666"/>
      <c r="V309" s="666"/>
      <c r="W309" s="666"/>
      <c r="X309" s="666"/>
      <c r="Y309" s="667"/>
      <c r="Z309" s="667"/>
    </row>
    <row r="310" spans="1:26" ht="15.75" customHeight="1">
      <c r="A310" s="666"/>
      <c r="B310" s="666"/>
      <c r="C310" s="666"/>
      <c r="D310" s="666"/>
      <c r="E310" s="666"/>
      <c r="F310" s="666"/>
      <c r="G310" s="666"/>
      <c r="H310" s="666"/>
      <c r="I310" s="666"/>
      <c r="J310" s="666"/>
      <c r="K310" s="666"/>
      <c r="L310" s="666"/>
      <c r="M310" s="666"/>
      <c r="N310" s="666"/>
      <c r="O310" s="666"/>
      <c r="P310" s="666"/>
      <c r="Q310" s="666"/>
      <c r="R310" s="666"/>
      <c r="S310" s="666"/>
      <c r="T310" s="666"/>
      <c r="U310" s="666"/>
      <c r="V310" s="666"/>
      <c r="W310" s="666"/>
      <c r="X310" s="666"/>
      <c r="Y310" s="667"/>
      <c r="Z310" s="667"/>
    </row>
    <row r="311" spans="1:26" ht="15.75" customHeight="1">
      <c r="A311" s="666"/>
      <c r="B311" s="666"/>
      <c r="C311" s="666"/>
      <c r="D311" s="666"/>
      <c r="E311" s="666"/>
      <c r="F311" s="666"/>
      <c r="G311" s="666"/>
      <c r="H311" s="666"/>
      <c r="I311" s="666"/>
      <c r="J311" s="666"/>
      <c r="K311" s="666"/>
      <c r="L311" s="666"/>
      <c r="M311" s="666"/>
      <c r="N311" s="666"/>
      <c r="O311" s="666"/>
      <c r="P311" s="666"/>
      <c r="Q311" s="666"/>
      <c r="R311" s="666"/>
      <c r="S311" s="666"/>
      <c r="T311" s="666"/>
      <c r="U311" s="666"/>
      <c r="V311" s="666"/>
      <c r="W311" s="666"/>
      <c r="X311" s="666"/>
      <c r="Y311" s="667"/>
      <c r="Z311" s="667"/>
    </row>
    <row r="312" spans="1:26" ht="15.75" customHeight="1">
      <c r="A312" s="666"/>
      <c r="B312" s="666"/>
      <c r="C312" s="666"/>
      <c r="D312" s="666"/>
      <c r="E312" s="666"/>
      <c r="F312" s="666"/>
      <c r="G312" s="666"/>
      <c r="H312" s="666"/>
      <c r="I312" s="666"/>
      <c r="J312" s="666"/>
      <c r="K312" s="666"/>
      <c r="L312" s="666"/>
      <c r="M312" s="666"/>
      <c r="N312" s="666"/>
      <c r="O312" s="666"/>
      <c r="P312" s="666"/>
      <c r="Q312" s="666"/>
      <c r="R312" s="666"/>
      <c r="S312" s="666"/>
      <c r="T312" s="666"/>
      <c r="U312" s="666"/>
      <c r="V312" s="666"/>
      <c r="W312" s="666"/>
      <c r="X312" s="666"/>
      <c r="Y312" s="667"/>
      <c r="Z312" s="667"/>
    </row>
    <row r="313" spans="1:26" ht="15.75" customHeight="1">
      <c r="A313" s="666"/>
      <c r="B313" s="666"/>
      <c r="C313" s="666"/>
      <c r="D313" s="666"/>
      <c r="E313" s="666"/>
      <c r="F313" s="666"/>
      <c r="G313" s="666"/>
      <c r="H313" s="666"/>
      <c r="I313" s="666"/>
      <c r="J313" s="666"/>
      <c r="K313" s="666"/>
      <c r="L313" s="666"/>
      <c r="M313" s="666"/>
      <c r="N313" s="666"/>
      <c r="O313" s="666"/>
      <c r="P313" s="666"/>
      <c r="Q313" s="666"/>
      <c r="R313" s="666"/>
      <c r="S313" s="666"/>
      <c r="T313" s="666"/>
      <c r="U313" s="666"/>
      <c r="V313" s="666"/>
      <c r="W313" s="666"/>
      <c r="X313" s="666"/>
      <c r="Y313" s="667"/>
      <c r="Z313" s="667"/>
    </row>
    <row r="314" spans="1:26" ht="15.75" customHeight="1">
      <c r="A314" s="666"/>
      <c r="B314" s="666"/>
      <c r="C314" s="666"/>
      <c r="D314" s="666"/>
      <c r="E314" s="666"/>
      <c r="F314" s="666"/>
      <c r="G314" s="666"/>
      <c r="H314" s="666"/>
      <c r="I314" s="666"/>
      <c r="J314" s="666"/>
      <c r="K314" s="666"/>
      <c r="L314" s="666"/>
      <c r="M314" s="666"/>
      <c r="N314" s="666"/>
      <c r="O314" s="666"/>
      <c r="P314" s="666"/>
      <c r="Q314" s="666"/>
      <c r="R314" s="666"/>
      <c r="S314" s="666"/>
      <c r="T314" s="666"/>
      <c r="U314" s="666"/>
      <c r="V314" s="666"/>
      <c r="W314" s="666"/>
      <c r="X314" s="666"/>
      <c r="Y314" s="667"/>
      <c r="Z314" s="667"/>
    </row>
    <row r="315" spans="1:26" ht="15.75" customHeight="1">
      <c r="A315" s="666"/>
      <c r="B315" s="666"/>
      <c r="C315" s="666"/>
      <c r="D315" s="666"/>
      <c r="E315" s="666"/>
      <c r="F315" s="666"/>
      <c r="G315" s="666"/>
      <c r="H315" s="666"/>
      <c r="I315" s="666"/>
      <c r="J315" s="666"/>
      <c r="K315" s="666"/>
      <c r="L315" s="666"/>
      <c r="M315" s="666"/>
      <c r="N315" s="666"/>
      <c r="O315" s="666"/>
      <c r="P315" s="666"/>
      <c r="Q315" s="666"/>
      <c r="R315" s="666"/>
      <c r="S315" s="666"/>
      <c r="T315" s="666"/>
      <c r="U315" s="666"/>
      <c r="V315" s="666"/>
      <c r="W315" s="666"/>
      <c r="X315" s="666"/>
      <c r="Y315" s="667"/>
      <c r="Z315" s="667"/>
    </row>
    <row r="316" spans="1:26" ht="15.75" customHeight="1">
      <c r="A316" s="666"/>
      <c r="B316" s="666"/>
      <c r="C316" s="666"/>
      <c r="D316" s="666"/>
      <c r="E316" s="666"/>
      <c r="F316" s="666"/>
      <c r="G316" s="666"/>
      <c r="H316" s="666"/>
      <c r="I316" s="666"/>
      <c r="J316" s="666"/>
      <c r="K316" s="666"/>
      <c r="L316" s="666"/>
      <c r="M316" s="666"/>
      <c r="N316" s="666"/>
      <c r="O316" s="666"/>
      <c r="P316" s="666"/>
      <c r="Q316" s="666"/>
      <c r="R316" s="666"/>
      <c r="S316" s="666"/>
      <c r="T316" s="666"/>
      <c r="U316" s="666"/>
      <c r="V316" s="666"/>
      <c r="W316" s="666"/>
      <c r="X316" s="666"/>
      <c r="Y316" s="667"/>
      <c r="Z316" s="667"/>
    </row>
    <row r="317" spans="1:26" ht="15.75" customHeight="1">
      <c r="A317" s="666"/>
      <c r="B317" s="666"/>
      <c r="C317" s="666"/>
      <c r="D317" s="666"/>
      <c r="E317" s="666"/>
      <c r="F317" s="666"/>
      <c r="G317" s="666"/>
      <c r="H317" s="666"/>
      <c r="I317" s="666"/>
      <c r="J317" s="666"/>
      <c r="K317" s="666"/>
      <c r="L317" s="666"/>
      <c r="M317" s="666"/>
      <c r="N317" s="666"/>
      <c r="O317" s="666"/>
      <c r="P317" s="666"/>
      <c r="Q317" s="666"/>
      <c r="R317" s="666"/>
      <c r="S317" s="666"/>
      <c r="T317" s="666"/>
      <c r="U317" s="666"/>
      <c r="V317" s="666"/>
      <c r="W317" s="666"/>
      <c r="X317" s="666"/>
      <c r="Y317" s="667"/>
      <c r="Z317" s="667"/>
    </row>
    <row r="318" spans="1:26" ht="15.75" customHeight="1">
      <c r="A318" s="666"/>
      <c r="B318" s="666"/>
      <c r="C318" s="666"/>
      <c r="D318" s="666"/>
      <c r="E318" s="666"/>
      <c r="F318" s="666"/>
      <c r="G318" s="666"/>
      <c r="H318" s="666"/>
      <c r="I318" s="666"/>
      <c r="J318" s="666"/>
      <c r="K318" s="666"/>
      <c r="L318" s="666"/>
      <c r="M318" s="666"/>
      <c r="N318" s="666"/>
      <c r="O318" s="666"/>
      <c r="P318" s="666"/>
      <c r="Q318" s="666"/>
      <c r="R318" s="666"/>
      <c r="S318" s="666"/>
      <c r="T318" s="666"/>
      <c r="U318" s="666"/>
      <c r="V318" s="666"/>
      <c r="W318" s="666"/>
      <c r="X318" s="666"/>
      <c r="Y318" s="667"/>
      <c r="Z318" s="667"/>
    </row>
    <row r="319" spans="1:26" ht="15.75" customHeight="1">
      <c r="A319" s="666"/>
      <c r="B319" s="666"/>
      <c r="C319" s="666"/>
      <c r="D319" s="666"/>
      <c r="E319" s="666"/>
      <c r="F319" s="666"/>
      <c r="G319" s="666"/>
      <c r="H319" s="666"/>
      <c r="I319" s="666"/>
      <c r="J319" s="666"/>
      <c r="K319" s="666"/>
      <c r="L319" s="666"/>
      <c r="M319" s="666"/>
      <c r="N319" s="666"/>
      <c r="O319" s="666"/>
      <c r="P319" s="666"/>
      <c r="Q319" s="666"/>
      <c r="R319" s="666"/>
      <c r="S319" s="666"/>
      <c r="T319" s="666"/>
      <c r="U319" s="666"/>
      <c r="V319" s="666"/>
      <c r="W319" s="666"/>
      <c r="X319" s="666"/>
      <c r="Y319" s="667"/>
      <c r="Z319" s="667"/>
    </row>
    <row r="320" spans="1:26" ht="15.75" customHeight="1">
      <c r="A320" s="666"/>
      <c r="B320" s="666"/>
      <c r="C320" s="666"/>
      <c r="D320" s="666"/>
      <c r="E320" s="666"/>
      <c r="F320" s="666"/>
      <c r="G320" s="666"/>
      <c r="H320" s="666"/>
      <c r="I320" s="666"/>
      <c r="J320" s="666"/>
      <c r="K320" s="666"/>
      <c r="L320" s="666"/>
      <c r="M320" s="666"/>
      <c r="N320" s="666"/>
      <c r="O320" s="666"/>
      <c r="P320" s="666"/>
      <c r="Q320" s="666"/>
      <c r="R320" s="666"/>
      <c r="S320" s="666"/>
      <c r="T320" s="666"/>
      <c r="U320" s="666"/>
      <c r="V320" s="666"/>
      <c r="W320" s="666"/>
      <c r="X320" s="666"/>
      <c r="Y320" s="667"/>
      <c r="Z320" s="667"/>
    </row>
    <row r="321" spans="1:26" ht="15.75" customHeight="1">
      <c r="A321" s="666"/>
      <c r="B321" s="666"/>
      <c r="C321" s="666"/>
      <c r="D321" s="666"/>
      <c r="E321" s="666"/>
      <c r="F321" s="666"/>
      <c r="G321" s="666"/>
      <c r="H321" s="666"/>
      <c r="I321" s="666"/>
      <c r="J321" s="666"/>
      <c r="K321" s="666"/>
      <c r="L321" s="666"/>
      <c r="M321" s="666"/>
      <c r="N321" s="666"/>
      <c r="O321" s="666"/>
      <c r="P321" s="666"/>
      <c r="Q321" s="666"/>
      <c r="R321" s="666"/>
      <c r="S321" s="666"/>
      <c r="T321" s="666"/>
      <c r="U321" s="666"/>
      <c r="V321" s="666"/>
      <c r="W321" s="666"/>
      <c r="X321" s="666"/>
      <c r="Y321" s="667"/>
      <c r="Z321" s="667"/>
    </row>
    <row r="322" spans="1:26" ht="15.75" customHeight="1">
      <c r="A322" s="666"/>
      <c r="B322" s="666"/>
      <c r="C322" s="666"/>
      <c r="D322" s="666"/>
      <c r="E322" s="666"/>
      <c r="F322" s="666"/>
      <c r="G322" s="666"/>
      <c r="H322" s="666"/>
      <c r="I322" s="666"/>
      <c r="J322" s="666"/>
      <c r="K322" s="666"/>
      <c r="L322" s="666"/>
      <c r="M322" s="666"/>
      <c r="N322" s="666"/>
      <c r="O322" s="666"/>
      <c r="P322" s="666"/>
      <c r="Q322" s="666"/>
      <c r="R322" s="666"/>
      <c r="S322" s="666"/>
      <c r="T322" s="666"/>
      <c r="U322" s="666"/>
      <c r="V322" s="666"/>
      <c r="W322" s="666"/>
      <c r="X322" s="666"/>
      <c r="Y322" s="667"/>
      <c r="Z322" s="667"/>
    </row>
    <row r="323" spans="1:26" ht="15.75" customHeight="1">
      <c r="A323" s="666"/>
      <c r="B323" s="666"/>
      <c r="C323" s="666"/>
      <c r="D323" s="666"/>
      <c r="E323" s="666"/>
      <c r="F323" s="666"/>
      <c r="G323" s="666"/>
      <c r="H323" s="666"/>
      <c r="I323" s="666"/>
      <c r="J323" s="666"/>
      <c r="K323" s="666"/>
      <c r="L323" s="666"/>
      <c r="M323" s="666"/>
      <c r="N323" s="666"/>
      <c r="O323" s="666"/>
      <c r="P323" s="666"/>
      <c r="Q323" s="666"/>
      <c r="R323" s="666"/>
      <c r="S323" s="666"/>
      <c r="T323" s="666"/>
      <c r="U323" s="666"/>
      <c r="V323" s="666"/>
      <c r="W323" s="666"/>
      <c r="X323" s="666"/>
      <c r="Y323" s="667"/>
      <c r="Z323" s="667"/>
    </row>
    <row r="324" spans="1:26" ht="15.75" customHeight="1">
      <c r="A324" s="666"/>
      <c r="B324" s="666"/>
      <c r="C324" s="666"/>
      <c r="D324" s="666"/>
      <c r="E324" s="666"/>
      <c r="F324" s="666"/>
      <c r="G324" s="666"/>
      <c r="H324" s="666"/>
      <c r="I324" s="666"/>
      <c r="J324" s="666"/>
      <c r="K324" s="666"/>
      <c r="L324" s="666"/>
      <c r="M324" s="666"/>
      <c r="N324" s="666"/>
      <c r="O324" s="666"/>
      <c r="P324" s="666"/>
      <c r="Q324" s="666"/>
      <c r="R324" s="666"/>
      <c r="S324" s="666"/>
      <c r="T324" s="666"/>
      <c r="U324" s="666"/>
      <c r="V324" s="666"/>
      <c r="W324" s="666"/>
      <c r="X324" s="666"/>
      <c r="Y324" s="667"/>
      <c r="Z324" s="667"/>
    </row>
    <row r="325" spans="1:26" ht="15.75" customHeight="1">
      <c r="A325" s="666"/>
      <c r="B325" s="666"/>
      <c r="C325" s="666"/>
      <c r="D325" s="666"/>
      <c r="E325" s="666"/>
      <c r="F325" s="666"/>
      <c r="G325" s="666"/>
      <c r="H325" s="666"/>
      <c r="I325" s="666"/>
      <c r="J325" s="666"/>
      <c r="K325" s="666"/>
      <c r="L325" s="666"/>
      <c r="M325" s="666"/>
      <c r="N325" s="666"/>
      <c r="O325" s="666"/>
      <c r="P325" s="666"/>
      <c r="Q325" s="666"/>
      <c r="R325" s="666"/>
      <c r="S325" s="666"/>
      <c r="T325" s="666"/>
      <c r="U325" s="666"/>
      <c r="V325" s="666"/>
      <c r="W325" s="666"/>
      <c r="X325" s="666"/>
      <c r="Y325" s="667"/>
      <c r="Z325" s="667"/>
    </row>
    <row r="326" spans="1:26" ht="15.75" customHeight="1">
      <c r="A326" s="666"/>
      <c r="B326" s="666"/>
      <c r="C326" s="666"/>
      <c r="D326" s="666"/>
      <c r="E326" s="666"/>
      <c r="F326" s="666"/>
      <c r="G326" s="666"/>
      <c r="H326" s="666"/>
      <c r="I326" s="666"/>
      <c r="J326" s="666"/>
      <c r="K326" s="666"/>
      <c r="L326" s="666"/>
      <c r="M326" s="666"/>
      <c r="N326" s="666"/>
      <c r="O326" s="666"/>
      <c r="P326" s="666"/>
      <c r="Q326" s="666"/>
      <c r="R326" s="666"/>
      <c r="S326" s="666"/>
      <c r="T326" s="666"/>
      <c r="U326" s="666"/>
      <c r="V326" s="666"/>
      <c r="W326" s="666"/>
      <c r="X326" s="666"/>
      <c r="Y326" s="667"/>
      <c r="Z326" s="667"/>
    </row>
    <row r="327" spans="1:26" ht="15.75" customHeight="1">
      <c r="A327" s="666"/>
      <c r="B327" s="666"/>
      <c r="C327" s="666"/>
      <c r="D327" s="666"/>
      <c r="E327" s="666"/>
      <c r="F327" s="666"/>
      <c r="G327" s="666"/>
      <c r="H327" s="666"/>
      <c r="I327" s="666"/>
      <c r="J327" s="666"/>
      <c r="K327" s="666"/>
      <c r="L327" s="666"/>
      <c r="M327" s="666"/>
      <c r="N327" s="666"/>
      <c r="O327" s="666"/>
      <c r="P327" s="666"/>
      <c r="Q327" s="666"/>
      <c r="R327" s="666"/>
      <c r="S327" s="666"/>
      <c r="T327" s="666"/>
      <c r="U327" s="666"/>
      <c r="V327" s="666"/>
      <c r="W327" s="666"/>
      <c r="X327" s="666"/>
      <c r="Y327" s="667"/>
      <c r="Z327" s="667"/>
    </row>
    <row r="328" spans="1:26" ht="15.75" customHeight="1">
      <c r="A328" s="666"/>
      <c r="B328" s="666"/>
      <c r="C328" s="666"/>
      <c r="D328" s="666"/>
      <c r="E328" s="666"/>
      <c r="F328" s="666"/>
      <c r="G328" s="666"/>
      <c r="H328" s="666"/>
      <c r="I328" s="666"/>
      <c r="J328" s="666"/>
      <c r="K328" s="666"/>
      <c r="L328" s="666"/>
      <c r="M328" s="666"/>
      <c r="N328" s="666"/>
      <c r="O328" s="666"/>
      <c r="P328" s="666"/>
      <c r="Q328" s="666"/>
      <c r="R328" s="666"/>
      <c r="S328" s="666"/>
      <c r="T328" s="666"/>
      <c r="U328" s="666"/>
      <c r="V328" s="666"/>
      <c r="W328" s="666"/>
      <c r="X328" s="666"/>
      <c r="Y328" s="667"/>
      <c r="Z328" s="667"/>
    </row>
    <row r="329" spans="1:26" ht="15.75" customHeight="1">
      <c r="A329" s="666"/>
      <c r="B329" s="666"/>
      <c r="C329" s="666"/>
      <c r="D329" s="666"/>
      <c r="E329" s="666"/>
      <c r="F329" s="666"/>
      <c r="G329" s="666"/>
      <c r="H329" s="666"/>
      <c r="I329" s="666"/>
      <c r="J329" s="666"/>
      <c r="K329" s="666"/>
      <c r="L329" s="666"/>
      <c r="M329" s="666"/>
      <c r="N329" s="666"/>
      <c r="O329" s="666"/>
      <c r="P329" s="666"/>
      <c r="Q329" s="666"/>
      <c r="R329" s="666"/>
      <c r="S329" s="666"/>
      <c r="T329" s="666"/>
      <c r="U329" s="666"/>
      <c r="V329" s="666"/>
      <c r="W329" s="666"/>
      <c r="X329" s="666"/>
      <c r="Y329" s="667"/>
      <c r="Z329" s="667"/>
    </row>
    <row r="330" spans="1:26" ht="15.75" customHeight="1">
      <c r="A330" s="666"/>
      <c r="B330" s="666"/>
      <c r="C330" s="666"/>
      <c r="D330" s="666"/>
      <c r="E330" s="666"/>
      <c r="F330" s="666"/>
      <c r="G330" s="666"/>
      <c r="H330" s="666"/>
      <c r="I330" s="666"/>
      <c r="J330" s="666"/>
      <c r="K330" s="666"/>
      <c r="L330" s="666"/>
      <c r="M330" s="666"/>
      <c r="N330" s="666"/>
      <c r="O330" s="666"/>
      <c r="P330" s="666"/>
      <c r="Q330" s="666"/>
      <c r="R330" s="666"/>
      <c r="S330" s="666"/>
      <c r="T330" s="666"/>
      <c r="U330" s="666"/>
      <c r="V330" s="666"/>
      <c r="W330" s="666"/>
      <c r="X330" s="666"/>
      <c r="Y330" s="667"/>
      <c r="Z330" s="667"/>
    </row>
    <row r="331" spans="1:26" ht="15.75" customHeight="1">
      <c r="A331" s="666"/>
      <c r="B331" s="666"/>
      <c r="C331" s="666"/>
      <c r="D331" s="666"/>
      <c r="E331" s="666"/>
      <c r="F331" s="666"/>
      <c r="G331" s="666"/>
      <c r="H331" s="666"/>
      <c r="I331" s="666"/>
      <c r="J331" s="666"/>
      <c r="K331" s="666"/>
      <c r="L331" s="666"/>
      <c r="M331" s="666"/>
      <c r="N331" s="666"/>
      <c r="O331" s="666"/>
      <c r="P331" s="666"/>
      <c r="Q331" s="666"/>
      <c r="R331" s="666"/>
      <c r="S331" s="666"/>
      <c r="T331" s="666"/>
      <c r="U331" s="666"/>
      <c r="V331" s="666"/>
      <c r="W331" s="666"/>
      <c r="X331" s="666"/>
      <c r="Y331" s="667"/>
      <c r="Z331" s="667"/>
    </row>
    <row r="332" spans="1:26" ht="15.75" customHeight="1">
      <c r="A332" s="666"/>
      <c r="B332" s="666"/>
      <c r="C332" s="666"/>
      <c r="D332" s="666"/>
      <c r="E332" s="666"/>
      <c r="F332" s="666"/>
      <c r="G332" s="666"/>
      <c r="H332" s="666"/>
      <c r="I332" s="666"/>
      <c r="J332" s="666"/>
      <c r="K332" s="666"/>
      <c r="L332" s="666"/>
      <c r="M332" s="666"/>
      <c r="N332" s="666"/>
      <c r="O332" s="666"/>
      <c r="P332" s="666"/>
      <c r="Q332" s="666"/>
      <c r="R332" s="666"/>
      <c r="S332" s="666"/>
      <c r="T332" s="666"/>
      <c r="U332" s="666"/>
      <c r="V332" s="666"/>
      <c r="W332" s="666"/>
      <c r="X332" s="666"/>
      <c r="Y332" s="667"/>
      <c r="Z332" s="667"/>
    </row>
    <row r="333" spans="1:26" ht="15.75" customHeight="1">
      <c r="A333" s="666"/>
      <c r="B333" s="666"/>
      <c r="C333" s="666"/>
      <c r="D333" s="666"/>
      <c r="E333" s="666"/>
      <c r="F333" s="666"/>
      <c r="G333" s="666"/>
      <c r="H333" s="666"/>
      <c r="I333" s="666"/>
      <c r="J333" s="666"/>
      <c r="K333" s="666"/>
      <c r="L333" s="666"/>
      <c r="M333" s="666"/>
      <c r="N333" s="666"/>
      <c r="O333" s="666"/>
      <c r="P333" s="666"/>
      <c r="Q333" s="666"/>
      <c r="R333" s="666"/>
      <c r="S333" s="666"/>
      <c r="T333" s="666"/>
      <c r="U333" s="666"/>
      <c r="V333" s="666"/>
      <c r="W333" s="666"/>
      <c r="X333" s="666"/>
      <c r="Y333" s="667"/>
      <c r="Z333" s="667"/>
    </row>
    <row r="334" spans="1:26" ht="15.75" customHeight="1">
      <c r="A334" s="666"/>
      <c r="B334" s="666"/>
      <c r="C334" s="666"/>
      <c r="D334" s="666"/>
      <c r="E334" s="666"/>
      <c r="F334" s="666"/>
      <c r="G334" s="666"/>
      <c r="H334" s="666"/>
      <c r="I334" s="666"/>
      <c r="J334" s="666"/>
      <c r="K334" s="666"/>
      <c r="L334" s="666"/>
      <c r="M334" s="666"/>
      <c r="N334" s="666"/>
      <c r="O334" s="666"/>
      <c r="P334" s="666"/>
      <c r="Q334" s="666"/>
      <c r="R334" s="666"/>
      <c r="S334" s="666"/>
      <c r="T334" s="666"/>
      <c r="U334" s="666"/>
      <c r="V334" s="666"/>
      <c r="W334" s="666"/>
      <c r="X334" s="666"/>
      <c r="Y334" s="667"/>
      <c r="Z334" s="667"/>
    </row>
    <row r="335" spans="1:26" ht="15.75" customHeight="1">
      <c r="A335" s="666"/>
      <c r="B335" s="666"/>
      <c r="C335" s="666"/>
      <c r="D335" s="666"/>
      <c r="E335" s="666"/>
      <c r="F335" s="666"/>
      <c r="G335" s="666"/>
      <c r="H335" s="666"/>
      <c r="I335" s="666"/>
      <c r="J335" s="666"/>
      <c r="K335" s="666"/>
      <c r="L335" s="666"/>
      <c r="M335" s="666"/>
      <c r="N335" s="666"/>
      <c r="O335" s="666"/>
      <c r="P335" s="666"/>
      <c r="Q335" s="666"/>
      <c r="R335" s="666"/>
      <c r="S335" s="666"/>
      <c r="T335" s="666"/>
      <c r="U335" s="666"/>
      <c r="V335" s="666"/>
      <c r="W335" s="666"/>
      <c r="X335" s="666"/>
      <c r="Y335" s="667"/>
      <c r="Z335" s="667"/>
    </row>
    <row r="336" spans="1:26" ht="15.75" customHeight="1">
      <c r="A336" s="666"/>
      <c r="B336" s="666"/>
      <c r="C336" s="666"/>
      <c r="D336" s="666"/>
      <c r="E336" s="666"/>
      <c r="F336" s="666"/>
      <c r="G336" s="666"/>
      <c r="H336" s="666"/>
      <c r="I336" s="666"/>
      <c r="J336" s="666"/>
      <c r="K336" s="666"/>
      <c r="L336" s="666"/>
      <c r="M336" s="666"/>
      <c r="N336" s="666"/>
      <c r="O336" s="666"/>
      <c r="P336" s="666"/>
      <c r="Q336" s="666"/>
      <c r="R336" s="666"/>
      <c r="S336" s="666"/>
      <c r="T336" s="666"/>
      <c r="U336" s="666"/>
      <c r="V336" s="666"/>
      <c r="W336" s="666"/>
      <c r="X336" s="666"/>
      <c r="Y336" s="667"/>
      <c r="Z336" s="667"/>
    </row>
    <row r="337" spans="1:26" ht="15.75" customHeight="1">
      <c r="A337" s="666"/>
      <c r="B337" s="666"/>
      <c r="C337" s="666"/>
      <c r="D337" s="666"/>
      <c r="E337" s="666"/>
      <c r="F337" s="666"/>
      <c r="G337" s="666"/>
      <c r="H337" s="666"/>
      <c r="I337" s="666"/>
      <c r="J337" s="666"/>
      <c r="K337" s="666"/>
      <c r="L337" s="666"/>
      <c r="M337" s="666"/>
      <c r="N337" s="666"/>
      <c r="O337" s="666"/>
      <c r="P337" s="666"/>
      <c r="Q337" s="666"/>
      <c r="R337" s="666"/>
      <c r="S337" s="666"/>
      <c r="T337" s="666"/>
      <c r="U337" s="666"/>
      <c r="V337" s="666"/>
      <c r="W337" s="666"/>
      <c r="X337" s="666"/>
      <c r="Y337" s="667"/>
      <c r="Z337" s="667"/>
    </row>
    <row r="338" spans="1:26" ht="15.75" customHeight="1">
      <c r="A338" s="666"/>
      <c r="B338" s="666"/>
      <c r="C338" s="666"/>
      <c r="D338" s="666"/>
      <c r="E338" s="666"/>
      <c r="F338" s="666"/>
      <c r="G338" s="666"/>
      <c r="H338" s="666"/>
      <c r="I338" s="666"/>
      <c r="J338" s="666"/>
      <c r="K338" s="666"/>
      <c r="L338" s="666"/>
      <c r="M338" s="666"/>
      <c r="N338" s="666"/>
      <c r="O338" s="666"/>
      <c r="P338" s="666"/>
      <c r="Q338" s="666"/>
      <c r="R338" s="666"/>
      <c r="S338" s="666"/>
      <c r="T338" s="666"/>
      <c r="U338" s="666"/>
      <c r="V338" s="666"/>
      <c r="W338" s="666"/>
      <c r="X338" s="666"/>
      <c r="Y338" s="667"/>
      <c r="Z338" s="667"/>
    </row>
    <row r="339" spans="1:26" ht="15.75" customHeight="1">
      <c r="A339" s="666"/>
      <c r="B339" s="666"/>
      <c r="C339" s="666"/>
      <c r="D339" s="666"/>
      <c r="E339" s="666"/>
      <c r="F339" s="666"/>
      <c r="G339" s="666"/>
      <c r="H339" s="666"/>
      <c r="I339" s="666"/>
      <c r="J339" s="666"/>
      <c r="K339" s="666"/>
      <c r="L339" s="666"/>
      <c r="M339" s="666"/>
      <c r="N339" s="666"/>
      <c r="O339" s="666"/>
      <c r="P339" s="666"/>
      <c r="Q339" s="666"/>
      <c r="R339" s="666"/>
      <c r="S339" s="666"/>
      <c r="T339" s="666"/>
      <c r="U339" s="666"/>
      <c r="V339" s="666"/>
      <c r="W339" s="666"/>
      <c r="X339" s="666"/>
      <c r="Y339" s="667"/>
      <c r="Z339" s="667"/>
    </row>
    <row r="340" spans="1:26" ht="15.75" customHeight="1">
      <c r="A340" s="666"/>
      <c r="B340" s="666"/>
      <c r="C340" s="666"/>
      <c r="D340" s="666"/>
      <c r="E340" s="666"/>
      <c r="F340" s="666"/>
      <c r="G340" s="666"/>
      <c r="H340" s="666"/>
      <c r="I340" s="666"/>
      <c r="J340" s="666"/>
      <c r="K340" s="666"/>
      <c r="L340" s="666"/>
      <c r="M340" s="666"/>
      <c r="N340" s="666"/>
      <c r="O340" s="666"/>
      <c r="P340" s="666"/>
      <c r="Q340" s="666"/>
      <c r="R340" s="666"/>
      <c r="S340" s="666"/>
      <c r="T340" s="666"/>
      <c r="U340" s="666"/>
      <c r="V340" s="666"/>
      <c r="W340" s="666"/>
      <c r="X340" s="666"/>
      <c r="Y340" s="667"/>
      <c r="Z340" s="667"/>
    </row>
    <row r="341" spans="1:26" ht="15.75" customHeight="1">
      <c r="A341" s="666"/>
      <c r="B341" s="666"/>
      <c r="C341" s="666"/>
      <c r="D341" s="666"/>
      <c r="E341" s="666"/>
      <c r="F341" s="666"/>
      <c r="G341" s="666"/>
      <c r="H341" s="666"/>
      <c r="I341" s="666"/>
      <c r="J341" s="666"/>
      <c r="K341" s="666"/>
      <c r="L341" s="666"/>
      <c r="M341" s="666"/>
      <c r="N341" s="666"/>
      <c r="O341" s="666"/>
      <c r="P341" s="666"/>
      <c r="Q341" s="666"/>
      <c r="R341" s="666"/>
      <c r="S341" s="666"/>
      <c r="T341" s="666"/>
      <c r="U341" s="666"/>
      <c r="V341" s="666"/>
      <c r="W341" s="666"/>
      <c r="X341" s="666"/>
      <c r="Y341" s="667"/>
      <c r="Z341" s="667"/>
    </row>
    <row r="342" spans="1:26" ht="15.75" customHeight="1">
      <c r="A342" s="666"/>
      <c r="B342" s="666"/>
      <c r="C342" s="666"/>
      <c r="D342" s="666"/>
      <c r="E342" s="666"/>
      <c r="F342" s="666"/>
      <c r="G342" s="666"/>
      <c r="H342" s="666"/>
      <c r="I342" s="666"/>
      <c r="J342" s="666"/>
      <c r="K342" s="666"/>
      <c r="L342" s="666"/>
      <c r="M342" s="666"/>
      <c r="N342" s="666"/>
      <c r="O342" s="666"/>
      <c r="P342" s="666"/>
      <c r="Q342" s="666"/>
      <c r="R342" s="666"/>
      <c r="S342" s="666"/>
      <c r="T342" s="666"/>
      <c r="U342" s="666"/>
      <c r="V342" s="666"/>
      <c r="W342" s="666"/>
      <c r="X342" s="666"/>
      <c r="Y342" s="667"/>
      <c r="Z342" s="667"/>
    </row>
    <row r="343" spans="1:26" ht="15.75" customHeight="1">
      <c r="A343" s="666"/>
      <c r="B343" s="666"/>
      <c r="C343" s="666"/>
      <c r="D343" s="666"/>
      <c r="E343" s="666"/>
      <c r="F343" s="666"/>
      <c r="G343" s="666"/>
      <c r="H343" s="666"/>
      <c r="I343" s="666"/>
      <c r="J343" s="666"/>
      <c r="K343" s="666"/>
      <c r="L343" s="666"/>
      <c r="M343" s="666"/>
      <c r="N343" s="666"/>
      <c r="O343" s="666"/>
      <c r="P343" s="666"/>
      <c r="Q343" s="666"/>
      <c r="R343" s="666"/>
      <c r="S343" s="666"/>
      <c r="T343" s="666"/>
      <c r="U343" s="666"/>
      <c r="V343" s="666"/>
      <c r="W343" s="666"/>
      <c r="X343" s="666"/>
      <c r="Y343" s="667"/>
      <c r="Z343" s="667"/>
    </row>
    <row r="344" spans="1:26" ht="15.75" customHeight="1">
      <c r="A344" s="666"/>
      <c r="B344" s="666"/>
      <c r="C344" s="666"/>
      <c r="D344" s="666"/>
      <c r="E344" s="666"/>
      <c r="F344" s="666"/>
      <c r="G344" s="666"/>
      <c r="H344" s="666"/>
      <c r="I344" s="666"/>
      <c r="J344" s="666"/>
      <c r="K344" s="666"/>
      <c r="L344" s="666"/>
      <c r="M344" s="666"/>
      <c r="N344" s="666"/>
      <c r="O344" s="666"/>
      <c r="P344" s="666"/>
      <c r="Q344" s="666"/>
      <c r="R344" s="666"/>
      <c r="S344" s="666"/>
      <c r="T344" s="666"/>
      <c r="U344" s="666"/>
      <c r="V344" s="666"/>
      <c r="W344" s="666"/>
      <c r="X344" s="666"/>
      <c r="Y344" s="667"/>
      <c r="Z344" s="667"/>
    </row>
    <row r="345" spans="1:26" ht="15.75" customHeight="1">
      <c r="A345" s="666"/>
      <c r="B345" s="666"/>
      <c r="C345" s="666"/>
      <c r="D345" s="666"/>
      <c r="E345" s="666"/>
      <c r="F345" s="666"/>
      <c r="G345" s="666"/>
      <c r="H345" s="666"/>
      <c r="I345" s="666"/>
      <c r="J345" s="666"/>
      <c r="K345" s="666"/>
      <c r="L345" s="666"/>
      <c r="M345" s="666"/>
      <c r="N345" s="666"/>
      <c r="O345" s="666"/>
      <c r="P345" s="666"/>
      <c r="Q345" s="666"/>
      <c r="R345" s="666"/>
      <c r="S345" s="666"/>
      <c r="T345" s="666"/>
      <c r="U345" s="666"/>
      <c r="V345" s="666"/>
      <c r="W345" s="666"/>
      <c r="X345" s="666"/>
      <c r="Y345" s="667"/>
      <c r="Z345" s="667"/>
    </row>
    <row r="346" spans="1:26" ht="15.75" customHeight="1">
      <c r="A346" s="666"/>
      <c r="B346" s="666"/>
      <c r="C346" s="666"/>
      <c r="D346" s="666"/>
      <c r="E346" s="666"/>
      <c r="F346" s="666"/>
      <c r="G346" s="666"/>
      <c r="H346" s="666"/>
      <c r="I346" s="666"/>
      <c r="J346" s="666"/>
      <c r="K346" s="666"/>
      <c r="L346" s="666"/>
      <c r="M346" s="666"/>
      <c r="N346" s="666"/>
      <c r="O346" s="666"/>
      <c r="P346" s="666"/>
      <c r="Q346" s="666"/>
      <c r="R346" s="666"/>
      <c r="S346" s="666"/>
      <c r="T346" s="666"/>
      <c r="U346" s="666"/>
      <c r="V346" s="666"/>
      <c r="W346" s="666"/>
      <c r="X346" s="666"/>
      <c r="Y346" s="667"/>
      <c r="Z346" s="667"/>
    </row>
    <row r="347" spans="1:26" ht="15.75" customHeight="1">
      <c r="A347" s="666"/>
      <c r="B347" s="666"/>
      <c r="C347" s="666"/>
      <c r="D347" s="666"/>
      <c r="E347" s="666"/>
      <c r="F347" s="666"/>
      <c r="G347" s="666"/>
      <c r="H347" s="666"/>
      <c r="I347" s="666"/>
      <c r="J347" s="666"/>
      <c r="K347" s="666"/>
      <c r="L347" s="666"/>
      <c r="M347" s="666"/>
      <c r="N347" s="666"/>
      <c r="O347" s="666"/>
      <c r="P347" s="666"/>
      <c r="Q347" s="666"/>
      <c r="R347" s="666"/>
      <c r="S347" s="666"/>
      <c r="T347" s="666"/>
      <c r="U347" s="666"/>
      <c r="V347" s="666"/>
      <c r="W347" s="666"/>
      <c r="X347" s="666"/>
      <c r="Y347" s="667"/>
      <c r="Z347" s="667"/>
    </row>
    <row r="348" spans="1:26" ht="15.75" customHeight="1">
      <c r="A348" s="666"/>
      <c r="B348" s="666"/>
      <c r="C348" s="666"/>
      <c r="D348" s="666"/>
      <c r="E348" s="666"/>
      <c r="F348" s="666"/>
      <c r="G348" s="666"/>
      <c r="H348" s="666"/>
      <c r="I348" s="666"/>
      <c r="J348" s="666"/>
      <c r="K348" s="666"/>
      <c r="L348" s="666"/>
      <c r="M348" s="666"/>
      <c r="N348" s="666"/>
      <c r="O348" s="666"/>
      <c r="P348" s="666"/>
      <c r="Q348" s="666"/>
      <c r="R348" s="666"/>
      <c r="S348" s="666"/>
      <c r="T348" s="666"/>
      <c r="U348" s="666"/>
      <c r="V348" s="666"/>
      <c r="W348" s="666"/>
      <c r="X348" s="666"/>
      <c r="Y348" s="667"/>
      <c r="Z348" s="667"/>
    </row>
    <row r="349" spans="1:26" ht="15.75" customHeight="1">
      <c r="A349" s="666"/>
      <c r="B349" s="666"/>
      <c r="C349" s="666"/>
      <c r="D349" s="666"/>
      <c r="E349" s="666"/>
      <c r="F349" s="666"/>
      <c r="G349" s="666"/>
      <c r="H349" s="666"/>
      <c r="I349" s="666"/>
      <c r="J349" s="666"/>
      <c r="K349" s="666"/>
      <c r="L349" s="666"/>
      <c r="M349" s="666"/>
      <c r="N349" s="666"/>
      <c r="O349" s="666"/>
      <c r="P349" s="666"/>
      <c r="Q349" s="666"/>
      <c r="R349" s="666"/>
      <c r="S349" s="666"/>
      <c r="T349" s="666"/>
      <c r="U349" s="666"/>
      <c r="V349" s="666"/>
      <c r="W349" s="666"/>
      <c r="X349" s="666"/>
      <c r="Y349" s="667"/>
      <c r="Z349" s="667"/>
    </row>
    <row r="350" spans="1:26" ht="15.75" customHeight="1">
      <c r="A350" s="666"/>
      <c r="B350" s="666"/>
      <c r="C350" s="666"/>
      <c r="D350" s="666"/>
      <c r="E350" s="666"/>
      <c r="F350" s="666"/>
      <c r="G350" s="666"/>
      <c r="H350" s="666"/>
      <c r="I350" s="666"/>
      <c r="J350" s="666"/>
      <c r="K350" s="666"/>
      <c r="L350" s="666"/>
      <c r="M350" s="666"/>
      <c r="N350" s="666"/>
      <c r="O350" s="666"/>
      <c r="P350" s="666"/>
      <c r="Q350" s="666"/>
      <c r="R350" s="666"/>
      <c r="S350" s="666"/>
      <c r="T350" s="666"/>
      <c r="U350" s="666"/>
      <c r="V350" s="666"/>
      <c r="W350" s="666"/>
      <c r="X350" s="666"/>
      <c r="Y350" s="667"/>
      <c r="Z350" s="667"/>
    </row>
    <row r="351" spans="1:26" ht="15.75" customHeight="1">
      <c r="A351" s="666"/>
      <c r="B351" s="666"/>
      <c r="C351" s="666"/>
      <c r="D351" s="666"/>
      <c r="E351" s="666"/>
      <c r="F351" s="666"/>
      <c r="G351" s="666"/>
      <c r="H351" s="666"/>
      <c r="I351" s="666"/>
      <c r="J351" s="666"/>
      <c r="K351" s="666"/>
      <c r="L351" s="666"/>
      <c r="M351" s="666"/>
      <c r="N351" s="666"/>
      <c r="O351" s="666"/>
      <c r="P351" s="666"/>
      <c r="Q351" s="666"/>
      <c r="R351" s="666"/>
      <c r="S351" s="666"/>
      <c r="T351" s="666"/>
      <c r="U351" s="666"/>
      <c r="V351" s="666"/>
      <c r="W351" s="666"/>
      <c r="X351" s="666"/>
      <c r="Y351" s="667"/>
      <c r="Z351" s="667"/>
    </row>
    <row r="352" spans="1:26" ht="15.75" customHeight="1">
      <c r="A352" s="666"/>
      <c r="B352" s="666"/>
      <c r="C352" s="666"/>
      <c r="D352" s="666"/>
      <c r="E352" s="666"/>
      <c r="F352" s="666"/>
      <c r="G352" s="666"/>
      <c r="H352" s="666"/>
      <c r="I352" s="666"/>
      <c r="J352" s="666"/>
      <c r="K352" s="666"/>
      <c r="L352" s="666"/>
      <c r="M352" s="666"/>
      <c r="N352" s="666"/>
      <c r="O352" s="666"/>
      <c r="P352" s="666"/>
      <c r="Q352" s="666"/>
      <c r="R352" s="666"/>
      <c r="S352" s="666"/>
      <c r="T352" s="666"/>
      <c r="U352" s="666"/>
      <c r="V352" s="666"/>
      <c r="W352" s="666"/>
      <c r="X352" s="666"/>
      <c r="Y352" s="667"/>
      <c r="Z352" s="667"/>
    </row>
    <row r="353" spans="1:26" ht="15.75" customHeight="1">
      <c r="A353" s="666"/>
      <c r="B353" s="666"/>
      <c r="C353" s="666"/>
      <c r="D353" s="666"/>
      <c r="E353" s="666"/>
      <c r="F353" s="666"/>
      <c r="G353" s="666"/>
      <c r="H353" s="666"/>
      <c r="I353" s="666"/>
      <c r="J353" s="666"/>
      <c r="K353" s="666"/>
      <c r="L353" s="666"/>
      <c r="M353" s="666"/>
      <c r="N353" s="666"/>
      <c r="O353" s="666"/>
      <c r="P353" s="666"/>
      <c r="Q353" s="666"/>
      <c r="R353" s="666"/>
      <c r="S353" s="666"/>
      <c r="T353" s="666"/>
      <c r="U353" s="666"/>
      <c r="V353" s="666"/>
      <c r="W353" s="666"/>
      <c r="X353" s="666"/>
      <c r="Y353" s="667"/>
      <c r="Z353" s="667"/>
    </row>
    <row r="354" spans="1:26" ht="15.75" customHeight="1">
      <c r="A354" s="666"/>
      <c r="B354" s="666"/>
      <c r="C354" s="666"/>
      <c r="D354" s="666"/>
      <c r="E354" s="666"/>
      <c r="F354" s="666"/>
      <c r="G354" s="666"/>
      <c r="H354" s="666"/>
      <c r="I354" s="666"/>
      <c r="J354" s="666"/>
      <c r="K354" s="666"/>
      <c r="L354" s="666"/>
      <c r="M354" s="666"/>
      <c r="N354" s="666"/>
      <c r="O354" s="666"/>
      <c r="P354" s="666"/>
      <c r="Q354" s="666"/>
      <c r="R354" s="666"/>
      <c r="S354" s="666"/>
      <c r="T354" s="666"/>
      <c r="U354" s="666"/>
      <c r="V354" s="666"/>
      <c r="W354" s="666"/>
      <c r="X354" s="666"/>
      <c r="Y354" s="667"/>
      <c r="Z354" s="667"/>
    </row>
    <row r="355" spans="1:26" ht="15.75" customHeight="1">
      <c r="A355" s="666"/>
      <c r="B355" s="666"/>
      <c r="C355" s="666"/>
      <c r="D355" s="666"/>
      <c r="E355" s="666"/>
      <c r="F355" s="666"/>
      <c r="G355" s="666"/>
      <c r="H355" s="666"/>
      <c r="I355" s="666"/>
      <c r="J355" s="666"/>
      <c r="K355" s="666"/>
      <c r="L355" s="666"/>
      <c r="M355" s="666"/>
      <c r="N355" s="666"/>
      <c r="O355" s="666"/>
      <c r="P355" s="666"/>
      <c r="Q355" s="666"/>
      <c r="R355" s="666"/>
      <c r="S355" s="666"/>
      <c r="T355" s="666"/>
      <c r="U355" s="666"/>
      <c r="V355" s="666"/>
      <c r="W355" s="666"/>
      <c r="X355" s="666"/>
      <c r="Y355" s="667"/>
      <c r="Z355" s="667"/>
    </row>
    <row r="356" spans="1:26" ht="15.75" customHeight="1">
      <c r="A356" s="666"/>
      <c r="B356" s="666"/>
      <c r="C356" s="666"/>
      <c r="D356" s="666"/>
      <c r="E356" s="666"/>
      <c r="F356" s="666"/>
      <c r="G356" s="666"/>
      <c r="H356" s="666"/>
      <c r="I356" s="666"/>
      <c r="J356" s="666"/>
      <c r="K356" s="666"/>
      <c r="L356" s="666"/>
      <c r="M356" s="666"/>
      <c r="N356" s="666"/>
      <c r="O356" s="666"/>
      <c r="P356" s="666"/>
      <c r="Q356" s="666"/>
      <c r="R356" s="666"/>
      <c r="S356" s="666"/>
      <c r="T356" s="666"/>
      <c r="U356" s="666"/>
      <c r="V356" s="666"/>
      <c r="W356" s="666"/>
      <c r="X356" s="666"/>
      <c r="Y356" s="667"/>
      <c r="Z356" s="667"/>
    </row>
    <row r="357" spans="1:26" ht="15.75" customHeight="1">
      <c r="A357" s="666"/>
      <c r="B357" s="666"/>
      <c r="C357" s="666"/>
      <c r="D357" s="666"/>
      <c r="E357" s="666"/>
      <c r="F357" s="666"/>
      <c r="G357" s="666"/>
      <c r="H357" s="666"/>
      <c r="I357" s="666"/>
      <c r="J357" s="666"/>
      <c r="K357" s="666"/>
      <c r="L357" s="666"/>
      <c r="M357" s="666"/>
      <c r="N357" s="666"/>
      <c r="O357" s="666"/>
      <c r="P357" s="666"/>
      <c r="Q357" s="666"/>
      <c r="R357" s="666"/>
      <c r="S357" s="666"/>
      <c r="T357" s="666"/>
      <c r="U357" s="666"/>
      <c r="V357" s="666"/>
      <c r="W357" s="666"/>
      <c r="X357" s="666"/>
      <c r="Y357" s="667"/>
      <c r="Z357" s="667"/>
    </row>
    <row r="358" spans="1:26" ht="15.75" customHeight="1">
      <c r="A358" s="666"/>
      <c r="B358" s="666"/>
      <c r="C358" s="666"/>
      <c r="D358" s="666"/>
      <c r="E358" s="666"/>
      <c r="F358" s="666"/>
      <c r="G358" s="666"/>
      <c r="H358" s="666"/>
      <c r="I358" s="666"/>
      <c r="J358" s="666"/>
      <c r="K358" s="666"/>
      <c r="L358" s="666"/>
      <c r="M358" s="666"/>
      <c r="N358" s="666"/>
      <c r="O358" s="666"/>
      <c r="P358" s="666"/>
      <c r="Q358" s="666"/>
      <c r="R358" s="666"/>
      <c r="S358" s="666"/>
      <c r="T358" s="666"/>
      <c r="U358" s="666"/>
      <c r="V358" s="666"/>
      <c r="W358" s="666"/>
      <c r="X358" s="666"/>
      <c r="Y358" s="667"/>
      <c r="Z358" s="667"/>
    </row>
    <row r="359" spans="1:26" ht="15.75" customHeight="1">
      <c r="A359" s="666"/>
      <c r="B359" s="666"/>
      <c r="C359" s="666"/>
      <c r="D359" s="666"/>
      <c r="E359" s="666"/>
      <c r="F359" s="666"/>
      <c r="G359" s="666"/>
      <c r="H359" s="666"/>
      <c r="I359" s="666"/>
      <c r="J359" s="666"/>
      <c r="K359" s="666"/>
      <c r="L359" s="666"/>
      <c r="M359" s="666"/>
      <c r="N359" s="666"/>
      <c r="O359" s="666"/>
      <c r="P359" s="666"/>
      <c r="Q359" s="666"/>
      <c r="R359" s="666"/>
      <c r="S359" s="666"/>
      <c r="T359" s="666"/>
      <c r="U359" s="666"/>
      <c r="V359" s="666"/>
      <c r="W359" s="666"/>
      <c r="X359" s="666"/>
      <c r="Y359" s="667"/>
      <c r="Z359" s="667"/>
    </row>
    <row r="360" spans="1:26" ht="15.75" customHeight="1">
      <c r="A360" s="666"/>
      <c r="B360" s="666"/>
      <c r="C360" s="666"/>
      <c r="D360" s="666"/>
      <c r="E360" s="666"/>
      <c r="F360" s="666"/>
      <c r="G360" s="666"/>
      <c r="H360" s="666"/>
      <c r="I360" s="666"/>
      <c r="J360" s="666"/>
      <c r="K360" s="666"/>
      <c r="L360" s="666"/>
      <c r="M360" s="666"/>
      <c r="N360" s="666"/>
      <c r="O360" s="666"/>
      <c r="P360" s="666"/>
      <c r="Q360" s="666"/>
      <c r="R360" s="666"/>
      <c r="S360" s="666"/>
      <c r="T360" s="666"/>
      <c r="U360" s="666"/>
      <c r="V360" s="666"/>
      <c r="W360" s="666"/>
      <c r="X360" s="666"/>
      <c r="Y360" s="667"/>
      <c r="Z360" s="667"/>
    </row>
    <row r="361" spans="1:26" ht="15.75" customHeight="1">
      <c r="A361" s="666"/>
      <c r="B361" s="666"/>
      <c r="C361" s="666"/>
      <c r="D361" s="666"/>
      <c r="E361" s="666"/>
      <c r="F361" s="666"/>
      <c r="G361" s="666"/>
      <c r="H361" s="666"/>
      <c r="I361" s="666"/>
      <c r="J361" s="666"/>
      <c r="K361" s="666"/>
      <c r="L361" s="666"/>
      <c r="M361" s="666"/>
      <c r="N361" s="666"/>
      <c r="O361" s="666"/>
      <c r="P361" s="666"/>
      <c r="Q361" s="666"/>
      <c r="R361" s="666"/>
      <c r="S361" s="666"/>
      <c r="T361" s="666"/>
      <c r="U361" s="666"/>
      <c r="V361" s="666"/>
      <c r="W361" s="666"/>
      <c r="X361" s="666"/>
      <c r="Y361" s="667"/>
      <c r="Z361" s="667"/>
    </row>
    <row r="362" spans="1:26" ht="15.75" customHeight="1">
      <c r="A362" s="666"/>
      <c r="B362" s="666"/>
      <c r="C362" s="666"/>
      <c r="D362" s="666"/>
      <c r="E362" s="666"/>
      <c r="F362" s="666"/>
      <c r="G362" s="666"/>
      <c r="H362" s="666"/>
      <c r="I362" s="666"/>
      <c r="J362" s="666"/>
      <c r="K362" s="666"/>
      <c r="L362" s="666"/>
      <c r="M362" s="666"/>
      <c r="N362" s="666"/>
      <c r="O362" s="666"/>
      <c r="P362" s="666"/>
      <c r="Q362" s="666"/>
      <c r="R362" s="666"/>
      <c r="S362" s="666"/>
      <c r="T362" s="666"/>
      <c r="U362" s="666"/>
      <c r="V362" s="666"/>
      <c r="W362" s="666"/>
      <c r="X362" s="666"/>
      <c r="Y362" s="667"/>
      <c r="Z362" s="667"/>
    </row>
    <row r="363" spans="1:26" ht="15.75" customHeight="1">
      <c r="A363" s="666"/>
      <c r="B363" s="666"/>
      <c r="C363" s="666"/>
      <c r="D363" s="666"/>
      <c r="E363" s="666"/>
      <c r="F363" s="666"/>
      <c r="G363" s="666"/>
      <c r="H363" s="666"/>
      <c r="I363" s="666"/>
      <c r="J363" s="666"/>
      <c r="K363" s="666"/>
      <c r="L363" s="666"/>
      <c r="M363" s="666"/>
      <c r="N363" s="666"/>
      <c r="O363" s="666"/>
      <c r="P363" s="666"/>
      <c r="Q363" s="666"/>
      <c r="R363" s="666"/>
      <c r="S363" s="666"/>
      <c r="T363" s="666"/>
      <c r="U363" s="666"/>
      <c r="V363" s="666"/>
      <c r="W363" s="666"/>
      <c r="X363" s="666"/>
      <c r="Y363" s="667"/>
      <c r="Z363" s="667"/>
    </row>
    <row r="364" spans="1:26" ht="15.75" customHeight="1">
      <c r="A364" s="666"/>
      <c r="B364" s="666"/>
      <c r="C364" s="666"/>
      <c r="D364" s="666"/>
      <c r="E364" s="666"/>
      <c r="F364" s="666"/>
      <c r="G364" s="666"/>
      <c r="H364" s="666"/>
      <c r="I364" s="666"/>
      <c r="J364" s="666"/>
      <c r="K364" s="666"/>
      <c r="L364" s="666"/>
      <c r="M364" s="666"/>
      <c r="N364" s="666"/>
      <c r="O364" s="666"/>
      <c r="P364" s="666"/>
      <c r="Q364" s="666"/>
      <c r="R364" s="666"/>
      <c r="S364" s="666"/>
      <c r="T364" s="666"/>
      <c r="U364" s="666"/>
      <c r="V364" s="666"/>
      <c r="W364" s="666"/>
      <c r="X364" s="666"/>
      <c r="Y364" s="667"/>
      <c r="Z364" s="667"/>
    </row>
    <row r="365" spans="1:26" ht="15.75" customHeight="1">
      <c r="A365" s="666"/>
      <c r="B365" s="666"/>
      <c r="C365" s="666"/>
      <c r="D365" s="666"/>
      <c r="E365" s="666"/>
      <c r="F365" s="666"/>
      <c r="G365" s="666"/>
      <c r="H365" s="666"/>
      <c r="I365" s="666"/>
      <c r="J365" s="666"/>
      <c r="K365" s="666"/>
      <c r="L365" s="666"/>
      <c r="M365" s="666"/>
      <c r="N365" s="666"/>
      <c r="O365" s="666"/>
      <c r="P365" s="666"/>
      <c r="Q365" s="666"/>
      <c r="R365" s="666"/>
      <c r="S365" s="666"/>
      <c r="T365" s="666"/>
      <c r="U365" s="666"/>
      <c r="V365" s="666"/>
      <c r="W365" s="666"/>
      <c r="X365" s="666"/>
      <c r="Y365" s="667"/>
      <c r="Z365" s="667"/>
    </row>
    <row r="366" spans="1:26" ht="15.75" customHeight="1">
      <c r="A366" s="666"/>
      <c r="B366" s="666"/>
      <c r="C366" s="666"/>
      <c r="D366" s="666"/>
      <c r="E366" s="666"/>
      <c r="F366" s="666"/>
      <c r="G366" s="666"/>
      <c r="H366" s="666"/>
      <c r="I366" s="666"/>
      <c r="J366" s="666"/>
      <c r="K366" s="666"/>
      <c r="L366" s="666"/>
      <c r="M366" s="666"/>
      <c r="N366" s="666"/>
      <c r="O366" s="666"/>
      <c r="P366" s="666"/>
      <c r="Q366" s="666"/>
      <c r="R366" s="666"/>
      <c r="S366" s="666"/>
      <c r="T366" s="666"/>
      <c r="U366" s="666"/>
      <c r="V366" s="666"/>
      <c r="W366" s="666"/>
      <c r="X366" s="666"/>
      <c r="Y366" s="667"/>
      <c r="Z366" s="667"/>
    </row>
    <row r="367" spans="1:26" ht="15.75" customHeight="1">
      <c r="A367" s="666"/>
      <c r="B367" s="666"/>
      <c r="C367" s="666"/>
      <c r="D367" s="666"/>
      <c r="E367" s="666"/>
      <c r="F367" s="666"/>
      <c r="G367" s="666"/>
      <c r="H367" s="666"/>
      <c r="I367" s="666"/>
      <c r="J367" s="666"/>
      <c r="K367" s="666"/>
      <c r="L367" s="666"/>
      <c r="M367" s="666"/>
      <c r="N367" s="666"/>
      <c r="O367" s="666"/>
      <c r="P367" s="666"/>
      <c r="Q367" s="666"/>
      <c r="R367" s="666"/>
      <c r="S367" s="666"/>
      <c r="T367" s="666"/>
      <c r="U367" s="666"/>
      <c r="V367" s="666"/>
      <c r="W367" s="666"/>
      <c r="X367" s="666"/>
      <c r="Y367" s="667"/>
      <c r="Z367" s="667"/>
    </row>
    <row r="368" spans="1:26" ht="15.75" customHeight="1">
      <c r="A368" s="666"/>
      <c r="B368" s="666"/>
      <c r="C368" s="666"/>
      <c r="D368" s="666"/>
      <c r="E368" s="666"/>
      <c r="F368" s="666"/>
      <c r="G368" s="666"/>
      <c r="H368" s="666"/>
      <c r="I368" s="666"/>
      <c r="J368" s="666"/>
      <c r="K368" s="666"/>
      <c r="L368" s="666"/>
      <c r="M368" s="666"/>
      <c r="N368" s="666"/>
      <c r="O368" s="666"/>
      <c r="P368" s="666"/>
      <c r="Q368" s="666"/>
      <c r="R368" s="666"/>
      <c r="S368" s="666"/>
      <c r="T368" s="666"/>
      <c r="U368" s="666"/>
      <c r="V368" s="666"/>
      <c r="W368" s="666"/>
      <c r="X368" s="666"/>
      <c r="Y368" s="667"/>
      <c r="Z368" s="667"/>
    </row>
    <row r="369" spans="1:26" ht="15.75" customHeight="1">
      <c r="A369" s="666"/>
      <c r="B369" s="666"/>
      <c r="C369" s="666"/>
      <c r="D369" s="666"/>
      <c r="E369" s="666"/>
      <c r="F369" s="666"/>
      <c r="G369" s="666"/>
      <c r="H369" s="666"/>
      <c r="I369" s="666"/>
      <c r="J369" s="666"/>
      <c r="K369" s="666"/>
      <c r="L369" s="666"/>
      <c r="M369" s="666"/>
      <c r="N369" s="666"/>
      <c r="O369" s="666"/>
      <c r="P369" s="666"/>
      <c r="Q369" s="666"/>
      <c r="R369" s="666"/>
      <c r="S369" s="666"/>
      <c r="T369" s="666"/>
      <c r="U369" s="666"/>
      <c r="V369" s="666"/>
      <c r="W369" s="666"/>
      <c r="X369" s="666"/>
      <c r="Y369" s="667"/>
      <c r="Z369" s="667"/>
    </row>
    <row r="370" spans="1:26" ht="15.75" customHeight="1">
      <c r="A370" s="666"/>
      <c r="B370" s="666"/>
      <c r="C370" s="666"/>
      <c r="D370" s="666"/>
      <c r="E370" s="666"/>
      <c r="F370" s="666"/>
      <c r="G370" s="666"/>
      <c r="H370" s="666"/>
      <c r="I370" s="666"/>
      <c r="J370" s="666"/>
      <c r="K370" s="666"/>
      <c r="L370" s="666"/>
      <c r="M370" s="666"/>
      <c r="N370" s="666"/>
      <c r="O370" s="666"/>
      <c r="P370" s="666"/>
      <c r="Q370" s="666"/>
      <c r="R370" s="666"/>
      <c r="S370" s="666"/>
      <c r="T370" s="666"/>
      <c r="U370" s="666"/>
      <c r="V370" s="666"/>
      <c r="W370" s="666"/>
      <c r="X370" s="666"/>
      <c r="Y370" s="667"/>
      <c r="Z370" s="667"/>
    </row>
    <row r="371" spans="1:26" ht="15.75" customHeight="1">
      <c r="A371" s="666"/>
      <c r="B371" s="666"/>
      <c r="C371" s="666"/>
      <c r="D371" s="666"/>
      <c r="E371" s="666"/>
      <c r="F371" s="666"/>
      <c r="G371" s="666"/>
      <c r="H371" s="666"/>
      <c r="I371" s="666"/>
      <c r="J371" s="666"/>
      <c r="K371" s="666"/>
      <c r="L371" s="666"/>
      <c r="M371" s="666"/>
      <c r="N371" s="666"/>
      <c r="O371" s="666"/>
      <c r="P371" s="666"/>
      <c r="Q371" s="666"/>
      <c r="R371" s="666"/>
      <c r="S371" s="666"/>
      <c r="T371" s="666"/>
      <c r="U371" s="666"/>
      <c r="V371" s="666"/>
      <c r="W371" s="666"/>
      <c r="X371" s="666"/>
      <c r="Y371" s="667"/>
      <c r="Z371" s="667"/>
    </row>
    <row r="372" spans="1:26" ht="15.75" customHeight="1">
      <c r="A372" s="666"/>
      <c r="B372" s="666"/>
      <c r="C372" s="666"/>
      <c r="D372" s="666"/>
      <c r="E372" s="666"/>
      <c r="F372" s="666"/>
      <c r="G372" s="666"/>
      <c r="H372" s="666"/>
      <c r="I372" s="666"/>
      <c r="J372" s="666"/>
      <c r="K372" s="666"/>
      <c r="L372" s="666"/>
      <c r="M372" s="666"/>
      <c r="N372" s="666"/>
      <c r="O372" s="666"/>
      <c r="P372" s="666"/>
      <c r="Q372" s="666"/>
      <c r="R372" s="666"/>
      <c r="S372" s="666"/>
      <c r="T372" s="666"/>
      <c r="U372" s="666"/>
      <c r="V372" s="666"/>
      <c r="W372" s="666"/>
      <c r="X372" s="666"/>
      <c r="Y372" s="667"/>
      <c r="Z372" s="667"/>
    </row>
    <row r="373" spans="1:26" ht="15.75" customHeight="1">
      <c r="A373" s="666"/>
      <c r="B373" s="666"/>
      <c r="C373" s="666"/>
      <c r="D373" s="666"/>
      <c r="E373" s="666"/>
      <c r="F373" s="666"/>
      <c r="G373" s="666"/>
      <c r="H373" s="666"/>
      <c r="I373" s="666"/>
      <c r="J373" s="666"/>
      <c r="K373" s="666"/>
      <c r="L373" s="666"/>
      <c r="M373" s="666"/>
      <c r="N373" s="666"/>
      <c r="O373" s="666"/>
      <c r="P373" s="666"/>
      <c r="Q373" s="666"/>
      <c r="R373" s="666"/>
      <c r="S373" s="666"/>
      <c r="T373" s="666"/>
      <c r="U373" s="666"/>
      <c r="V373" s="666"/>
      <c r="W373" s="666"/>
      <c r="X373" s="666"/>
      <c r="Y373" s="667"/>
      <c r="Z373" s="667"/>
    </row>
    <row r="374" spans="1:26" ht="15.75" customHeight="1">
      <c r="A374" s="666"/>
      <c r="B374" s="666"/>
      <c r="C374" s="666"/>
      <c r="D374" s="666"/>
      <c r="E374" s="666"/>
      <c r="F374" s="666"/>
      <c r="G374" s="666"/>
      <c r="H374" s="666"/>
      <c r="I374" s="666"/>
      <c r="J374" s="666"/>
      <c r="K374" s="666"/>
      <c r="L374" s="666"/>
      <c r="M374" s="666"/>
      <c r="N374" s="666"/>
      <c r="O374" s="666"/>
      <c r="P374" s="666"/>
      <c r="Q374" s="666"/>
      <c r="R374" s="666"/>
      <c r="S374" s="666"/>
      <c r="T374" s="666"/>
      <c r="U374" s="666"/>
      <c r="V374" s="666"/>
      <c r="W374" s="666"/>
      <c r="X374" s="666"/>
      <c r="Y374" s="667"/>
      <c r="Z374" s="667"/>
    </row>
    <row r="375" spans="1:26" ht="15.75" customHeight="1">
      <c r="A375" s="666"/>
      <c r="B375" s="666"/>
      <c r="C375" s="666"/>
      <c r="D375" s="666"/>
      <c r="E375" s="666"/>
      <c r="F375" s="666"/>
      <c r="G375" s="666"/>
      <c r="H375" s="666"/>
      <c r="I375" s="666"/>
      <c r="J375" s="666"/>
      <c r="K375" s="666"/>
      <c r="L375" s="666"/>
      <c r="M375" s="666"/>
      <c r="N375" s="666"/>
      <c r="O375" s="666"/>
      <c r="P375" s="666"/>
      <c r="Q375" s="666"/>
      <c r="R375" s="666"/>
      <c r="S375" s="666"/>
      <c r="T375" s="666"/>
      <c r="U375" s="666"/>
      <c r="V375" s="666"/>
      <c r="W375" s="666"/>
      <c r="X375" s="666"/>
      <c r="Y375" s="667"/>
      <c r="Z375" s="667"/>
    </row>
    <row r="376" spans="1:26" ht="15.75" customHeight="1">
      <c r="A376" s="666"/>
      <c r="B376" s="666"/>
      <c r="C376" s="666"/>
      <c r="D376" s="666"/>
      <c r="E376" s="666"/>
      <c r="F376" s="666"/>
      <c r="G376" s="666"/>
      <c r="H376" s="666"/>
      <c r="I376" s="666"/>
      <c r="J376" s="666"/>
      <c r="K376" s="666"/>
      <c r="L376" s="666"/>
      <c r="M376" s="666"/>
      <c r="N376" s="666"/>
      <c r="O376" s="666"/>
      <c r="P376" s="666"/>
      <c r="Q376" s="666"/>
      <c r="R376" s="666"/>
      <c r="S376" s="666"/>
      <c r="T376" s="666"/>
      <c r="U376" s="666"/>
      <c r="V376" s="666"/>
      <c r="W376" s="666"/>
      <c r="X376" s="666"/>
      <c r="Y376" s="667"/>
      <c r="Z376" s="667"/>
    </row>
    <row r="377" spans="1:26" ht="15.75" customHeight="1">
      <c r="A377" s="666"/>
      <c r="B377" s="666"/>
      <c r="C377" s="666"/>
      <c r="D377" s="666"/>
      <c r="E377" s="666"/>
      <c r="F377" s="666"/>
      <c r="G377" s="666"/>
      <c r="H377" s="666"/>
      <c r="I377" s="666"/>
      <c r="J377" s="666"/>
      <c r="K377" s="666"/>
      <c r="L377" s="666"/>
      <c r="M377" s="666"/>
      <c r="N377" s="666"/>
      <c r="O377" s="666"/>
      <c r="P377" s="666"/>
      <c r="Q377" s="666"/>
      <c r="R377" s="666"/>
      <c r="S377" s="666"/>
      <c r="T377" s="666"/>
      <c r="U377" s="666"/>
      <c r="V377" s="666"/>
      <c r="W377" s="666"/>
      <c r="X377" s="666"/>
      <c r="Y377" s="667"/>
      <c r="Z377" s="667"/>
    </row>
    <row r="378" spans="1:26" ht="15.75" customHeight="1">
      <c r="A378" s="666"/>
      <c r="B378" s="666"/>
      <c r="C378" s="666"/>
      <c r="D378" s="666"/>
      <c r="E378" s="666"/>
      <c r="F378" s="666"/>
      <c r="G378" s="666"/>
      <c r="H378" s="666"/>
      <c r="I378" s="666"/>
      <c r="J378" s="666"/>
      <c r="K378" s="666"/>
      <c r="L378" s="666"/>
      <c r="M378" s="666"/>
      <c r="N378" s="666"/>
      <c r="O378" s="666"/>
      <c r="P378" s="666"/>
      <c r="Q378" s="666"/>
      <c r="R378" s="666"/>
      <c r="S378" s="666"/>
      <c r="T378" s="666"/>
      <c r="U378" s="666"/>
      <c r="V378" s="666"/>
      <c r="W378" s="666"/>
      <c r="X378" s="666"/>
      <c r="Y378" s="667"/>
      <c r="Z378" s="667"/>
    </row>
    <row r="379" spans="1:26" ht="15.75" customHeight="1">
      <c r="A379" s="666"/>
      <c r="B379" s="666"/>
      <c r="C379" s="666"/>
      <c r="D379" s="666"/>
      <c r="E379" s="666"/>
      <c r="F379" s="666"/>
      <c r="G379" s="666"/>
      <c r="H379" s="666"/>
      <c r="I379" s="666"/>
      <c r="J379" s="666"/>
      <c r="K379" s="666"/>
      <c r="L379" s="666"/>
      <c r="M379" s="666"/>
      <c r="N379" s="666"/>
      <c r="O379" s="666"/>
      <c r="P379" s="666"/>
      <c r="Q379" s="666"/>
      <c r="R379" s="666"/>
      <c r="S379" s="666"/>
      <c r="T379" s="666"/>
      <c r="U379" s="666"/>
      <c r="V379" s="666"/>
      <c r="W379" s="666"/>
      <c r="X379" s="666"/>
      <c r="Y379" s="667"/>
      <c r="Z379" s="667"/>
    </row>
    <row r="380" spans="1:26" ht="15.75" customHeight="1">
      <c r="A380" s="666"/>
      <c r="B380" s="666"/>
      <c r="C380" s="666"/>
      <c r="D380" s="666"/>
      <c r="E380" s="666"/>
      <c r="F380" s="666"/>
      <c r="G380" s="666"/>
      <c r="H380" s="666"/>
      <c r="I380" s="666"/>
      <c r="J380" s="666"/>
      <c r="K380" s="666"/>
      <c r="L380" s="666"/>
      <c r="M380" s="666"/>
      <c r="N380" s="666"/>
      <c r="O380" s="666"/>
      <c r="P380" s="666"/>
      <c r="Q380" s="666"/>
      <c r="R380" s="666"/>
      <c r="S380" s="666"/>
      <c r="T380" s="666"/>
      <c r="U380" s="666"/>
      <c r="V380" s="666"/>
      <c r="W380" s="666"/>
      <c r="X380" s="666"/>
      <c r="Y380" s="667"/>
      <c r="Z380" s="667"/>
    </row>
    <row r="381" spans="1:26" ht="15.75" customHeight="1">
      <c r="A381" s="666"/>
      <c r="B381" s="666"/>
      <c r="C381" s="666"/>
      <c r="D381" s="666"/>
      <c r="E381" s="666"/>
      <c r="F381" s="666"/>
      <c r="G381" s="666"/>
      <c r="H381" s="666"/>
      <c r="I381" s="666"/>
      <c r="J381" s="666"/>
      <c r="K381" s="666"/>
      <c r="L381" s="666"/>
      <c r="M381" s="666"/>
      <c r="N381" s="666"/>
      <c r="O381" s="666"/>
      <c r="P381" s="666"/>
      <c r="Q381" s="666"/>
      <c r="R381" s="666"/>
      <c r="S381" s="666"/>
      <c r="T381" s="666"/>
      <c r="U381" s="666"/>
      <c r="V381" s="666"/>
      <c r="W381" s="666"/>
      <c r="X381" s="666"/>
      <c r="Y381" s="667"/>
      <c r="Z381" s="667"/>
    </row>
    <row r="382" spans="1:26" ht="15.75" customHeight="1">
      <c r="A382" s="666"/>
      <c r="B382" s="666"/>
      <c r="C382" s="666"/>
      <c r="D382" s="666"/>
      <c r="E382" s="666"/>
      <c r="F382" s="666"/>
      <c r="G382" s="666"/>
      <c r="H382" s="666"/>
      <c r="I382" s="666"/>
      <c r="J382" s="666"/>
      <c r="K382" s="666"/>
      <c r="L382" s="666"/>
      <c r="M382" s="666"/>
      <c r="N382" s="666"/>
      <c r="O382" s="666"/>
      <c r="P382" s="666"/>
      <c r="Q382" s="666"/>
      <c r="R382" s="666"/>
      <c r="S382" s="666"/>
      <c r="T382" s="666"/>
      <c r="U382" s="666"/>
      <c r="V382" s="666"/>
      <c r="W382" s="666"/>
      <c r="X382" s="666"/>
      <c r="Y382" s="667"/>
      <c r="Z382" s="667"/>
    </row>
    <row r="383" spans="1:26" ht="15.75" customHeight="1">
      <c r="A383" s="666"/>
      <c r="B383" s="666"/>
      <c r="C383" s="666"/>
      <c r="D383" s="666"/>
      <c r="E383" s="666"/>
      <c r="F383" s="666"/>
      <c r="G383" s="666"/>
      <c r="H383" s="666"/>
      <c r="I383" s="666"/>
      <c r="J383" s="666"/>
      <c r="K383" s="666"/>
      <c r="L383" s="666"/>
      <c r="M383" s="666"/>
      <c r="N383" s="666"/>
      <c r="O383" s="666"/>
      <c r="P383" s="666"/>
      <c r="Q383" s="666"/>
      <c r="R383" s="666"/>
      <c r="S383" s="666"/>
      <c r="T383" s="666"/>
      <c r="U383" s="666"/>
      <c r="V383" s="666"/>
      <c r="W383" s="666"/>
      <c r="X383" s="666"/>
      <c r="Y383" s="667"/>
      <c r="Z383" s="667"/>
    </row>
    <row r="384" spans="1:26" ht="15.75" customHeight="1">
      <c r="A384" s="666"/>
      <c r="B384" s="666"/>
      <c r="C384" s="666"/>
      <c r="D384" s="666"/>
      <c r="E384" s="666"/>
      <c r="F384" s="666"/>
      <c r="G384" s="666"/>
      <c r="H384" s="666"/>
      <c r="I384" s="666"/>
      <c r="J384" s="666"/>
      <c r="K384" s="666"/>
      <c r="L384" s="666"/>
      <c r="M384" s="666"/>
      <c r="N384" s="666"/>
      <c r="O384" s="666"/>
      <c r="P384" s="666"/>
      <c r="Q384" s="666"/>
      <c r="R384" s="666"/>
      <c r="S384" s="666"/>
      <c r="T384" s="666"/>
      <c r="U384" s="666"/>
      <c r="V384" s="666"/>
      <c r="W384" s="666"/>
      <c r="X384" s="666"/>
      <c r="Y384" s="667"/>
      <c r="Z384" s="667"/>
    </row>
    <row r="385" spans="1:26" ht="15.75" customHeight="1">
      <c r="A385" s="666"/>
      <c r="B385" s="666"/>
      <c r="C385" s="666"/>
      <c r="D385" s="666"/>
      <c r="E385" s="666"/>
      <c r="F385" s="666"/>
      <c r="G385" s="666"/>
      <c r="H385" s="666"/>
      <c r="I385" s="666"/>
      <c r="J385" s="666"/>
      <c r="K385" s="666"/>
      <c r="L385" s="666"/>
      <c r="M385" s="666"/>
      <c r="N385" s="666"/>
      <c r="O385" s="666"/>
      <c r="P385" s="666"/>
      <c r="Q385" s="666"/>
      <c r="R385" s="666"/>
      <c r="S385" s="666"/>
      <c r="T385" s="666"/>
      <c r="U385" s="666"/>
      <c r="V385" s="666"/>
      <c r="W385" s="666"/>
      <c r="X385" s="666"/>
      <c r="Y385" s="667"/>
      <c r="Z385" s="667"/>
    </row>
    <row r="386" spans="1:26" ht="15.75" customHeight="1">
      <c r="A386" s="666"/>
      <c r="B386" s="666"/>
      <c r="C386" s="666"/>
      <c r="D386" s="666"/>
      <c r="E386" s="666"/>
      <c r="F386" s="666"/>
      <c r="G386" s="666"/>
      <c r="H386" s="666"/>
      <c r="I386" s="666"/>
      <c r="J386" s="666"/>
      <c r="K386" s="666"/>
      <c r="L386" s="666"/>
      <c r="M386" s="666"/>
      <c r="N386" s="666"/>
      <c r="O386" s="666"/>
      <c r="P386" s="666"/>
      <c r="Q386" s="666"/>
      <c r="R386" s="666"/>
      <c r="S386" s="666"/>
      <c r="T386" s="666"/>
      <c r="U386" s="666"/>
      <c r="V386" s="666"/>
      <c r="W386" s="666"/>
      <c r="X386" s="666"/>
      <c r="Y386" s="667"/>
      <c r="Z386" s="667"/>
    </row>
    <row r="387" spans="1:26" ht="15.75" customHeight="1">
      <c r="A387" s="666"/>
      <c r="B387" s="666"/>
      <c r="C387" s="666"/>
      <c r="D387" s="666"/>
      <c r="E387" s="666"/>
      <c r="F387" s="666"/>
      <c r="G387" s="666"/>
      <c r="H387" s="666"/>
      <c r="I387" s="666"/>
      <c r="J387" s="666"/>
      <c r="K387" s="666"/>
      <c r="L387" s="666"/>
      <c r="M387" s="666"/>
      <c r="N387" s="666"/>
      <c r="O387" s="666"/>
      <c r="P387" s="666"/>
      <c r="Q387" s="666"/>
      <c r="R387" s="666"/>
      <c r="S387" s="666"/>
      <c r="T387" s="666"/>
      <c r="U387" s="666"/>
      <c r="V387" s="666"/>
      <c r="W387" s="666"/>
      <c r="X387" s="666"/>
      <c r="Y387" s="667"/>
      <c r="Z387" s="667"/>
    </row>
    <row r="388" spans="1:26" ht="15.75" customHeight="1">
      <c r="A388" s="666"/>
      <c r="B388" s="666"/>
      <c r="C388" s="666"/>
      <c r="D388" s="666"/>
      <c r="E388" s="666"/>
      <c r="F388" s="666"/>
      <c r="G388" s="666"/>
      <c r="H388" s="666"/>
      <c r="I388" s="666"/>
      <c r="J388" s="666"/>
      <c r="K388" s="666"/>
      <c r="L388" s="666"/>
      <c r="M388" s="666"/>
      <c r="N388" s="666"/>
      <c r="O388" s="666"/>
      <c r="P388" s="666"/>
      <c r="Q388" s="666"/>
      <c r="R388" s="666"/>
      <c r="S388" s="666"/>
      <c r="T388" s="666"/>
      <c r="U388" s="666"/>
      <c r="V388" s="666"/>
      <c r="W388" s="666"/>
      <c r="X388" s="666"/>
      <c r="Y388" s="667"/>
      <c r="Z388" s="667"/>
    </row>
    <row r="389" spans="1:26" ht="15.75" customHeight="1">
      <c r="A389" s="666"/>
      <c r="B389" s="666"/>
      <c r="C389" s="666"/>
      <c r="D389" s="666"/>
      <c r="E389" s="666"/>
      <c r="F389" s="666"/>
      <c r="G389" s="666"/>
      <c r="H389" s="666"/>
      <c r="I389" s="666"/>
      <c r="J389" s="666"/>
      <c r="K389" s="666"/>
      <c r="L389" s="666"/>
      <c r="M389" s="666"/>
      <c r="N389" s="666"/>
      <c r="O389" s="666"/>
      <c r="P389" s="666"/>
      <c r="Q389" s="666"/>
      <c r="R389" s="666"/>
      <c r="S389" s="666"/>
      <c r="T389" s="666"/>
      <c r="U389" s="666"/>
      <c r="V389" s="666"/>
      <c r="W389" s="666"/>
      <c r="X389" s="666"/>
      <c r="Y389" s="667"/>
      <c r="Z389" s="667"/>
    </row>
    <row r="390" spans="1:26" ht="15.75" customHeight="1">
      <c r="A390" s="666"/>
      <c r="B390" s="666"/>
      <c r="C390" s="666"/>
      <c r="D390" s="666"/>
      <c r="E390" s="666"/>
      <c r="F390" s="666"/>
      <c r="G390" s="666"/>
      <c r="H390" s="666"/>
      <c r="I390" s="666"/>
      <c r="J390" s="666"/>
      <c r="K390" s="666"/>
      <c r="L390" s="666"/>
      <c r="M390" s="666"/>
      <c r="N390" s="666"/>
      <c r="O390" s="666"/>
      <c r="P390" s="666"/>
      <c r="Q390" s="666"/>
      <c r="R390" s="666"/>
      <c r="S390" s="666"/>
      <c r="T390" s="666"/>
      <c r="U390" s="666"/>
      <c r="V390" s="666"/>
      <c r="W390" s="666"/>
      <c r="X390" s="666"/>
      <c r="Y390" s="667"/>
      <c r="Z390" s="667"/>
    </row>
    <row r="391" spans="1:26" ht="15.75" customHeight="1">
      <c r="A391" s="666"/>
      <c r="B391" s="666"/>
      <c r="C391" s="666"/>
      <c r="D391" s="666"/>
      <c r="E391" s="666"/>
      <c r="F391" s="666"/>
      <c r="G391" s="666"/>
      <c r="H391" s="666"/>
      <c r="I391" s="666"/>
      <c r="J391" s="666"/>
      <c r="K391" s="666"/>
      <c r="L391" s="666"/>
      <c r="M391" s="666"/>
      <c r="N391" s="666"/>
      <c r="O391" s="666"/>
      <c r="P391" s="666"/>
      <c r="Q391" s="666"/>
      <c r="R391" s="666"/>
      <c r="S391" s="666"/>
      <c r="T391" s="666"/>
      <c r="U391" s="666"/>
      <c r="V391" s="666"/>
      <c r="W391" s="666"/>
      <c r="X391" s="666"/>
      <c r="Y391" s="667"/>
      <c r="Z391" s="667"/>
    </row>
    <row r="392" spans="1:26" ht="15.75" customHeight="1">
      <c r="A392" s="666"/>
      <c r="B392" s="666"/>
      <c r="C392" s="666"/>
      <c r="D392" s="666"/>
      <c r="E392" s="666"/>
      <c r="F392" s="666"/>
      <c r="G392" s="666"/>
      <c r="H392" s="666"/>
      <c r="I392" s="666"/>
      <c r="J392" s="666"/>
      <c r="K392" s="666"/>
      <c r="L392" s="666"/>
      <c r="M392" s="666"/>
      <c r="N392" s="666"/>
      <c r="O392" s="666"/>
      <c r="P392" s="666"/>
      <c r="Q392" s="666"/>
      <c r="R392" s="666"/>
      <c r="S392" s="666"/>
      <c r="T392" s="666"/>
      <c r="U392" s="666"/>
      <c r="V392" s="666"/>
      <c r="W392" s="666"/>
      <c r="X392" s="666"/>
      <c r="Y392" s="667"/>
      <c r="Z392" s="667"/>
    </row>
    <row r="393" spans="1:26" ht="15.75" customHeight="1">
      <c r="A393" s="666"/>
      <c r="B393" s="666"/>
      <c r="C393" s="666"/>
      <c r="D393" s="666"/>
      <c r="E393" s="666"/>
      <c r="F393" s="666"/>
      <c r="G393" s="666"/>
      <c r="H393" s="666"/>
      <c r="I393" s="666"/>
      <c r="J393" s="666"/>
      <c r="K393" s="666"/>
      <c r="L393" s="666"/>
      <c r="M393" s="666"/>
      <c r="N393" s="666"/>
      <c r="O393" s="666"/>
      <c r="P393" s="666"/>
      <c r="Q393" s="666"/>
      <c r="R393" s="666"/>
      <c r="S393" s="666"/>
      <c r="T393" s="666"/>
      <c r="U393" s="666"/>
      <c r="V393" s="666"/>
      <c r="W393" s="666"/>
      <c r="X393" s="666"/>
      <c r="Y393" s="667"/>
      <c r="Z393" s="667"/>
    </row>
    <row r="394" spans="1:26" ht="15.75" customHeight="1">
      <c r="A394" s="666"/>
      <c r="B394" s="666"/>
      <c r="C394" s="666"/>
      <c r="D394" s="666"/>
      <c r="E394" s="666"/>
      <c r="F394" s="666"/>
      <c r="G394" s="666"/>
      <c r="H394" s="666"/>
      <c r="I394" s="666"/>
      <c r="J394" s="666"/>
      <c r="K394" s="666"/>
      <c r="L394" s="666"/>
      <c r="M394" s="666"/>
      <c r="N394" s="666"/>
      <c r="O394" s="666"/>
      <c r="P394" s="666"/>
      <c r="Q394" s="666"/>
      <c r="R394" s="666"/>
      <c r="S394" s="666"/>
      <c r="T394" s="666"/>
      <c r="U394" s="666"/>
      <c r="V394" s="666"/>
      <c r="W394" s="666"/>
      <c r="X394" s="666"/>
      <c r="Y394" s="667"/>
      <c r="Z394" s="667"/>
    </row>
    <row r="395" spans="1:26" ht="15.75" customHeight="1">
      <c r="A395" s="666"/>
      <c r="B395" s="666"/>
      <c r="C395" s="666"/>
      <c r="D395" s="666"/>
      <c r="E395" s="666"/>
      <c r="F395" s="666"/>
      <c r="G395" s="666"/>
      <c r="H395" s="666"/>
      <c r="I395" s="666"/>
      <c r="J395" s="666"/>
      <c r="K395" s="666"/>
      <c r="L395" s="666"/>
      <c r="M395" s="666"/>
      <c r="N395" s="666"/>
      <c r="O395" s="666"/>
      <c r="P395" s="666"/>
      <c r="Q395" s="666"/>
      <c r="R395" s="666"/>
      <c r="S395" s="666"/>
      <c r="T395" s="666"/>
      <c r="U395" s="666"/>
      <c r="V395" s="666"/>
      <c r="W395" s="666"/>
      <c r="X395" s="666"/>
      <c r="Y395" s="667"/>
      <c r="Z395" s="667"/>
    </row>
    <row r="396" spans="1:26" ht="15.75" customHeight="1">
      <c r="A396" s="666"/>
      <c r="B396" s="666"/>
      <c r="C396" s="666"/>
      <c r="D396" s="666"/>
      <c r="E396" s="666"/>
      <c r="F396" s="666"/>
      <c r="G396" s="666"/>
      <c r="H396" s="666"/>
      <c r="I396" s="666"/>
      <c r="J396" s="666"/>
      <c r="K396" s="666"/>
      <c r="L396" s="666"/>
      <c r="M396" s="666"/>
      <c r="N396" s="666"/>
      <c r="O396" s="666"/>
      <c r="P396" s="666"/>
      <c r="Q396" s="666"/>
      <c r="R396" s="666"/>
      <c r="S396" s="666"/>
      <c r="T396" s="666"/>
      <c r="U396" s="666"/>
      <c r="V396" s="666"/>
      <c r="W396" s="666"/>
      <c r="X396" s="666"/>
      <c r="Y396" s="667"/>
      <c r="Z396" s="667"/>
    </row>
    <row r="397" spans="1:26" ht="15.75" customHeight="1">
      <c r="A397" s="666"/>
      <c r="B397" s="666"/>
      <c r="C397" s="666"/>
      <c r="D397" s="666"/>
      <c r="E397" s="666"/>
      <c r="F397" s="666"/>
      <c r="G397" s="666"/>
      <c r="H397" s="666"/>
      <c r="I397" s="666"/>
      <c r="J397" s="666"/>
      <c r="K397" s="666"/>
      <c r="L397" s="666"/>
      <c r="M397" s="666"/>
      <c r="N397" s="666"/>
      <c r="O397" s="666"/>
      <c r="P397" s="666"/>
      <c r="Q397" s="666"/>
      <c r="R397" s="666"/>
      <c r="S397" s="666"/>
      <c r="T397" s="666"/>
      <c r="U397" s="666"/>
      <c r="V397" s="666"/>
      <c r="W397" s="666"/>
      <c r="X397" s="666"/>
      <c r="Y397" s="667"/>
      <c r="Z397" s="667"/>
    </row>
    <row r="398" spans="1:26" ht="15.75" customHeight="1">
      <c r="A398" s="666"/>
      <c r="B398" s="666"/>
      <c r="C398" s="666"/>
      <c r="D398" s="666"/>
      <c r="E398" s="666"/>
      <c r="F398" s="666"/>
      <c r="G398" s="666"/>
      <c r="H398" s="666"/>
      <c r="I398" s="666"/>
      <c r="J398" s="666"/>
      <c r="K398" s="666"/>
      <c r="L398" s="666"/>
      <c r="M398" s="666"/>
      <c r="N398" s="666"/>
      <c r="O398" s="666"/>
      <c r="P398" s="666"/>
      <c r="Q398" s="666"/>
      <c r="R398" s="666"/>
      <c r="S398" s="666"/>
      <c r="T398" s="666"/>
      <c r="U398" s="666"/>
      <c r="V398" s="666"/>
      <c r="W398" s="666"/>
      <c r="X398" s="666"/>
      <c r="Y398" s="667"/>
      <c r="Z398" s="667"/>
    </row>
    <row r="399" spans="1:26" ht="15.75" customHeight="1">
      <c r="A399" s="666"/>
      <c r="B399" s="666"/>
      <c r="C399" s="666"/>
      <c r="D399" s="666"/>
      <c r="E399" s="666"/>
      <c r="F399" s="666"/>
      <c r="G399" s="666"/>
      <c r="H399" s="666"/>
      <c r="I399" s="666"/>
      <c r="J399" s="666"/>
      <c r="K399" s="666"/>
      <c r="L399" s="666"/>
      <c r="M399" s="666"/>
      <c r="N399" s="666"/>
      <c r="O399" s="666"/>
      <c r="P399" s="666"/>
      <c r="Q399" s="666"/>
      <c r="R399" s="666"/>
      <c r="S399" s="666"/>
      <c r="T399" s="666"/>
      <c r="U399" s="666"/>
      <c r="V399" s="666"/>
      <c r="W399" s="666"/>
      <c r="X399" s="666"/>
      <c r="Y399" s="667"/>
      <c r="Z399" s="667"/>
    </row>
    <row r="400" spans="1:26" ht="15.75" customHeight="1">
      <c r="A400" s="666"/>
      <c r="B400" s="666"/>
      <c r="C400" s="666"/>
      <c r="D400" s="666"/>
      <c r="E400" s="666"/>
      <c r="F400" s="666"/>
      <c r="G400" s="666"/>
      <c r="H400" s="666"/>
      <c r="I400" s="666"/>
      <c r="J400" s="666"/>
      <c r="K400" s="666"/>
      <c r="L400" s="666"/>
      <c r="M400" s="666"/>
      <c r="N400" s="666"/>
      <c r="O400" s="666"/>
      <c r="P400" s="666"/>
      <c r="Q400" s="666"/>
      <c r="R400" s="666"/>
      <c r="S400" s="666"/>
      <c r="T400" s="666"/>
      <c r="U400" s="666"/>
      <c r="V400" s="666"/>
      <c r="W400" s="666"/>
      <c r="X400" s="666"/>
      <c r="Y400" s="667"/>
      <c r="Z400" s="667"/>
    </row>
    <row r="401" spans="1:26" ht="15.75" customHeight="1">
      <c r="A401" s="666"/>
      <c r="B401" s="666"/>
      <c r="C401" s="666"/>
      <c r="D401" s="666"/>
      <c r="E401" s="666"/>
      <c r="F401" s="666"/>
      <c r="G401" s="666"/>
      <c r="H401" s="666"/>
      <c r="I401" s="666"/>
      <c r="J401" s="666"/>
      <c r="K401" s="666"/>
      <c r="L401" s="666"/>
      <c r="M401" s="666"/>
      <c r="N401" s="666"/>
      <c r="O401" s="666"/>
      <c r="P401" s="666"/>
      <c r="Q401" s="666"/>
      <c r="R401" s="666"/>
      <c r="S401" s="666"/>
      <c r="T401" s="666"/>
      <c r="U401" s="666"/>
      <c r="V401" s="666"/>
      <c r="W401" s="666"/>
      <c r="X401" s="666"/>
      <c r="Y401" s="667"/>
      <c r="Z401" s="667"/>
    </row>
    <row r="402" spans="1:26" ht="15.75" customHeight="1">
      <c r="A402" s="666"/>
      <c r="B402" s="666"/>
      <c r="C402" s="666"/>
      <c r="D402" s="666"/>
      <c r="E402" s="666"/>
      <c r="F402" s="666"/>
      <c r="G402" s="666"/>
      <c r="H402" s="666"/>
      <c r="I402" s="666"/>
      <c r="J402" s="666"/>
      <c r="K402" s="666"/>
      <c r="L402" s="666"/>
      <c r="M402" s="666"/>
      <c r="N402" s="666"/>
      <c r="O402" s="666"/>
      <c r="P402" s="666"/>
      <c r="Q402" s="666"/>
      <c r="R402" s="666"/>
      <c r="S402" s="666"/>
      <c r="T402" s="666"/>
      <c r="U402" s="666"/>
      <c r="V402" s="666"/>
      <c r="W402" s="666"/>
      <c r="X402" s="666"/>
      <c r="Y402" s="667"/>
      <c r="Z402" s="667"/>
    </row>
    <row r="403" spans="1:26" ht="15.75" customHeight="1">
      <c r="A403" s="666"/>
      <c r="B403" s="666"/>
      <c r="C403" s="666"/>
      <c r="D403" s="666"/>
      <c r="E403" s="666"/>
      <c r="F403" s="666"/>
      <c r="G403" s="666"/>
      <c r="H403" s="666"/>
      <c r="I403" s="666"/>
      <c r="J403" s="666"/>
      <c r="K403" s="666"/>
      <c r="L403" s="666"/>
      <c r="M403" s="666"/>
      <c r="N403" s="666"/>
      <c r="O403" s="666"/>
      <c r="P403" s="666"/>
      <c r="Q403" s="666"/>
      <c r="R403" s="666"/>
      <c r="S403" s="666"/>
      <c r="T403" s="666"/>
      <c r="U403" s="666"/>
      <c r="V403" s="666"/>
      <c r="W403" s="666"/>
      <c r="X403" s="666"/>
      <c r="Y403" s="667"/>
      <c r="Z403" s="667"/>
    </row>
    <row r="404" spans="1:26" ht="15.75" customHeight="1">
      <c r="A404" s="666"/>
      <c r="B404" s="666"/>
      <c r="C404" s="666"/>
      <c r="D404" s="666"/>
      <c r="E404" s="666"/>
      <c r="F404" s="666"/>
      <c r="G404" s="666"/>
      <c r="H404" s="666"/>
      <c r="I404" s="666"/>
      <c r="J404" s="666"/>
      <c r="K404" s="666"/>
      <c r="L404" s="666"/>
      <c r="M404" s="666"/>
      <c r="N404" s="666"/>
      <c r="O404" s="666"/>
      <c r="P404" s="666"/>
      <c r="Q404" s="666"/>
      <c r="R404" s="666"/>
      <c r="S404" s="666"/>
      <c r="T404" s="666"/>
      <c r="U404" s="666"/>
      <c r="V404" s="666"/>
      <c r="W404" s="666"/>
      <c r="X404" s="666"/>
      <c r="Y404" s="667"/>
      <c r="Z404" s="667"/>
    </row>
    <row r="405" spans="1:26" ht="15.75" customHeight="1">
      <c r="A405" s="666"/>
      <c r="B405" s="666"/>
      <c r="C405" s="666"/>
      <c r="D405" s="666"/>
      <c r="E405" s="666"/>
      <c r="F405" s="666"/>
      <c r="G405" s="666"/>
      <c r="H405" s="666"/>
      <c r="I405" s="666"/>
      <c r="J405" s="666"/>
      <c r="K405" s="666"/>
      <c r="L405" s="666"/>
      <c r="M405" s="666"/>
      <c r="N405" s="666"/>
      <c r="O405" s="666"/>
      <c r="P405" s="666"/>
      <c r="Q405" s="666"/>
      <c r="R405" s="666"/>
      <c r="S405" s="666"/>
      <c r="T405" s="666"/>
      <c r="U405" s="666"/>
      <c r="V405" s="666"/>
      <c r="W405" s="666"/>
      <c r="X405" s="666"/>
      <c r="Y405" s="667"/>
      <c r="Z405" s="667"/>
    </row>
    <row r="406" spans="1:26" ht="15.75" customHeight="1">
      <c r="A406" s="666"/>
      <c r="B406" s="666"/>
      <c r="C406" s="666"/>
      <c r="D406" s="666"/>
      <c r="E406" s="666"/>
      <c r="F406" s="666"/>
      <c r="G406" s="666"/>
      <c r="H406" s="666"/>
      <c r="I406" s="666"/>
      <c r="J406" s="666"/>
      <c r="K406" s="666"/>
      <c r="L406" s="666"/>
      <c r="M406" s="666"/>
      <c r="N406" s="666"/>
      <c r="O406" s="666"/>
      <c r="P406" s="666"/>
      <c r="Q406" s="666"/>
      <c r="R406" s="666"/>
      <c r="S406" s="666"/>
      <c r="T406" s="666"/>
      <c r="U406" s="666"/>
      <c r="V406" s="666"/>
      <c r="W406" s="666"/>
      <c r="X406" s="666"/>
      <c r="Y406" s="667"/>
      <c r="Z406" s="667"/>
    </row>
    <row r="407" spans="1:26" ht="15.75" customHeight="1">
      <c r="A407" s="666"/>
      <c r="B407" s="666"/>
      <c r="C407" s="666"/>
      <c r="D407" s="666"/>
      <c r="E407" s="666"/>
      <c r="F407" s="666"/>
      <c r="G407" s="666"/>
      <c r="H407" s="666"/>
      <c r="I407" s="666"/>
      <c r="J407" s="666"/>
      <c r="K407" s="666"/>
      <c r="L407" s="666"/>
      <c r="M407" s="666"/>
      <c r="N407" s="666"/>
      <c r="O407" s="666"/>
      <c r="P407" s="666"/>
      <c r="Q407" s="666"/>
      <c r="R407" s="666"/>
      <c r="S407" s="666"/>
      <c r="T407" s="666"/>
      <c r="U407" s="666"/>
      <c r="V407" s="666"/>
      <c r="W407" s="666"/>
      <c r="X407" s="666"/>
      <c r="Y407" s="667"/>
      <c r="Z407" s="667"/>
    </row>
    <row r="408" spans="1:26" ht="15.75" customHeight="1">
      <c r="A408" s="666"/>
      <c r="B408" s="666"/>
      <c r="C408" s="666"/>
      <c r="D408" s="666"/>
      <c r="E408" s="666"/>
      <c r="F408" s="666"/>
      <c r="G408" s="666"/>
      <c r="H408" s="666"/>
      <c r="I408" s="666"/>
      <c r="J408" s="666"/>
      <c r="K408" s="666"/>
      <c r="L408" s="666"/>
      <c r="M408" s="666"/>
      <c r="N408" s="666"/>
      <c r="O408" s="666"/>
      <c r="P408" s="666"/>
      <c r="Q408" s="666"/>
      <c r="R408" s="666"/>
      <c r="S408" s="666"/>
      <c r="T408" s="666"/>
      <c r="U408" s="666"/>
      <c r="V408" s="666"/>
      <c r="W408" s="666"/>
      <c r="X408" s="666"/>
      <c r="Y408" s="667"/>
      <c r="Z408" s="667"/>
    </row>
    <row r="409" spans="1:26" ht="15.75" customHeight="1">
      <c r="A409" s="666"/>
      <c r="B409" s="666"/>
      <c r="C409" s="666"/>
      <c r="D409" s="666"/>
      <c r="E409" s="666"/>
      <c r="F409" s="666"/>
      <c r="G409" s="666"/>
      <c r="H409" s="666"/>
      <c r="I409" s="666"/>
      <c r="J409" s="666"/>
      <c r="K409" s="666"/>
      <c r="L409" s="666"/>
      <c r="M409" s="666"/>
      <c r="N409" s="666"/>
      <c r="O409" s="666"/>
      <c r="P409" s="666"/>
      <c r="Q409" s="666"/>
      <c r="R409" s="666"/>
      <c r="S409" s="666"/>
      <c r="T409" s="666"/>
      <c r="U409" s="666"/>
      <c r="V409" s="666"/>
      <c r="W409" s="666"/>
      <c r="X409" s="666"/>
      <c r="Y409" s="667"/>
      <c r="Z409" s="667"/>
    </row>
    <row r="410" spans="1:26" ht="15.75" customHeight="1">
      <c r="A410" s="666"/>
      <c r="B410" s="666"/>
      <c r="C410" s="666"/>
      <c r="D410" s="666"/>
      <c r="E410" s="666"/>
      <c r="F410" s="666"/>
      <c r="G410" s="666"/>
      <c r="H410" s="666"/>
      <c r="I410" s="666"/>
      <c r="J410" s="666"/>
      <c r="K410" s="666"/>
      <c r="L410" s="666"/>
      <c r="M410" s="666"/>
      <c r="N410" s="666"/>
      <c r="O410" s="666"/>
      <c r="P410" s="666"/>
      <c r="Q410" s="666"/>
      <c r="R410" s="666"/>
      <c r="S410" s="666"/>
      <c r="T410" s="666"/>
      <c r="U410" s="666"/>
      <c r="V410" s="666"/>
      <c r="W410" s="666"/>
      <c r="X410" s="666"/>
      <c r="Y410" s="667"/>
      <c r="Z410" s="667"/>
    </row>
    <row r="411" spans="1:26" ht="15.75" customHeight="1">
      <c r="A411" s="666"/>
      <c r="B411" s="666"/>
      <c r="C411" s="666"/>
      <c r="D411" s="666"/>
      <c r="E411" s="666"/>
      <c r="F411" s="666"/>
      <c r="G411" s="666"/>
      <c r="H411" s="666"/>
      <c r="I411" s="666"/>
      <c r="J411" s="666"/>
      <c r="K411" s="666"/>
      <c r="L411" s="666"/>
      <c r="M411" s="666"/>
      <c r="N411" s="666"/>
      <c r="O411" s="666"/>
      <c r="P411" s="666"/>
      <c r="Q411" s="666"/>
      <c r="R411" s="666"/>
      <c r="S411" s="666"/>
      <c r="T411" s="666"/>
      <c r="U411" s="666"/>
      <c r="V411" s="666"/>
      <c r="W411" s="666"/>
      <c r="X411" s="666"/>
      <c r="Y411" s="667"/>
      <c r="Z411" s="667"/>
    </row>
    <row r="412" spans="1:26" ht="15.75" customHeight="1">
      <c r="A412" s="666"/>
      <c r="B412" s="666"/>
      <c r="C412" s="666"/>
      <c r="D412" s="666"/>
      <c r="E412" s="666"/>
      <c r="F412" s="666"/>
      <c r="G412" s="666"/>
      <c r="H412" s="666"/>
      <c r="I412" s="666"/>
      <c r="J412" s="666"/>
      <c r="K412" s="666"/>
      <c r="L412" s="666"/>
      <c r="M412" s="666"/>
      <c r="N412" s="666"/>
      <c r="O412" s="666"/>
      <c r="P412" s="666"/>
      <c r="Q412" s="666"/>
      <c r="R412" s="666"/>
      <c r="S412" s="666"/>
      <c r="T412" s="666"/>
      <c r="U412" s="666"/>
      <c r="V412" s="666"/>
      <c r="W412" s="666"/>
      <c r="X412" s="666"/>
      <c r="Y412" s="667"/>
      <c r="Z412" s="667"/>
    </row>
    <row r="413" spans="1:26" ht="15.75" customHeight="1">
      <c r="A413" s="666"/>
      <c r="B413" s="666"/>
      <c r="C413" s="666"/>
      <c r="D413" s="666"/>
      <c r="E413" s="666"/>
      <c r="F413" s="666"/>
      <c r="G413" s="666"/>
      <c r="H413" s="666"/>
      <c r="I413" s="666"/>
      <c r="J413" s="666"/>
      <c r="K413" s="666"/>
      <c r="L413" s="666"/>
      <c r="M413" s="666"/>
      <c r="N413" s="666"/>
      <c r="O413" s="666"/>
      <c r="P413" s="666"/>
      <c r="Q413" s="666"/>
      <c r="R413" s="666"/>
      <c r="S413" s="666"/>
      <c r="T413" s="666"/>
      <c r="U413" s="666"/>
      <c r="V413" s="666"/>
      <c r="W413" s="666"/>
      <c r="X413" s="666"/>
      <c r="Y413" s="667"/>
      <c r="Z413" s="667"/>
    </row>
    <row r="414" spans="1:26" ht="15.75" customHeight="1">
      <c r="A414" s="666"/>
      <c r="B414" s="666"/>
      <c r="C414" s="666"/>
      <c r="D414" s="666"/>
      <c r="E414" s="666"/>
      <c r="F414" s="666"/>
      <c r="G414" s="666"/>
      <c r="H414" s="666"/>
      <c r="I414" s="666"/>
      <c r="J414" s="666"/>
      <c r="K414" s="666"/>
      <c r="L414" s="666"/>
      <c r="M414" s="666"/>
      <c r="N414" s="666"/>
      <c r="O414" s="666"/>
      <c r="P414" s="666"/>
      <c r="Q414" s="666"/>
      <c r="R414" s="666"/>
      <c r="S414" s="666"/>
      <c r="T414" s="666"/>
      <c r="U414" s="666"/>
      <c r="V414" s="666"/>
      <c r="W414" s="666"/>
      <c r="X414" s="666"/>
      <c r="Y414" s="667"/>
      <c r="Z414" s="667"/>
    </row>
    <row r="415" spans="1:26" ht="15.75" customHeight="1">
      <c r="A415" s="666"/>
      <c r="B415" s="666"/>
      <c r="C415" s="666"/>
      <c r="D415" s="666"/>
      <c r="E415" s="666"/>
      <c r="F415" s="666"/>
      <c r="G415" s="666"/>
      <c r="H415" s="666"/>
      <c r="I415" s="666"/>
      <c r="J415" s="666"/>
      <c r="K415" s="666"/>
      <c r="L415" s="666"/>
      <c r="M415" s="666"/>
      <c r="N415" s="666"/>
      <c r="O415" s="666"/>
      <c r="P415" s="666"/>
      <c r="Q415" s="666"/>
      <c r="R415" s="666"/>
      <c r="S415" s="666"/>
      <c r="T415" s="666"/>
      <c r="U415" s="666"/>
      <c r="V415" s="666"/>
      <c r="W415" s="666"/>
      <c r="X415" s="666"/>
      <c r="Y415" s="667"/>
      <c r="Z415" s="667"/>
    </row>
    <row r="416" spans="1:26" ht="15.75" customHeight="1">
      <c r="A416" s="666"/>
      <c r="B416" s="666"/>
      <c r="C416" s="666"/>
      <c r="D416" s="666"/>
      <c r="E416" s="666"/>
      <c r="F416" s="666"/>
      <c r="G416" s="666"/>
      <c r="H416" s="666"/>
      <c r="I416" s="666"/>
      <c r="J416" s="666"/>
      <c r="K416" s="666"/>
      <c r="L416" s="666"/>
      <c r="M416" s="666"/>
      <c r="N416" s="666"/>
      <c r="O416" s="666"/>
      <c r="P416" s="666"/>
      <c r="Q416" s="666"/>
      <c r="R416" s="666"/>
      <c r="S416" s="666"/>
      <c r="T416" s="666"/>
      <c r="U416" s="666"/>
      <c r="V416" s="666"/>
      <c r="W416" s="666"/>
      <c r="X416" s="666"/>
      <c r="Y416" s="667"/>
      <c r="Z416" s="667"/>
    </row>
    <row r="417" spans="1:26" ht="15.75" customHeight="1">
      <c r="A417" s="666"/>
      <c r="B417" s="666"/>
      <c r="C417" s="666"/>
      <c r="D417" s="666"/>
      <c r="E417" s="666"/>
      <c r="F417" s="666"/>
      <c r="G417" s="666"/>
      <c r="H417" s="666"/>
      <c r="I417" s="666"/>
      <c r="J417" s="666"/>
      <c r="K417" s="666"/>
      <c r="L417" s="666"/>
      <c r="M417" s="666"/>
      <c r="N417" s="666"/>
      <c r="O417" s="666"/>
      <c r="P417" s="666"/>
      <c r="Q417" s="666"/>
      <c r="R417" s="666"/>
      <c r="S417" s="666"/>
      <c r="T417" s="666"/>
      <c r="U417" s="666"/>
      <c r="V417" s="666"/>
      <c r="W417" s="666"/>
      <c r="X417" s="666"/>
      <c r="Y417" s="667"/>
      <c r="Z417" s="667"/>
    </row>
    <row r="418" spans="1:26" ht="15.75" customHeight="1">
      <c r="A418" s="666"/>
      <c r="B418" s="666"/>
      <c r="C418" s="666"/>
      <c r="D418" s="666"/>
      <c r="E418" s="666"/>
      <c r="F418" s="666"/>
      <c r="G418" s="666"/>
      <c r="H418" s="666"/>
      <c r="I418" s="666"/>
      <c r="J418" s="666"/>
      <c r="K418" s="666"/>
      <c r="L418" s="666"/>
      <c r="M418" s="666"/>
      <c r="N418" s="666"/>
      <c r="O418" s="666"/>
      <c r="P418" s="666"/>
      <c r="Q418" s="666"/>
      <c r="R418" s="666"/>
      <c r="S418" s="666"/>
      <c r="T418" s="666"/>
      <c r="U418" s="666"/>
      <c r="V418" s="666"/>
      <c r="W418" s="666"/>
      <c r="X418" s="666"/>
      <c r="Y418" s="667"/>
      <c r="Z418" s="667"/>
    </row>
    <row r="419" spans="1:26" ht="15.75" customHeight="1">
      <c r="A419" s="666"/>
      <c r="B419" s="666"/>
      <c r="C419" s="666"/>
      <c r="D419" s="666"/>
      <c r="E419" s="666"/>
      <c r="F419" s="666"/>
      <c r="G419" s="666"/>
      <c r="H419" s="666"/>
      <c r="I419" s="666"/>
      <c r="J419" s="666"/>
      <c r="K419" s="666"/>
      <c r="L419" s="666"/>
      <c r="M419" s="666"/>
      <c r="N419" s="666"/>
      <c r="O419" s="666"/>
      <c r="P419" s="666"/>
      <c r="Q419" s="666"/>
      <c r="R419" s="666"/>
      <c r="S419" s="666"/>
      <c r="T419" s="666"/>
      <c r="U419" s="666"/>
      <c r="V419" s="666"/>
      <c r="W419" s="666"/>
      <c r="X419" s="666"/>
      <c r="Y419" s="667"/>
      <c r="Z419" s="667"/>
    </row>
    <row r="420" spans="1:26" ht="15.75" customHeight="1">
      <c r="A420" s="666"/>
      <c r="B420" s="666"/>
      <c r="C420" s="666"/>
      <c r="D420" s="666"/>
      <c r="E420" s="666"/>
      <c r="F420" s="666"/>
      <c r="G420" s="666"/>
      <c r="H420" s="666"/>
      <c r="I420" s="666"/>
      <c r="J420" s="666"/>
      <c r="K420" s="666"/>
      <c r="L420" s="666"/>
      <c r="M420" s="666"/>
      <c r="N420" s="666"/>
      <c r="O420" s="666"/>
      <c r="P420" s="666"/>
      <c r="Q420" s="666"/>
      <c r="R420" s="666"/>
      <c r="S420" s="666"/>
      <c r="T420" s="666"/>
      <c r="U420" s="666"/>
      <c r="V420" s="666"/>
      <c r="W420" s="666"/>
      <c r="X420" s="666"/>
      <c r="Y420" s="667"/>
      <c r="Z420" s="667"/>
    </row>
    <row r="421" spans="1:26" ht="15.75" customHeight="1">
      <c r="A421" s="666"/>
      <c r="B421" s="666"/>
      <c r="C421" s="666"/>
      <c r="D421" s="666"/>
      <c r="E421" s="666"/>
      <c r="F421" s="666"/>
      <c r="G421" s="666"/>
      <c r="H421" s="666"/>
      <c r="I421" s="666"/>
      <c r="J421" s="666"/>
      <c r="K421" s="666"/>
      <c r="L421" s="666"/>
      <c r="M421" s="666"/>
      <c r="N421" s="666"/>
      <c r="O421" s="666"/>
      <c r="P421" s="666"/>
      <c r="Q421" s="666"/>
      <c r="R421" s="666"/>
      <c r="S421" s="666"/>
      <c r="T421" s="666"/>
      <c r="U421" s="666"/>
      <c r="V421" s="666"/>
      <c r="W421" s="666"/>
      <c r="X421" s="666"/>
      <c r="Y421" s="667"/>
      <c r="Z421" s="667"/>
    </row>
    <row r="422" spans="1:26" ht="15.75" customHeight="1">
      <c r="A422" s="666"/>
      <c r="B422" s="666"/>
      <c r="C422" s="666"/>
      <c r="D422" s="666"/>
      <c r="E422" s="666"/>
      <c r="F422" s="666"/>
      <c r="G422" s="666"/>
      <c r="H422" s="666"/>
      <c r="I422" s="666"/>
      <c r="J422" s="666"/>
      <c r="K422" s="666"/>
      <c r="L422" s="666"/>
      <c r="M422" s="666"/>
      <c r="N422" s="666"/>
      <c r="O422" s="666"/>
      <c r="P422" s="666"/>
      <c r="Q422" s="666"/>
      <c r="R422" s="666"/>
      <c r="S422" s="666"/>
      <c r="T422" s="666"/>
      <c r="U422" s="666"/>
      <c r="V422" s="666"/>
      <c r="W422" s="666"/>
      <c r="X422" s="666"/>
      <c r="Y422" s="667"/>
      <c r="Z422" s="667"/>
    </row>
    <row r="423" spans="1:26" ht="15.75" customHeight="1">
      <c r="A423" s="666"/>
      <c r="B423" s="666"/>
      <c r="C423" s="666"/>
      <c r="D423" s="666"/>
      <c r="E423" s="666"/>
      <c r="F423" s="666"/>
      <c r="G423" s="666"/>
      <c r="H423" s="666"/>
      <c r="I423" s="666"/>
      <c r="J423" s="666"/>
      <c r="K423" s="666"/>
      <c r="L423" s="666"/>
      <c r="M423" s="666"/>
      <c r="N423" s="666"/>
      <c r="O423" s="666"/>
      <c r="P423" s="666"/>
      <c r="Q423" s="666"/>
      <c r="R423" s="666"/>
      <c r="S423" s="666"/>
      <c r="T423" s="666"/>
      <c r="U423" s="666"/>
      <c r="V423" s="666"/>
      <c r="W423" s="666"/>
      <c r="X423" s="666"/>
      <c r="Y423" s="667"/>
      <c r="Z423" s="667"/>
    </row>
    <row r="424" spans="1:26" ht="15.75" customHeight="1">
      <c r="A424" s="666"/>
      <c r="B424" s="666"/>
      <c r="C424" s="666"/>
      <c r="D424" s="666"/>
      <c r="E424" s="666"/>
      <c r="F424" s="666"/>
      <c r="G424" s="666"/>
      <c r="H424" s="666"/>
      <c r="I424" s="666"/>
      <c r="J424" s="666"/>
      <c r="K424" s="666"/>
      <c r="L424" s="666"/>
      <c r="M424" s="666"/>
      <c r="N424" s="666"/>
      <c r="O424" s="666"/>
      <c r="P424" s="666"/>
      <c r="Q424" s="666"/>
      <c r="R424" s="666"/>
      <c r="S424" s="666"/>
      <c r="T424" s="666"/>
      <c r="U424" s="666"/>
      <c r="V424" s="666"/>
      <c r="W424" s="666"/>
      <c r="X424" s="666"/>
      <c r="Y424" s="667"/>
      <c r="Z424" s="667"/>
    </row>
    <row r="425" spans="1:26" ht="15.75" customHeight="1">
      <c r="A425" s="666"/>
      <c r="B425" s="666"/>
      <c r="C425" s="666"/>
      <c r="D425" s="666"/>
      <c r="E425" s="666"/>
      <c r="F425" s="666"/>
      <c r="G425" s="666"/>
      <c r="H425" s="666"/>
      <c r="I425" s="666"/>
      <c r="J425" s="666"/>
      <c r="K425" s="666"/>
      <c r="L425" s="666"/>
      <c r="M425" s="666"/>
      <c r="N425" s="666"/>
      <c r="O425" s="666"/>
      <c r="P425" s="666"/>
      <c r="Q425" s="666"/>
      <c r="R425" s="666"/>
      <c r="S425" s="666"/>
      <c r="T425" s="666"/>
      <c r="U425" s="666"/>
      <c r="V425" s="666"/>
      <c r="W425" s="666"/>
      <c r="X425" s="666"/>
      <c r="Y425" s="667"/>
      <c r="Z425" s="667"/>
    </row>
    <row r="426" spans="1:26" ht="15.75" customHeight="1">
      <c r="A426" s="666"/>
      <c r="B426" s="666"/>
      <c r="C426" s="666"/>
      <c r="D426" s="666"/>
      <c r="E426" s="666"/>
      <c r="F426" s="666"/>
      <c r="G426" s="666"/>
      <c r="H426" s="666"/>
      <c r="I426" s="666"/>
      <c r="J426" s="666"/>
      <c r="K426" s="666"/>
      <c r="L426" s="666"/>
      <c r="M426" s="666"/>
      <c r="N426" s="666"/>
      <c r="O426" s="666"/>
      <c r="P426" s="666"/>
      <c r="Q426" s="666"/>
      <c r="R426" s="666"/>
      <c r="S426" s="666"/>
      <c r="T426" s="666"/>
      <c r="U426" s="666"/>
      <c r="V426" s="666"/>
      <c r="W426" s="666"/>
      <c r="X426" s="666"/>
      <c r="Y426" s="667"/>
      <c r="Z426" s="667"/>
    </row>
    <row r="427" spans="1:26" ht="15.75" customHeight="1">
      <c r="A427" s="666"/>
      <c r="B427" s="666"/>
      <c r="C427" s="666"/>
      <c r="D427" s="666"/>
      <c r="E427" s="666"/>
      <c r="F427" s="666"/>
      <c r="G427" s="666"/>
      <c r="H427" s="666"/>
      <c r="I427" s="666"/>
      <c r="J427" s="666"/>
      <c r="K427" s="666"/>
      <c r="L427" s="666"/>
      <c r="M427" s="666"/>
      <c r="N427" s="666"/>
      <c r="O427" s="666"/>
      <c r="P427" s="666"/>
      <c r="Q427" s="666"/>
      <c r="R427" s="666"/>
      <c r="S427" s="666"/>
      <c r="T427" s="666"/>
      <c r="U427" s="666"/>
      <c r="V427" s="666"/>
      <c r="W427" s="666"/>
      <c r="X427" s="666"/>
      <c r="Y427" s="667"/>
      <c r="Z427" s="667"/>
    </row>
    <row r="428" spans="1:26" ht="15.75" customHeight="1">
      <c r="A428" s="666"/>
      <c r="B428" s="666"/>
      <c r="C428" s="666"/>
      <c r="D428" s="666"/>
      <c r="E428" s="666"/>
      <c r="F428" s="666"/>
      <c r="G428" s="666"/>
      <c r="H428" s="666"/>
      <c r="I428" s="666"/>
      <c r="J428" s="666"/>
      <c r="K428" s="666"/>
      <c r="L428" s="666"/>
      <c r="M428" s="666"/>
      <c r="N428" s="666"/>
      <c r="O428" s="666"/>
      <c r="P428" s="666"/>
      <c r="Q428" s="666"/>
      <c r="R428" s="666"/>
      <c r="S428" s="666"/>
      <c r="T428" s="666"/>
      <c r="U428" s="666"/>
      <c r="V428" s="666"/>
      <c r="W428" s="666"/>
      <c r="X428" s="666"/>
      <c r="Y428" s="667"/>
      <c r="Z428" s="667"/>
    </row>
    <row r="429" spans="1:26" ht="15.75" customHeight="1">
      <c r="A429" s="666"/>
      <c r="B429" s="666"/>
      <c r="C429" s="666"/>
      <c r="D429" s="666"/>
      <c r="E429" s="666"/>
      <c r="F429" s="666"/>
      <c r="G429" s="666"/>
      <c r="H429" s="666"/>
      <c r="I429" s="666"/>
      <c r="J429" s="666"/>
      <c r="K429" s="666"/>
      <c r="L429" s="666"/>
      <c r="M429" s="666"/>
      <c r="N429" s="666"/>
      <c r="O429" s="666"/>
      <c r="P429" s="666"/>
      <c r="Q429" s="666"/>
      <c r="R429" s="666"/>
      <c r="S429" s="666"/>
      <c r="T429" s="666"/>
      <c r="U429" s="666"/>
      <c r="V429" s="666"/>
      <c r="W429" s="666"/>
      <c r="X429" s="666"/>
      <c r="Y429" s="667"/>
      <c r="Z429" s="667"/>
    </row>
    <row r="430" spans="1:26" ht="15.75" customHeight="1">
      <c r="A430" s="666"/>
      <c r="B430" s="666"/>
      <c r="C430" s="666"/>
      <c r="D430" s="666"/>
      <c r="E430" s="666"/>
      <c r="F430" s="666"/>
      <c r="G430" s="666"/>
      <c r="H430" s="666"/>
      <c r="I430" s="666"/>
      <c r="J430" s="666"/>
      <c r="K430" s="666"/>
      <c r="L430" s="666"/>
      <c r="M430" s="666"/>
      <c r="N430" s="666"/>
      <c r="O430" s="666"/>
      <c r="P430" s="666"/>
      <c r="Q430" s="666"/>
      <c r="R430" s="666"/>
      <c r="S430" s="666"/>
      <c r="T430" s="666"/>
      <c r="U430" s="666"/>
      <c r="V430" s="666"/>
      <c r="W430" s="666"/>
      <c r="X430" s="666"/>
      <c r="Y430" s="667"/>
      <c r="Z430" s="667"/>
    </row>
    <row r="431" spans="1:26" ht="15.75" customHeight="1">
      <c r="A431" s="666"/>
      <c r="B431" s="666"/>
      <c r="C431" s="666"/>
      <c r="D431" s="666"/>
      <c r="E431" s="666"/>
      <c r="F431" s="666"/>
      <c r="G431" s="666"/>
      <c r="H431" s="666"/>
      <c r="I431" s="666"/>
      <c r="J431" s="666"/>
      <c r="K431" s="666"/>
      <c r="L431" s="666"/>
      <c r="M431" s="666"/>
      <c r="N431" s="666"/>
      <c r="O431" s="666"/>
      <c r="P431" s="666"/>
      <c r="Q431" s="666"/>
      <c r="R431" s="666"/>
      <c r="S431" s="666"/>
      <c r="T431" s="666"/>
      <c r="U431" s="666"/>
      <c r="V431" s="666"/>
      <c r="W431" s="666"/>
      <c r="X431" s="666"/>
      <c r="Y431" s="667"/>
      <c r="Z431" s="667"/>
    </row>
    <row r="432" spans="1:26" ht="15.75" customHeight="1">
      <c r="A432" s="666"/>
      <c r="B432" s="666"/>
      <c r="C432" s="666"/>
      <c r="D432" s="666"/>
      <c r="E432" s="666"/>
      <c r="F432" s="666"/>
      <c r="G432" s="666"/>
      <c r="H432" s="666"/>
      <c r="I432" s="666"/>
      <c r="J432" s="666"/>
      <c r="K432" s="666"/>
      <c r="L432" s="666"/>
      <c r="M432" s="666"/>
      <c r="N432" s="666"/>
      <c r="O432" s="666"/>
      <c r="P432" s="666"/>
      <c r="Q432" s="666"/>
      <c r="R432" s="666"/>
      <c r="S432" s="666"/>
      <c r="T432" s="666"/>
      <c r="U432" s="666"/>
      <c r="V432" s="666"/>
      <c r="W432" s="666"/>
      <c r="X432" s="666"/>
      <c r="Y432" s="667"/>
      <c r="Z432" s="667"/>
    </row>
    <row r="433" spans="1:26" ht="15.75" customHeight="1">
      <c r="A433" s="666"/>
      <c r="B433" s="666"/>
      <c r="C433" s="666"/>
      <c r="D433" s="666"/>
      <c r="E433" s="666"/>
      <c r="F433" s="666"/>
      <c r="G433" s="666"/>
      <c r="H433" s="666"/>
      <c r="I433" s="666"/>
      <c r="J433" s="666"/>
      <c r="K433" s="666"/>
      <c r="L433" s="666"/>
      <c r="M433" s="666"/>
      <c r="N433" s="666"/>
      <c r="O433" s="666"/>
      <c r="P433" s="666"/>
      <c r="Q433" s="666"/>
      <c r="R433" s="666"/>
      <c r="S433" s="666"/>
      <c r="T433" s="666"/>
      <c r="U433" s="666"/>
      <c r="V433" s="666"/>
      <c r="W433" s="666"/>
      <c r="X433" s="666"/>
      <c r="Y433" s="667"/>
      <c r="Z433" s="667"/>
    </row>
    <row r="434" spans="1:26" ht="15.75" customHeight="1">
      <c r="A434" s="666"/>
      <c r="B434" s="666"/>
      <c r="C434" s="666"/>
      <c r="D434" s="666"/>
      <c r="E434" s="666"/>
      <c r="F434" s="666"/>
      <c r="G434" s="666"/>
      <c r="H434" s="666"/>
      <c r="I434" s="666"/>
      <c r="J434" s="666"/>
      <c r="K434" s="666"/>
      <c r="L434" s="666"/>
      <c r="M434" s="666"/>
      <c r="N434" s="666"/>
      <c r="O434" s="666"/>
      <c r="P434" s="666"/>
      <c r="Q434" s="666"/>
      <c r="R434" s="666"/>
      <c r="S434" s="666"/>
      <c r="T434" s="666"/>
      <c r="U434" s="666"/>
      <c r="V434" s="666"/>
      <c r="W434" s="666"/>
      <c r="X434" s="666"/>
      <c r="Y434" s="667"/>
      <c r="Z434" s="667"/>
    </row>
    <row r="435" spans="1:26" ht="15.75" customHeight="1">
      <c r="A435" s="666"/>
      <c r="B435" s="666"/>
      <c r="C435" s="666"/>
      <c r="D435" s="666"/>
      <c r="E435" s="666"/>
      <c r="F435" s="666"/>
      <c r="G435" s="666"/>
      <c r="H435" s="666"/>
      <c r="I435" s="666"/>
      <c r="J435" s="666"/>
      <c r="K435" s="666"/>
      <c r="L435" s="666"/>
      <c r="M435" s="666"/>
      <c r="N435" s="666"/>
      <c r="O435" s="666"/>
      <c r="P435" s="666"/>
      <c r="Q435" s="666"/>
      <c r="R435" s="666"/>
      <c r="S435" s="666"/>
      <c r="T435" s="666"/>
      <c r="U435" s="666"/>
      <c r="V435" s="666"/>
      <c r="W435" s="666"/>
      <c r="X435" s="666"/>
      <c r="Y435" s="667"/>
      <c r="Z435" s="667"/>
    </row>
    <row r="436" spans="1:26" ht="15.75" customHeight="1">
      <c r="A436" s="666"/>
      <c r="B436" s="666"/>
      <c r="C436" s="666"/>
      <c r="D436" s="666"/>
      <c r="E436" s="666"/>
      <c r="F436" s="666"/>
      <c r="G436" s="666"/>
      <c r="H436" s="666"/>
      <c r="I436" s="666"/>
      <c r="J436" s="666"/>
      <c r="K436" s="666"/>
      <c r="L436" s="666"/>
      <c r="M436" s="666"/>
      <c r="N436" s="666"/>
      <c r="O436" s="666"/>
      <c r="P436" s="666"/>
      <c r="Q436" s="666"/>
      <c r="R436" s="666"/>
      <c r="S436" s="666"/>
      <c r="T436" s="666"/>
      <c r="U436" s="666"/>
      <c r="V436" s="666"/>
      <c r="W436" s="666"/>
      <c r="X436" s="666"/>
      <c r="Y436" s="667"/>
      <c r="Z436" s="667"/>
    </row>
    <row r="437" spans="1:26" ht="15.75" customHeight="1">
      <c r="A437" s="666"/>
      <c r="B437" s="666"/>
      <c r="C437" s="666"/>
      <c r="D437" s="666"/>
      <c r="E437" s="666"/>
      <c r="F437" s="666"/>
      <c r="G437" s="666"/>
      <c r="H437" s="666"/>
      <c r="I437" s="666"/>
      <c r="J437" s="666"/>
      <c r="K437" s="666"/>
      <c r="L437" s="666"/>
      <c r="M437" s="666"/>
      <c r="N437" s="666"/>
      <c r="O437" s="666"/>
      <c r="P437" s="666"/>
      <c r="Q437" s="666"/>
      <c r="R437" s="666"/>
      <c r="S437" s="666"/>
      <c r="T437" s="666"/>
      <c r="U437" s="666"/>
      <c r="V437" s="666"/>
      <c r="W437" s="666"/>
      <c r="X437" s="666"/>
      <c r="Y437" s="667"/>
      <c r="Z437" s="667"/>
    </row>
    <row r="438" spans="1:26" ht="15.75" customHeight="1">
      <c r="A438" s="666"/>
      <c r="B438" s="666"/>
      <c r="C438" s="666"/>
      <c r="D438" s="666"/>
      <c r="E438" s="666"/>
      <c r="F438" s="666"/>
      <c r="G438" s="666"/>
      <c r="H438" s="666"/>
      <c r="I438" s="666"/>
      <c r="J438" s="666"/>
      <c r="K438" s="666"/>
      <c r="L438" s="666"/>
      <c r="M438" s="666"/>
      <c r="N438" s="666"/>
      <c r="O438" s="666"/>
      <c r="P438" s="666"/>
      <c r="Q438" s="666"/>
      <c r="R438" s="666"/>
      <c r="S438" s="666"/>
      <c r="T438" s="666"/>
      <c r="U438" s="666"/>
      <c r="V438" s="666"/>
      <c r="W438" s="666"/>
      <c r="X438" s="666"/>
      <c r="Y438" s="667"/>
      <c r="Z438" s="667"/>
    </row>
    <row r="439" spans="1:26" ht="15.75" customHeight="1">
      <c r="A439" s="666"/>
      <c r="B439" s="666"/>
      <c r="C439" s="666"/>
      <c r="D439" s="666"/>
      <c r="E439" s="666"/>
      <c r="F439" s="666"/>
      <c r="G439" s="666"/>
      <c r="H439" s="666"/>
      <c r="I439" s="666"/>
      <c r="J439" s="666"/>
      <c r="K439" s="666"/>
      <c r="L439" s="666"/>
      <c r="M439" s="666"/>
      <c r="N439" s="666"/>
      <c r="O439" s="666"/>
      <c r="P439" s="666"/>
      <c r="Q439" s="666"/>
      <c r="R439" s="666"/>
      <c r="S439" s="666"/>
      <c r="T439" s="666"/>
      <c r="U439" s="666"/>
      <c r="V439" s="666"/>
      <c r="W439" s="666"/>
      <c r="X439" s="666"/>
      <c r="Y439" s="667"/>
      <c r="Z439" s="667"/>
    </row>
    <row r="440" spans="1:26" ht="15.75" customHeight="1">
      <c r="A440" s="666"/>
      <c r="B440" s="666"/>
      <c r="C440" s="666"/>
      <c r="D440" s="666"/>
      <c r="E440" s="666"/>
      <c r="F440" s="666"/>
      <c r="G440" s="666"/>
      <c r="H440" s="666"/>
      <c r="I440" s="666"/>
      <c r="J440" s="666"/>
      <c r="K440" s="666"/>
      <c r="L440" s="666"/>
      <c r="M440" s="666"/>
      <c r="N440" s="666"/>
      <c r="O440" s="666"/>
      <c r="P440" s="666"/>
      <c r="Q440" s="666"/>
      <c r="R440" s="666"/>
      <c r="S440" s="666"/>
      <c r="T440" s="666"/>
      <c r="U440" s="666"/>
      <c r="V440" s="666"/>
      <c r="W440" s="666"/>
      <c r="X440" s="666"/>
      <c r="Y440" s="667"/>
      <c r="Z440" s="667"/>
    </row>
    <row r="441" spans="1:26" ht="15.75" customHeight="1">
      <c r="A441" s="666"/>
      <c r="B441" s="666"/>
      <c r="C441" s="666"/>
      <c r="D441" s="666"/>
      <c r="E441" s="666"/>
      <c r="F441" s="666"/>
      <c r="G441" s="666"/>
      <c r="H441" s="666"/>
      <c r="I441" s="666"/>
      <c r="J441" s="666"/>
      <c r="K441" s="666"/>
      <c r="L441" s="666"/>
      <c r="M441" s="666"/>
      <c r="N441" s="666"/>
      <c r="O441" s="666"/>
      <c r="P441" s="666"/>
      <c r="Q441" s="666"/>
      <c r="R441" s="666"/>
      <c r="S441" s="666"/>
      <c r="T441" s="666"/>
      <c r="U441" s="666"/>
      <c r="V441" s="666"/>
      <c r="W441" s="666"/>
      <c r="X441" s="666"/>
      <c r="Y441" s="667"/>
      <c r="Z441" s="667"/>
    </row>
    <row r="442" spans="1:26" ht="15.75" customHeight="1">
      <c r="A442" s="666"/>
      <c r="B442" s="666"/>
      <c r="C442" s="666"/>
      <c r="D442" s="666"/>
      <c r="E442" s="666"/>
      <c r="F442" s="666"/>
      <c r="G442" s="666"/>
      <c r="H442" s="666"/>
      <c r="I442" s="666"/>
      <c r="J442" s="666"/>
      <c r="K442" s="666"/>
      <c r="L442" s="666"/>
      <c r="M442" s="666"/>
      <c r="N442" s="666"/>
      <c r="O442" s="666"/>
      <c r="P442" s="666"/>
      <c r="Q442" s="666"/>
      <c r="R442" s="666"/>
      <c r="S442" s="666"/>
      <c r="T442" s="666"/>
      <c r="U442" s="666"/>
      <c r="V442" s="666"/>
      <c r="W442" s="666"/>
      <c r="X442" s="666"/>
      <c r="Y442" s="667"/>
      <c r="Z442" s="667"/>
    </row>
    <row r="443" spans="1:26" ht="15.75" customHeight="1">
      <c r="A443" s="666"/>
      <c r="B443" s="666"/>
      <c r="C443" s="666"/>
      <c r="D443" s="666"/>
      <c r="E443" s="666"/>
      <c r="F443" s="666"/>
      <c r="G443" s="666"/>
      <c r="H443" s="666"/>
      <c r="I443" s="666"/>
      <c r="J443" s="666"/>
      <c r="K443" s="666"/>
      <c r="L443" s="666"/>
      <c r="M443" s="666"/>
      <c r="N443" s="666"/>
      <c r="O443" s="666"/>
      <c r="P443" s="666"/>
      <c r="Q443" s="666"/>
      <c r="R443" s="666"/>
      <c r="S443" s="666"/>
      <c r="T443" s="666"/>
      <c r="U443" s="666"/>
      <c r="V443" s="666"/>
      <c r="W443" s="666"/>
      <c r="X443" s="666"/>
      <c r="Y443" s="667"/>
      <c r="Z443" s="667"/>
    </row>
    <row r="444" spans="1:26" ht="15.75" customHeight="1">
      <c r="A444" s="666"/>
      <c r="B444" s="666"/>
      <c r="C444" s="666"/>
      <c r="D444" s="666"/>
      <c r="E444" s="666"/>
      <c r="F444" s="666"/>
      <c r="G444" s="666"/>
      <c r="H444" s="666"/>
      <c r="I444" s="666"/>
      <c r="J444" s="666"/>
      <c r="K444" s="666"/>
      <c r="L444" s="666"/>
      <c r="M444" s="666"/>
      <c r="N444" s="666"/>
      <c r="O444" s="666"/>
      <c r="P444" s="666"/>
      <c r="Q444" s="666"/>
      <c r="R444" s="666"/>
      <c r="S444" s="666"/>
      <c r="T444" s="666"/>
      <c r="U444" s="666"/>
      <c r="V444" s="666"/>
      <c r="W444" s="666"/>
      <c r="X444" s="666"/>
      <c r="Y444" s="667"/>
      <c r="Z444" s="667"/>
    </row>
    <row r="445" spans="1:26" ht="15.75" customHeight="1">
      <c r="A445" s="666"/>
      <c r="B445" s="666"/>
      <c r="C445" s="666"/>
      <c r="D445" s="666"/>
      <c r="E445" s="666"/>
      <c r="F445" s="666"/>
      <c r="G445" s="666"/>
      <c r="H445" s="666"/>
      <c r="I445" s="666"/>
      <c r="J445" s="666"/>
      <c r="K445" s="666"/>
      <c r="L445" s="666"/>
      <c r="M445" s="666"/>
      <c r="N445" s="666"/>
      <c r="O445" s="666"/>
      <c r="P445" s="666"/>
      <c r="Q445" s="666"/>
      <c r="R445" s="666"/>
      <c r="S445" s="666"/>
      <c r="T445" s="666"/>
      <c r="U445" s="666"/>
      <c r="V445" s="666"/>
      <c r="W445" s="666"/>
      <c r="X445" s="666"/>
      <c r="Y445" s="667"/>
      <c r="Z445" s="667"/>
    </row>
    <row r="446" spans="1:26" ht="15.75" customHeight="1">
      <c r="A446" s="666"/>
      <c r="B446" s="666"/>
      <c r="C446" s="666"/>
      <c r="D446" s="666"/>
      <c r="E446" s="666"/>
      <c r="F446" s="666"/>
      <c r="G446" s="666"/>
      <c r="H446" s="666"/>
      <c r="I446" s="666"/>
      <c r="J446" s="666"/>
      <c r="K446" s="666"/>
      <c r="L446" s="666"/>
      <c r="M446" s="666"/>
      <c r="N446" s="666"/>
      <c r="O446" s="666"/>
      <c r="P446" s="666"/>
      <c r="Q446" s="666"/>
      <c r="R446" s="666"/>
      <c r="S446" s="666"/>
      <c r="T446" s="666"/>
      <c r="U446" s="666"/>
      <c r="V446" s="666"/>
      <c r="W446" s="666"/>
      <c r="X446" s="666"/>
      <c r="Y446" s="667"/>
      <c r="Z446" s="667"/>
    </row>
    <row r="447" spans="1:26" ht="15.75" customHeight="1">
      <c r="A447" s="666"/>
      <c r="B447" s="666"/>
      <c r="C447" s="666"/>
      <c r="D447" s="666"/>
      <c r="E447" s="666"/>
      <c r="F447" s="666"/>
      <c r="G447" s="666"/>
      <c r="H447" s="666"/>
      <c r="I447" s="666"/>
      <c r="J447" s="666"/>
      <c r="K447" s="666"/>
      <c r="L447" s="666"/>
      <c r="M447" s="666"/>
      <c r="N447" s="666"/>
      <c r="O447" s="666"/>
      <c r="P447" s="666"/>
      <c r="Q447" s="666"/>
      <c r="R447" s="666"/>
      <c r="S447" s="666"/>
      <c r="T447" s="666"/>
      <c r="U447" s="666"/>
      <c r="V447" s="666"/>
      <c r="W447" s="666"/>
      <c r="X447" s="666"/>
      <c r="Y447" s="667"/>
      <c r="Z447" s="667"/>
    </row>
    <row r="448" spans="1:26" ht="15.75" customHeight="1">
      <c r="A448" s="666"/>
      <c r="B448" s="666"/>
      <c r="C448" s="666"/>
      <c r="D448" s="666"/>
      <c r="E448" s="666"/>
      <c r="F448" s="666"/>
      <c r="G448" s="666"/>
      <c r="H448" s="666"/>
      <c r="I448" s="666"/>
      <c r="J448" s="666"/>
      <c r="K448" s="666"/>
      <c r="L448" s="666"/>
      <c r="M448" s="666"/>
      <c r="N448" s="666"/>
      <c r="O448" s="666"/>
      <c r="P448" s="666"/>
      <c r="Q448" s="666"/>
      <c r="R448" s="666"/>
      <c r="S448" s="666"/>
      <c r="T448" s="666"/>
      <c r="U448" s="666"/>
      <c r="V448" s="666"/>
      <c r="W448" s="666"/>
      <c r="X448" s="666"/>
      <c r="Y448" s="667"/>
      <c r="Z448" s="667"/>
    </row>
    <row r="449" spans="1:26" ht="15.75" customHeight="1">
      <c r="A449" s="666"/>
      <c r="B449" s="666"/>
      <c r="C449" s="666"/>
      <c r="D449" s="666"/>
      <c r="E449" s="666"/>
      <c r="F449" s="666"/>
      <c r="G449" s="666"/>
      <c r="H449" s="666"/>
      <c r="I449" s="666"/>
      <c r="J449" s="666"/>
      <c r="K449" s="666"/>
      <c r="L449" s="666"/>
      <c r="M449" s="666"/>
      <c r="N449" s="666"/>
      <c r="O449" s="666"/>
      <c r="P449" s="666"/>
      <c r="Q449" s="666"/>
      <c r="R449" s="666"/>
      <c r="S449" s="666"/>
      <c r="T449" s="666"/>
      <c r="U449" s="666"/>
      <c r="V449" s="666"/>
      <c r="W449" s="666"/>
      <c r="X449" s="666"/>
      <c r="Y449" s="667"/>
      <c r="Z449" s="667"/>
    </row>
    <row r="450" spans="1:26" ht="15.75" customHeight="1">
      <c r="A450" s="666"/>
      <c r="B450" s="666"/>
      <c r="C450" s="666"/>
      <c r="D450" s="666"/>
      <c r="E450" s="666"/>
      <c r="F450" s="666"/>
      <c r="G450" s="666"/>
      <c r="H450" s="666"/>
      <c r="I450" s="666"/>
      <c r="J450" s="666"/>
      <c r="K450" s="666"/>
      <c r="L450" s="666"/>
      <c r="M450" s="666"/>
      <c r="N450" s="666"/>
      <c r="O450" s="666"/>
      <c r="P450" s="666"/>
      <c r="Q450" s="666"/>
      <c r="R450" s="666"/>
      <c r="S450" s="666"/>
      <c r="T450" s="666"/>
      <c r="U450" s="666"/>
      <c r="V450" s="666"/>
      <c r="W450" s="666"/>
      <c r="X450" s="666"/>
      <c r="Y450" s="667"/>
      <c r="Z450" s="667"/>
    </row>
    <row r="451" spans="1:26" ht="15.75" customHeight="1">
      <c r="A451" s="666"/>
      <c r="B451" s="666"/>
      <c r="C451" s="666"/>
      <c r="D451" s="666"/>
      <c r="E451" s="666"/>
      <c r="F451" s="666"/>
      <c r="G451" s="666"/>
      <c r="H451" s="666"/>
      <c r="I451" s="666"/>
      <c r="J451" s="666"/>
      <c r="K451" s="666"/>
      <c r="L451" s="666"/>
      <c r="M451" s="666"/>
      <c r="N451" s="666"/>
      <c r="O451" s="666"/>
      <c r="P451" s="666"/>
      <c r="Q451" s="666"/>
      <c r="R451" s="666"/>
      <c r="S451" s="666"/>
      <c r="T451" s="666"/>
      <c r="U451" s="666"/>
      <c r="V451" s="666"/>
      <c r="W451" s="666"/>
      <c r="X451" s="666"/>
      <c r="Y451" s="667"/>
      <c r="Z451" s="667"/>
    </row>
    <row r="452" spans="1:26" ht="15.75" customHeight="1">
      <c r="A452" s="666"/>
      <c r="B452" s="666"/>
      <c r="C452" s="666"/>
      <c r="D452" s="666"/>
      <c r="E452" s="666"/>
      <c r="F452" s="666"/>
      <c r="G452" s="666"/>
      <c r="H452" s="666"/>
      <c r="I452" s="666"/>
      <c r="J452" s="666"/>
      <c r="K452" s="666"/>
      <c r="L452" s="666"/>
      <c r="M452" s="666"/>
      <c r="N452" s="666"/>
      <c r="O452" s="666"/>
      <c r="P452" s="666"/>
      <c r="Q452" s="666"/>
      <c r="R452" s="666"/>
      <c r="S452" s="666"/>
      <c r="T452" s="666"/>
      <c r="U452" s="666"/>
      <c r="V452" s="666"/>
      <c r="W452" s="666"/>
      <c r="X452" s="666"/>
      <c r="Y452" s="667"/>
      <c r="Z452" s="667"/>
    </row>
    <row r="453" spans="1:26" ht="15.75" customHeight="1">
      <c r="A453" s="666"/>
      <c r="B453" s="666"/>
      <c r="C453" s="666"/>
      <c r="D453" s="666"/>
      <c r="E453" s="666"/>
      <c r="F453" s="666"/>
      <c r="G453" s="666"/>
      <c r="H453" s="666"/>
      <c r="I453" s="666"/>
      <c r="J453" s="666"/>
      <c r="K453" s="666"/>
      <c r="L453" s="666"/>
      <c r="M453" s="666"/>
      <c r="N453" s="666"/>
      <c r="O453" s="666"/>
      <c r="P453" s="666"/>
      <c r="Q453" s="666"/>
      <c r="R453" s="666"/>
      <c r="S453" s="666"/>
      <c r="T453" s="666"/>
      <c r="U453" s="666"/>
      <c r="V453" s="666"/>
      <c r="W453" s="666"/>
      <c r="X453" s="666"/>
      <c r="Y453" s="667"/>
      <c r="Z453" s="667"/>
    </row>
    <row r="454" spans="1:26" ht="15.75" customHeight="1">
      <c r="A454" s="666"/>
      <c r="B454" s="666"/>
      <c r="C454" s="666"/>
      <c r="D454" s="666"/>
      <c r="E454" s="666"/>
      <c r="F454" s="666"/>
      <c r="G454" s="666"/>
      <c r="H454" s="666"/>
      <c r="I454" s="666"/>
      <c r="J454" s="666"/>
      <c r="K454" s="666"/>
      <c r="L454" s="666"/>
      <c r="M454" s="666"/>
      <c r="N454" s="666"/>
      <c r="O454" s="666"/>
      <c r="P454" s="666"/>
      <c r="Q454" s="666"/>
      <c r="R454" s="666"/>
      <c r="S454" s="666"/>
      <c r="T454" s="666"/>
      <c r="U454" s="666"/>
      <c r="V454" s="666"/>
      <c r="W454" s="666"/>
      <c r="X454" s="666"/>
      <c r="Y454" s="667"/>
      <c r="Z454" s="667"/>
    </row>
    <row r="455" spans="1:26" ht="15.75" customHeight="1">
      <c r="A455" s="666"/>
      <c r="B455" s="666"/>
      <c r="C455" s="666"/>
      <c r="D455" s="666"/>
      <c r="E455" s="666"/>
      <c r="F455" s="666"/>
      <c r="G455" s="666"/>
      <c r="H455" s="666"/>
      <c r="I455" s="666"/>
      <c r="J455" s="666"/>
      <c r="K455" s="666"/>
      <c r="L455" s="666"/>
      <c r="M455" s="666"/>
      <c r="N455" s="666"/>
      <c r="O455" s="666"/>
      <c r="P455" s="666"/>
      <c r="Q455" s="666"/>
      <c r="R455" s="666"/>
      <c r="S455" s="666"/>
      <c r="T455" s="666"/>
      <c r="U455" s="666"/>
      <c r="V455" s="666"/>
      <c r="W455" s="666"/>
      <c r="X455" s="666"/>
      <c r="Y455" s="667"/>
      <c r="Z455" s="667"/>
    </row>
    <row r="456" spans="1:26" ht="15.75" customHeight="1">
      <c r="A456" s="666"/>
      <c r="B456" s="666"/>
      <c r="C456" s="666"/>
      <c r="D456" s="666"/>
      <c r="E456" s="666"/>
      <c r="F456" s="666"/>
      <c r="G456" s="666"/>
      <c r="H456" s="666"/>
      <c r="I456" s="666"/>
      <c r="J456" s="666"/>
      <c r="K456" s="666"/>
      <c r="L456" s="666"/>
      <c r="M456" s="666"/>
      <c r="N456" s="666"/>
      <c r="O456" s="666"/>
      <c r="P456" s="666"/>
      <c r="Q456" s="666"/>
      <c r="R456" s="666"/>
      <c r="S456" s="666"/>
      <c r="T456" s="666"/>
      <c r="U456" s="666"/>
      <c r="V456" s="666"/>
      <c r="W456" s="666"/>
      <c r="X456" s="666"/>
      <c r="Y456" s="667"/>
      <c r="Z456" s="667"/>
    </row>
    <row r="457" spans="1:26" ht="15.75" customHeight="1">
      <c r="A457" s="666"/>
      <c r="B457" s="666"/>
      <c r="C457" s="666"/>
      <c r="D457" s="666"/>
      <c r="E457" s="666"/>
      <c r="F457" s="666"/>
      <c r="G457" s="666"/>
      <c r="H457" s="666"/>
      <c r="I457" s="666"/>
      <c r="J457" s="666"/>
      <c r="K457" s="666"/>
      <c r="L457" s="666"/>
      <c r="M457" s="666"/>
      <c r="N457" s="666"/>
      <c r="O457" s="666"/>
      <c r="P457" s="666"/>
      <c r="Q457" s="666"/>
      <c r="R457" s="666"/>
      <c r="S457" s="666"/>
      <c r="T457" s="666"/>
      <c r="U457" s="666"/>
      <c r="V457" s="666"/>
      <c r="W457" s="666"/>
      <c r="X457" s="666"/>
      <c r="Y457" s="667"/>
      <c r="Z457" s="667"/>
    </row>
    <row r="458" spans="1:26" ht="15.75" customHeight="1">
      <c r="A458" s="666"/>
      <c r="B458" s="666"/>
      <c r="C458" s="666"/>
      <c r="D458" s="666"/>
      <c r="E458" s="666"/>
      <c r="F458" s="666"/>
      <c r="G458" s="666"/>
      <c r="H458" s="666"/>
      <c r="I458" s="666"/>
      <c r="J458" s="666"/>
      <c r="K458" s="666"/>
      <c r="L458" s="666"/>
      <c r="M458" s="666"/>
      <c r="N458" s="666"/>
      <c r="O458" s="666"/>
      <c r="P458" s="666"/>
      <c r="Q458" s="666"/>
      <c r="R458" s="666"/>
      <c r="S458" s="666"/>
      <c r="T458" s="666"/>
      <c r="U458" s="666"/>
      <c r="V458" s="666"/>
      <c r="W458" s="666"/>
      <c r="X458" s="666"/>
      <c r="Y458" s="667"/>
      <c r="Z458" s="667"/>
    </row>
    <row r="459" spans="1:26" ht="15.75" customHeight="1">
      <c r="A459" s="666"/>
      <c r="B459" s="666"/>
      <c r="C459" s="666"/>
      <c r="D459" s="666"/>
      <c r="E459" s="666"/>
      <c r="F459" s="666"/>
      <c r="G459" s="666"/>
      <c r="H459" s="666"/>
      <c r="I459" s="666"/>
      <c r="J459" s="666"/>
      <c r="K459" s="666"/>
      <c r="L459" s="666"/>
      <c r="M459" s="666"/>
      <c r="N459" s="666"/>
      <c r="O459" s="666"/>
      <c r="P459" s="666"/>
      <c r="Q459" s="666"/>
      <c r="R459" s="666"/>
      <c r="S459" s="666"/>
      <c r="T459" s="666"/>
      <c r="U459" s="666"/>
      <c r="V459" s="666"/>
      <c r="W459" s="666"/>
      <c r="X459" s="666"/>
      <c r="Y459" s="667"/>
      <c r="Z459" s="667"/>
    </row>
    <row r="460" spans="1:26" ht="15.75" customHeight="1">
      <c r="A460" s="666"/>
      <c r="B460" s="666"/>
      <c r="C460" s="666"/>
      <c r="D460" s="666"/>
      <c r="E460" s="666"/>
      <c r="F460" s="666"/>
      <c r="G460" s="666"/>
      <c r="H460" s="666"/>
      <c r="I460" s="666"/>
      <c r="J460" s="666"/>
      <c r="K460" s="666"/>
      <c r="L460" s="666"/>
      <c r="M460" s="666"/>
      <c r="N460" s="666"/>
      <c r="O460" s="666"/>
      <c r="P460" s="666"/>
      <c r="Q460" s="666"/>
      <c r="R460" s="666"/>
      <c r="S460" s="666"/>
      <c r="T460" s="666"/>
      <c r="U460" s="666"/>
      <c r="V460" s="666"/>
      <c r="W460" s="666"/>
      <c r="X460" s="666"/>
      <c r="Y460" s="667"/>
      <c r="Z460" s="667"/>
    </row>
    <row r="461" spans="1:26" ht="15.75" customHeight="1">
      <c r="A461" s="666"/>
      <c r="B461" s="666"/>
      <c r="C461" s="666"/>
      <c r="D461" s="666"/>
      <c r="E461" s="666"/>
      <c r="F461" s="666"/>
      <c r="G461" s="666"/>
      <c r="H461" s="666"/>
      <c r="I461" s="666"/>
      <c r="J461" s="666"/>
      <c r="K461" s="666"/>
      <c r="L461" s="666"/>
      <c r="M461" s="666"/>
      <c r="N461" s="666"/>
      <c r="O461" s="666"/>
      <c r="P461" s="666"/>
      <c r="Q461" s="666"/>
      <c r="R461" s="666"/>
      <c r="S461" s="666"/>
      <c r="T461" s="666"/>
      <c r="U461" s="666"/>
      <c r="V461" s="666"/>
      <c r="W461" s="666"/>
      <c r="X461" s="666"/>
      <c r="Y461" s="667"/>
      <c r="Z461" s="667"/>
    </row>
    <row r="462" spans="1:26" ht="15.75" customHeight="1">
      <c r="A462" s="666"/>
      <c r="B462" s="666"/>
      <c r="C462" s="666"/>
      <c r="D462" s="666"/>
      <c r="E462" s="666"/>
      <c r="F462" s="666"/>
      <c r="G462" s="666"/>
      <c r="H462" s="666"/>
      <c r="I462" s="666"/>
      <c r="J462" s="666"/>
      <c r="K462" s="666"/>
      <c r="L462" s="666"/>
      <c r="M462" s="666"/>
      <c r="N462" s="666"/>
      <c r="O462" s="666"/>
      <c r="P462" s="666"/>
      <c r="Q462" s="666"/>
      <c r="R462" s="666"/>
      <c r="S462" s="666"/>
      <c r="T462" s="666"/>
      <c r="U462" s="666"/>
      <c r="V462" s="666"/>
      <c r="W462" s="666"/>
      <c r="X462" s="666"/>
      <c r="Y462" s="667"/>
      <c r="Z462" s="667"/>
    </row>
    <row r="463" spans="1:26" ht="15.75" customHeight="1">
      <c r="A463" s="666"/>
      <c r="B463" s="666"/>
      <c r="C463" s="666"/>
      <c r="D463" s="666"/>
      <c r="E463" s="666"/>
      <c r="F463" s="666"/>
      <c r="G463" s="666"/>
      <c r="H463" s="666"/>
      <c r="I463" s="666"/>
      <c r="J463" s="666"/>
      <c r="K463" s="666"/>
      <c r="L463" s="666"/>
      <c r="M463" s="666"/>
      <c r="N463" s="666"/>
      <c r="O463" s="666"/>
      <c r="P463" s="666"/>
      <c r="Q463" s="666"/>
      <c r="R463" s="666"/>
      <c r="S463" s="666"/>
      <c r="T463" s="666"/>
      <c r="U463" s="666"/>
      <c r="V463" s="666"/>
      <c r="W463" s="666"/>
      <c r="X463" s="666"/>
      <c r="Y463" s="667"/>
      <c r="Z463" s="667"/>
    </row>
    <row r="464" spans="1:26" ht="15.75" customHeight="1">
      <c r="A464" s="666"/>
      <c r="B464" s="666"/>
      <c r="C464" s="666"/>
      <c r="D464" s="666"/>
      <c r="E464" s="666"/>
      <c r="F464" s="666"/>
      <c r="G464" s="666"/>
      <c r="H464" s="666"/>
      <c r="I464" s="666"/>
      <c r="J464" s="666"/>
      <c r="K464" s="666"/>
      <c r="L464" s="666"/>
      <c r="M464" s="666"/>
      <c r="N464" s="666"/>
      <c r="O464" s="666"/>
      <c r="P464" s="666"/>
      <c r="Q464" s="666"/>
      <c r="R464" s="666"/>
      <c r="S464" s="666"/>
      <c r="T464" s="666"/>
      <c r="U464" s="666"/>
      <c r="V464" s="666"/>
      <c r="W464" s="666"/>
      <c r="X464" s="666"/>
      <c r="Y464" s="667"/>
      <c r="Z464" s="667"/>
    </row>
    <row r="465" spans="1:26" ht="15.75" customHeight="1">
      <c r="A465" s="666"/>
      <c r="B465" s="666"/>
      <c r="C465" s="666"/>
      <c r="D465" s="666"/>
      <c r="E465" s="666"/>
      <c r="F465" s="666"/>
      <c r="G465" s="666"/>
      <c r="H465" s="666"/>
      <c r="I465" s="666"/>
      <c r="J465" s="666"/>
      <c r="K465" s="666"/>
      <c r="L465" s="666"/>
      <c r="M465" s="666"/>
      <c r="N465" s="666"/>
      <c r="O465" s="666"/>
      <c r="P465" s="666"/>
      <c r="Q465" s="666"/>
      <c r="R465" s="666"/>
      <c r="S465" s="666"/>
      <c r="T465" s="666"/>
      <c r="U465" s="666"/>
      <c r="V465" s="666"/>
      <c r="W465" s="666"/>
      <c r="X465" s="666"/>
      <c r="Y465" s="667"/>
      <c r="Z465" s="667"/>
    </row>
    <row r="466" spans="1:26" ht="15.75" customHeight="1">
      <c r="A466" s="666"/>
      <c r="B466" s="666"/>
      <c r="C466" s="666"/>
      <c r="D466" s="666"/>
      <c r="E466" s="666"/>
      <c r="F466" s="666"/>
      <c r="G466" s="666"/>
      <c r="H466" s="666"/>
      <c r="I466" s="666"/>
      <c r="J466" s="666"/>
      <c r="K466" s="666"/>
      <c r="L466" s="666"/>
      <c r="M466" s="666"/>
      <c r="N466" s="666"/>
      <c r="O466" s="666"/>
      <c r="P466" s="666"/>
      <c r="Q466" s="666"/>
      <c r="R466" s="666"/>
      <c r="S466" s="666"/>
      <c r="T466" s="666"/>
      <c r="U466" s="666"/>
      <c r="V466" s="666"/>
      <c r="W466" s="666"/>
      <c r="X466" s="666"/>
      <c r="Y466" s="667"/>
      <c r="Z466" s="667"/>
    </row>
    <row r="467" spans="1:26" ht="15.75" customHeight="1">
      <c r="A467" s="666"/>
      <c r="B467" s="666"/>
      <c r="C467" s="666"/>
      <c r="D467" s="666"/>
      <c r="E467" s="666"/>
      <c r="F467" s="666"/>
      <c r="G467" s="666"/>
      <c r="H467" s="666"/>
      <c r="I467" s="666"/>
      <c r="J467" s="666"/>
      <c r="K467" s="666"/>
      <c r="L467" s="666"/>
      <c r="M467" s="666"/>
      <c r="N467" s="666"/>
      <c r="O467" s="666"/>
      <c r="P467" s="666"/>
      <c r="Q467" s="666"/>
      <c r="R467" s="666"/>
      <c r="S467" s="666"/>
      <c r="T467" s="666"/>
      <c r="U467" s="666"/>
      <c r="V467" s="666"/>
      <c r="W467" s="666"/>
      <c r="X467" s="666"/>
      <c r="Y467" s="667"/>
      <c r="Z467" s="667"/>
    </row>
    <row r="468" spans="1:26" ht="15.75" customHeight="1">
      <c r="A468" s="666"/>
      <c r="B468" s="666"/>
      <c r="C468" s="666"/>
      <c r="D468" s="666"/>
      <c r="E468" s="666"/>
      <c r="F468" s="666"/>
      <c r="G468" s="666"/>
      <c r="H468" s="666"/>
      <c r="I468" s="666"/>
      <c r="J468" s="666"/>
      <c r="K468" s="666"/>
      <c r="L468" s="666"/>
      <c r="M468" s="666"/>
      <c r="N468" s="666"/>
      <c r="O468" s="666"/>
      <c r="P468" s="666"/>
      <c r="Q468" s="666"/>
      <c r="R468" s="666"/>
      <c r="S468" s="666"/>
      <c r="T468" s="666"/>
      <c r="U468" s="666"/>
      <c r="V468" s="666"/>
      <c r="W468" s="666"/>
      <c r="X468" s="666"/>
      <c r="Y468" s="667"/>
      <c r="Z468" s="667"/>
    </row>
    <row r="469" spans="1:26" ht="15.75" customHeight="1">
      <c r="A469" s="666"/>
      <c r="B469" s="666"/>
      <c r="C469" s="666"/>
      <c r="D469" s="666"/>
      <c r="E469" s="666"/>
      <c r="F469" s="666"/>
      <c r="G469" s="666"/>
      <c r="H469" s="666"/>
      <c r="I469" s="666"/>
      <c r="J469" s="666"/>
      <c r="K469" s="666"/>
      <c r="L469" s="666"/>
      <c r="M469" s="666"/>
      <c r="N469" s="666"/>
      <c r="O469" s="666"/>
      <c r="P469" s="666"/>
      <c r="Q469" s="666"/>
      <c r="R469" s="666"/>
      <c r="S469" s="666"/>
      <c r="T469" s="666"/>
      <c r="U469" s="666"/>
      <c r="V469" s="666"/>
      <c r="W469" s="666"/>
      <c r="X469" s="666"/>
      <c r="Y469" s="667"/>
      <c r="Z469" s="667"/>
    </row>
    <row r="470" spans="1:26" ht="15.75" customHeight="1">
      <c r="A470" s="666"/>
      <c r="B470" s="666"/>
      <c r="C470" s="666"/>
      <c r="D470" s="666"/>
      <c r="E470" s="666"/>
      <c r="F470" s="666"/>
      <c r="G470" s="666"/>
      <c r="H470" s="666"/>
      <c r="I470" s="666"/>
      <c r="J470" s="666"/>
      <c r="K470" s="666"/>
      <c r="L470" s="666"/>
      <c r="M470" s="666"/>
      <c r="N470" s="666"/>
      <c r="O470" s="666"/>
      <c r="P470" s="666"/>
      <c r="Q470" s="666"/>
      <c r="R470" s="666"/>
      <c r="S470" s="666"/>
      <c r="T470" s="666"/>
      <c r="U470" s="666"/>
      <c r="V470" s="666"/>
      <c r="W470" s="666"/>
      <c r="X470" s="666"/>
      <c r="Y470" s="667"/>
      <c r="Z470" s="667"/>
    </row>
    <row r="471" spans="1:26" ht="15.75" customHeight="1">
      <c r="A471" s="666"/>
      <c r="B471" s="666"/>
      <c r="C471" s="666"/>
      <c r="D471" s="666"/>
      <c r="E471" s="666"/>
      <c r="F471" s="666"/>
      <c r="G471" s="666"/>
      <c r="H471" s="666"/>
      <c r="I471" s="666"/>
      <c r="J471" s="666"/>
      <c r="K471" s="666"/>
      <c r="L471" s="666"/>
      <c r="M471" s="666"/>
      <c r="N471" s="666"/>
      <c r="O471" s="666"/>
      <c r="P471" s="666"/>
      <c r="Q471" s="666"/>
      <c r="R471" s="666"/>
      <c r="S471" s="666"/>
      <c r="T471" s="666"/>
      <c r="U471" s="666"/>
      <c r="V471" s="666"/>
      <c r="W471" s="666"/>
      <c r="X471" s="666"/>
      <c r="Y471" s="667"/>
      <c r="Z471" s="667"/>
    </row>
    <row r="472" spans="1:26" ht="15.75" customHeight="1">
      <c r="A472" s="666"/>
      <c r="B472" s="666"/>
      <c r="C472" s="666"/>
      <c r="D472" s="666"/>
      <c r="E472" s="666"/>
      <c r="F472" s="666"/>
      <c r="G472" s="666"/>
      <c r="H472" s="666"/>
      <c r="I472" s="666"/>
      <c r="J472" s="666"/>
      <c r="K472" s="666"/>
      <c r="L472" s="666"/>
      <c r="M472" s="666"/>
      <c r="N472" s="666"/>
      <c r="O472" s="666"/>
      <c r="P472" s="666"/>
      <c r="Q472" s="666"/>
      <c r="R472" s="666"/>
      <c r="S472" s="666"/>
      <c r="T472" s="666"/>
      <c r="U472" s="666"/>
      <c r="V472" s="666"/>
      <c r="W472" s="666"/>
      <c r="X472" s="666"/>
      <c r="Y472" s="667"/>
      <c r="Z472" s="667"/>
    </row>
    <row r="473" spans="1:26" ht="15.75" customHeight="1">
      <c r="A473" s="666"/>
      <c r="B473" s="666"/>
      <c r="C473" s="666"/>
      <c r="D473" s="666"/>
      <c r="E473" s="666"/>
      <c r="F473" s="666"/>
      <c r="G473" s="666"/>
      <c r="H473" s="666"/>
      <c r="I473" s="666"/>
      <c r="J473" s="666"/>
      <c r="K473" s="666"/>
      <c r="L473" s="666"/>
      <c r="M473" s="666"/>
      <c r="N473" s="666"/>
      <c r="O473" s="666"/>
      <c r="P473" s="666"/>
      <c r="Q473" s="666"/>
      <c r="R473" s="666"/>
      <c r="S473" s="666"/>
      <c r="T473" s="666"/>
      <c r="U473" s="666"/>
      <c r="V473" s="666"/>
      <c r="W473" s="666"/>
      <c r="X473" s="666"/>
      <c r="Y473" s="667"/>
      <c r="Z473" s="667"/>
    </row>
    <row r="474" spans="1:26" ht="15.75" customHeight="1">
      <c r="A474" s="666"/>
      <c r="B474" s="666"/>
      <c r="C474" s="666"/>
      <c r="D474" s="666"/>
      <c r="E474" s="666"/>
      <c r="F474" s="666"/>
      <c r="G474" s="666"/>
      <c r="H474" s="666"/>
      <c r="I474" s="666"/>
      <c r="J474" s="666"/>
      <c r="K474" s="666"/>
      <c r="L474" s="666"/>
      <c r="M474" s="666"/>
      <c r="N474" s="666"/>
      <c r="O474" s="666"/>
      <c r="P474" s="666"/>
      <c r="Q474" s="666"/>
      <c r="R474" s="666"/>
      <c r="S474" s="666"/>
      <c r="T474" s="666"/>
      <c r="U474" s="666"/>
      <c r="V474" s="666"/>
      <c r="W474" s="666"/>
      <c r="X474" s="666"/>
      <c r="Y474" s="667"/>
      <c r="Z474" s="667"/>
    </row>
    <row r="475" spans="1:26" ht="15.75" customHeight="1">
      <c r="A475" s="666"/>
      <c r="B475" s="666"/>
      <c r="C475" s="666"/>
      <c r="D475" s="666"/>
      <c r="E475" s="666"/>
      <c r="F475" s="666"/>
      <c r="G475" s="666"/>
      <c r="H475" s="666"/>
      <c r="I475" s="666"/>
      <c r="J475" s="666"/>
      <c r="K475" s="666"/>
      <c r="L475" s="666"/>
      <c r="M475" s="666"/>
      <c r="N475" s="666"/>
      <c r="O475" s="666"/>
      <c r="P475" s="666"/>
      <c r="Q475" s="666"/>
      <c r="R475" s="666"/>
      <c r="S475" s="666"/>
      <c r="T475" s="666"/>
      <c r="U475" s="666"/>
      <c r="V475" s="666"/>
      <c r="W475" s="666"/>
      <c r="X475" s="666"/>
      <c r="Y475" s="667"/>
      <c r="Z475" s="667"/>
    </row>
    <row r="476" spans="1:26" ht="15.75" customHeight="1">
      <c r="A476" s="666"/>
      <c r="B476" s="666"/>
      <c r="C476" s="666"/>
      <c r="D476" s="666"/>
      <c r="E476" s="666"/>
      <c r="F476" s="666"/>
      <c r="G476" s="666"/>
      <c r="H476" s="666"/>
      <c r="I476" s="666"/>
      <c r="J476" s="666"/>
      <c r="K476" s="666"/>
      <c r="L476" s="666"/>
      <c r="M476" s="666"/>
      <c r="N476" s="666"/>
      <c r="O476" s="666"/>
      <c r="P476" s="666"/>
      <c r="Q476" s="666"/>
      <c r="R476" s="666"/>
      <c r="S476" s="666"/>
      <c r="T476" s="666"/>
      <c r="U476" s="666"/>
      <c r="V476" s="666"/>
      <c r="W476" s="666"/>
      <c r="X476" s="666"/>
      <c r="Y476" s="667"/>
      <c r="Z476" s="667"/>
    </row>
    <row r="477" spans="1:26" ht="15.75" customHeight="1">
      <c r="A477" s="666"/>
      <c r="B477" s="666"/>
      <c r="C477" s="666"/>
      <c r="D477" s="666"/>
      <c r="E477" s="666"/>
      <c r="F477" s="666"/>
      <c r="G477" s="666"/>
      <c r="H477" s="666"/>
      <c r="I477" s="666"/>
      <c r="J477" s="666"/>
      <c r="K477" s="666"/>
      <c r="L477" s="666"/>
      <c r="M477" s="666"/>
      <c r="N477" s="666"/>
      <c r="O477" s="666"/>
      <c r="P477" s="666"/>
      <c r="Q477" s="666"/>
      <c r="R477" s="666"/>
      <c r="S477" s="666"/>
      <c r="T477" s="666"/>
      <c r="U477" s="666"/>
      <c r="V477" s="666"/>
      <c r="W477" s="666"/>
      <c r="X477" s="666"/>
      <c r="Y477" s="667"/>
      <c r="Z477" s="667"/>
    </row>
    <row r="478" spans="1:26" ht="15.75" customHeight="1">
      <c r="A478" s="666"/>
      <c r="B478" s="666"/>
      <c r="C478" s="666"/>
      <c r="D478" s="666"/>
      <c r="E478" s="666"/>
      <c r="F478" s="666"/>
      <c r="G478" s="666"/>
      <c r="H478" s="666"/>
      <c r="I478" s="666"/>
      <c r="J478" s="666"/>
      <c r="K478" s="666"/>
      <c r="L478" s="666"/>
      <c r="M478" s="666"/>
      <c r="N478" s="666"/>
      <c r="O478" s="666"/>
      <c r="P478" s="666"/>
      <c r="Q478" s="666"/>
      <c r="R478" s="666"/>
      <c r="S478" s="666"/>
      <c r="T478" s="666"/>
      <c r="U478" s="666"/>
      <c r="V478" s="666"/>
      <c r="W478" s="666"/>
      <c r="X478" s="666"/>
      <c r="Y478" s="667"/>
      <c r="Z478" s="667"/>
    </row>
    <row r="479" spans="1:26" ht="15.75" customHeight="1">
      <c r="A479" s="666"/>
      <c r="B479" s="666"/>
      <c r="C479" s="666"/>
      <c r="D479" s="666"/>
      <c r="E479" s="666"/>
      <c r="F479" s="666"/>
      <c r="G479" s="666"/>
      <c r="H479" s="666"/>
      <c r="I479" s="666"/>
      <c r="J479" s="666"/>
      <c r="K479" s="666"/>
      <c r="L479" s="666"/>
      <c r="M479" s="666"/>
      <c r="N479" s="666"/>
      <c r="O479" s="666"/>
      <c r="P479" s="666"/>
      <c r="Q479" s="666"/>
      <c r="R479" s="666"/>
      <c r="S479" s="666"/>
      <c r="T479" s="666"/>
      <c r="U479" s="666"/>
      <c r="V479" s="666"/>
      <c r="W479" s="666"/>
      <c r="X479" s="666"/>
      <c r="Y479" s="667"/>
      <c r="Z479" s="667"/>
    </row>
    <row r="480" spans="1:26" ht="15.75" customHeight="1">
      <c r="A480" s="666"/>
      <c r="B480" s="666"/>
      <c r="C480" s="666"/>
      <c r="D480" s="666"/>
      <c r="E480" s="666"/>
      <c r="F480" s="666"/>
      <c r="G480" s="666"/>
      <c r="H480" s="666"/>
      <c r="I480" s="666"/>
      <c r="J480" s="666"/>
      <c r="K480" s="666"/>
      <c r="L480" s="666"/>
      <c r="M480" s="666"/>
      <c r="N480" s="666"/>
      <c r="O480" s="666"/>
      <c r="P480" s="666"/>
      <c r="Q480" s="666"/>
      <c r="R480" s="666"/>
      <c r="S480" s="666"/>
      <c r="T480" s="666"/>
      <c r="U480" s="666"/>
      <c r="V480" s="666"/>
      <c r="W480" s="666"/>
      <c r="X480" s="666"/>
      <c r="Y480" s="667"/>
      <c r="Z480" s="667"/>
    </row>
    <row r="481" spans="1:26" ht="15.75" customHeight="1">
      <c r="A481" s="666"/>
      <c r="B481" s="666"/>
      <c r="C481" s="666"/>
      <c r="D481" s="666"/>
      <c r="E481" s="666"/>
      <c r="F481" s="666"/>
      <c r="G481" s="666"/>
      <c r="H481" s="666"/>
      <c r="I481" s="666"/>
      <c r="J481" s="666"/>
      <c r="K481" s="666"/>
      <c r="L481" s="666"/>
      <c r="M481" s="666"/>
      <c r="N481" s="666"/>
      <c r="O481" s="666"/>
      <c r="P481" s="666"/>
      <c r="Q481" s="666"/>
      <c r="R481" s="666"/>
      <c r="S481" s="666"/>
      <c r="T481" s="666"/>
      <c r="U481" s="666"/>
      <c r="V481" s="666"/>
      <c r="W481" s="666"/>
      <c r="X481" s="666"/>
      <c r="Y481" s="667"/>
      <c r="Z481" s="667"/>
    </row>
    <row r="482" spans="1:26" ht="15.75" customHeight="1">
      <c r="A482" s="666"/>
      <c r="B482" s="666"/>
      <c r="C482" s="666"/>
      <c r="D482" s="666"/>
      <c r="E482" s="666"/>
      <c r="F482" s="666"/>
      <c r="G482" s="666"/>
      <c r="H482" s="666"/>
      <c r="I482" s="666"/>
      <c r="J482" s="666"/>
      <c r="K482" s="666"/>
      <c r="L482" s="666"/>
      <c r="M482" s="666"/>
      <c r="N482" s="666"/>
      <c r="O482" s="666"/>
      <c r="P482" s="666"/>
      <c r="Q482" s="666"/>
      <c r="R482" s="666"/>
      <c r="S482" s="666"/>
      <c r="T482" s="666"/>
      <c r="U482" s="666"/>
      <c r="V482" s="666"/>
      <c r="W482" s="666"/>
      <c r="X482" s="666"/>
      <c r="Y482" s="667"/>
      <c r="Z482" s="667"/>
    </row>
    <row r="483" spans="1:26" ht="15.75" customHeight="1">
      <c r="A483" s="666"/>
      <c r="B483" s="666"/>
      <c r="C483" s="666"/>
      <c r="D483" s="666"/>
      <c r="E483" s="666"/>
      <c r="F483" s="666"/>
      <c r="G483" s="666"/>
      <c r="H483" s="666"/>
      <c r="I483" s="666"/>
      <c r="J483" s="666"/>
      <c r="K483" s="666"/>
      <c r="L483" s="666"/>
      <c r="M483" s="666"/>
      <c r="N483" s="666"/>
      <c r="O483" s="666"/>
      <c r="P483" s="666"/>
      <c r="Q483" s="666"/>
      <c r="R483" s="666"/>
      <c r="S483" s="666"/>
      <c r="T483" s="666"/>
      <c r="U483" s="666"/>
      <c r="V483" s="666"/>
      <c r="W483" s="666"/>
      <c r="X483" s="666"/>
      <c r="Y483" s="667"/>
      <c r="Z483" s="667"/>
    </row>
    <row r="484" spans="1:26" ht="15.75" customHeight="1">
      <c r="A484" s="666"/>
      <c r="B484" s="666"/>
      <c r="C484" s="666"/>
      <c r="D484" s="666"/>
      <c r="E484" s="666"/>
      <c r="F484" s="666"/>
      <c r="G484" s="666"/>
      <c r="H484" s="666"/>
      <c r="I484" s="666"/>
      <c r="J484" s="666"/>
      <c r="K484" s="666"/>
      <c r="L484" s="666"/>
      <c r="M484" s="666"/>
      <c r="N484" s="666"/>
      <c r="O484" s="666"/>
      <c r="P484" s="666"/>
      <c r="Q484" s="666"/>
      <c r="R484" s="666"/>
      <c r="S484" s="666"/>
      <c r="T484" s="666"/>
      <c r="U484" s="666"/>
      <c r="V484" s="666"/>
      <c r="W484" s="666"/>
      <c r="X484" s="666"/>
      <c r="Y484" s="667"/>
      <c r="Z484" s="667"/>
    </row>
    <row r="485" spans="1:26" ht="15.75" customHeight="1">
      <c r="A485" s="666"/>
      <c r="B485" s="666"/>
      <c r="C485" s="666"/>
      <c r="D485" s="666"/>
      <c r="E485" s="666"/>
      <c r="F485" s="666"/>
      <c r="G485" s="666"/>
      <c r="H485" s="666"/>
      <c r="I485" s="666"/>
      <c r="J485" s="666"/>
      <c r="K485" s="666"/>
      <c r="L485" s="666"/>
      <c r="M485" s="666"/>
      <c r="N485" s="666"/>
      <c r="O485" s="666"/>
      <c r="P485" s="666"/>
      <c r="Q485" s="666"/>
      <c r="R485" s="666"/>
      <c r="S485" s="666"/>
      <c r="T485" s="666"/>
      <c r="U485" s="666"/>
      <c r="V485" s="666"/>
      <c r="W485" s="666"/>
      <c r="X485" s="666"/>
      <c r="Y485" s="667"/>
      <c r="Z485" s="667"/>
    </row>
    <row r="486" spans="1:26" ht="15.75" customHeight="1">
      <c r="A486" s="666"/>
      <c r="B486" s="666"/>
      <c r="C486" s="666"/>
      <c r="D486" s="666"/>
      <c r="E486" s="666"/>
      <c r="F486" s="666"/>
      <c r="G486" s="666"/>
      <c r="H486" s="666"/>
      <c r="I486" s="666"/>
      <c r="J486" s="666"/>
      <c r="K486" s="666"/>
      <c r="L486" s="666"/>
      <c r="M486" s="666"/>
      <c r="N486" s="666"/>
      <c r="O486" s="666"/>
      <c r="P486" s="666"/>
      <c r="Q486" s="666"/>
      <c r="R486" s="666"/>
      <c r="S486" s="666"/>
      <c r="T486" s="666"/>
      <c r="U486" s="666"/>
      <c r="V486" s="666"/>
      <c r="W486" s="666"/>
      <c r="X486" s="666"/>
      <c r="Y486" s="667"/>
      <c r="Z486" s="667"/>
    </row>
    <row r="487" spans="1:26" ht="15.75" customHeight="1">
      <c r="A487" s="666"/>
      <c r="B487" s="666"/>
      <c r="C487" s="666"/>
      <c r="D487" s="666"/>
      <c r="E487" s="666"/>
      <c r="F487" s="666"/>
      <c r="G487" s="666"/>
      <c r="H487" s="666"/>
      <c r="I487" s="666"/>
      <c r="J487" s="666"/>
      <c r="K487" s="666"/>
      <c r="L487" s="666"/>
      <c r="M487" s="666"/>
      <c r="N487" s="666"/>
      <c r="O487" s="666"/>
      <c r="P487" s="666"/>
      <c r="Q487" s="666"/>
      <c r="R487" s="666"/>
      <c r="S487" s="666"/>
      <c r="T487" s="666"/>
      <c r="U487" s="666"/>
      <c r="V487" s="666"/>
      <c r="W487" s="666"/>
      <c r="X487" s="666"/>
      <c r="Y487" s="667"/>
      <c r="Z487" s="667"/>
    </row>
    <row r="488" spans="1:26" ht="15.75" customHeight="1">
      <c r="A488" s="666"/>
      <c r="B488" s="666"/>
      <c r="C488" s="666"/>
      <c r="D488" s="666"/>
      <c r="E488" s="666"/>
      <c r="F488" s="666"/>
      <c r="G488" s="666"/>
      <c r="H488" s="666"/>
      <c r="I488" s="666"/>
      <c r="J488" s="666"/>
      <c r="K488" s="666"/>
      <c r="L488" s="666"/>
      <c r="M488" s="666"/>
      <c r="N488" s="666"/>
      <c r="O488" s="666"/>
      <c r="P488" s="666"/>
      <c r="Q488" s="666"/>
      <c r="R488" s="666"/>
      <c r="S488" s="666"/>
      <c r="T488" s="666"/>
      <c r="U488" s="666"/>
      <c r="V488" s="666"/>
      <c r="W488" s="666"/>
      <c r="X488" s="666"/>
      <c r="Y488" s="667"/>
      <c r="Z488" s="667"/>
    </row>
    <row r="489" spans="1:26" ht="15.75" customHeight="1">
      <c r="A489" s="666"/>
      <c r="B489" s="666"/>
      <c r="C489" s="666"/>
      <c r="D489" s="666"/>
      <c r="E489" s="666"/>
      <c r="F489" s="666"/>
      <c r="G489" s="666"/>
      <c r="H489" s="666"/>
      <c r="I489" s="666"/>
      <c r="J489" s="666"/>
      <c r="K489" s="666"/>
      <c r="L489" s="666"/>
      <c r="M489" s="666"/>
      <c r="N489" s="666"/>
      <c r="O489" s="666"/>
      <c r="P489" s="666"/>
      <c r="Q489" s="666"/>
      <c r="R489" s="666"/>
      <c r="S489" s="666"/>
      <c r="T489" s="666"/>
      <c r="U489" s="666"/>
      <c r="V489" s="666"/>
      <c r="W489" s="666"/>
      <c r="X489" s="666"/>
      <c r="Y489" s="667"/>
      <c r="Z489" s="667"/>
    </row>
    <row r="490" spans="1:26" ht="15.75" customHeight="1">
      <c r="A490" s="666"/>
      <c r="B490" s="666"/>
      <c r="C490" s="666"/>
      <c r="D490" s="666"/>
      <c r="E490" s="666"/>
      <c r="F490" s="666"/>
      <c r="G490" s="666"/>
      <c r="H490" s="666"/>
      <c r="I490" s="666"/>
      <c r="J490" s="666"/>
      <c r="K490" s="666"/>
      <c r="L490" s="666"/>
      <c r="M490" s="666"/>
      <c r="N490" s="666"/>
      <c r="O490" s="666"/>
      <c r="P490" s="666"/>
      <c r="Q490" s="666"/>
      <c r="R490" s="666"/>
      <c r="S490" s="666"/>
      <c r="T490" s="666"/>
      <c r="U490" s="666"/>
      <c r="V490" s="666"/>
      <c r="W490" s="666"/>
      <c r="X490" s="666"/>
      <c r="Y490" s="667"/>
      <c r="Z490" s="667"/>
    </row>
    <row r="491" spans="1:26" ht="15.75" customHeight="1">
      <c r="A491" s="666"/>
      <c r="B491" s="666"/>
      <c r="C491" s="666"/>
      <c r="D491" s="666"/>
      <c r="E491" s="666"/>
      <c r="F491" s="666"/>
      <c r="G491" s="666"/>
      <c r="H491" s="666"/>
      <c r="I491" s="666"/>
      <c r="J491" s="666"/>
      <c r="K491" s="666"/>
      <c r="L491" s="666"/>
      <c r="M491" s="666"/>
      <c r="N491" s="666"/>
      <c r="O491" s="666"/>
      <c r="P491" s="666"/>
      <c r="Q491" s="666"/>
      <c r="R491" s="666"/>
      <c r="S491" s="666"/>
      <c r="T491" s="666"/>
      <c r="U491" s="666"/>
      <c r="V491" s="666"/>
      <c r="W491" s="666"/>
      <c r="X491" s="666"/>
      <c r="Y491" s="667"/>
      <c r="Z491" s="667"/>
    </row>
    <row r="492" spans="1:26" ht="15.75" customHeight="1">
      <c r="A492" s="666"/>
      <c r="B492" s="666"/>
      <c r="C492" s="666"/>
      <c r="D492" s="666"/>
      <c r="E492" s="666"/>
      <c r="F492" s="666"/>
      <c r="G492" s="666"/>
      <c r="H492" s="666"/>
      <c r="I492" s="666"/>
      <c r="J492" s="666"/>
      <c r="K492" s="666"/>
      <c r="L492" s="666"/>
      <c r="M492" s="666"/>
      <c r="N492" s="666"/>
      <c r="O492" s="666"/>
      <c r="P492" s="666"/>
      <c r="Q492" s="666"/>
      <c r="R492" s="666"/>
      <c r="S492" s="666"/>
      <c r="T492" s="666"/>
      <c r="U492" s="666"/>
      <c r="V492" s="666"/>
      <c r="W492" s="666"/>
      <c r="X492" s="666"/>
      <c r="Y492" s="667"/>
      <c r="Z492" s="667"/>
    </row>
    <row r="493" spans="1:26" ht="15.75" customHeight="1">
      <c r="A493" s="666"/>
      <c r="B493" s="666"/>
      <c r="C493" s="666"/>
      <c r="D493" s="666"/>
      <c r="E493" s="666"/>
      <c r="F493" s="666"/>
      <c r="G493" s="666"/>
      <c r="H493" s="666"/>
      <c r="I493" s="666"/>
      <c r="J493" s="666"/>
      <c r="K493" s="666"/>
      <c r="L493" s="666"/>
      <c r="M493" s="666"/>
      <c r="N493" s="666"/>
      <c r="O493" s="666"/>
      <c r="P493" s="666"/>
      <c r="Q493" s="666"/>
      <c r="R493" s="666"/>
      <c r="S493" s="666"/>
      <c r="T493" s="666"/>
      <c r="U493" s="666"/>
      <c r="V493" s="666"/>
      <c r="W493" s="666"/>
      <c r="X493" s="666"/>
      <c r="Y493" s="667"/>
      <c r="Z493" s="667"/>
    </row>
    <row r="494" spans="1:26" ht="15.75" customHeight="1">
      <c r="A494" s="666"/>
      <c r="B494" s="666"/>
      <c r="C494" s="666"/>
      <c r="D494" s="666"/>
      <c r="E494" s="666"/>
      <c r="F494" s="666"/>
      <c r="G494" s="666"/>
      <c r="H494" s="666"/>
      <c r="I494" s="666"/>
      <c r="J494" s="666"/>
      <c r="K494" s="666"/>
      <c r="L494" s="666"/>
      <c r="M494" s="666"/>
      <c r="N494" s="666"/>
      <c r="O494" s="666"/>
      <c r="P494" s="666"/>
      <c r="Q494" s="666"/>
      <c r="R494" s="666"/>
      <c r="S494" s="666"/>
      <c r="T494" s="666"/>
      <c r="U494" s="666"/>
      <c r="V494" s="666"/>
      <c r="W494" s="666"/>
      <c r="X494" s="666"/>
      <c r="Y494" s="667"/>
      <c r="Z494" s="667"/>
    </row>
    <row r="495" spans="1:26" ht="15.75" customHeight="1">
      <c r="A495" s="666"/>
      <c r="B495" s="666"/>
      <c r="C495" s="666"/>
      <c r="D495" s="666"/>
      <c r="E495" s="666"/>
      <c r="F495" s="666"/>
      <c r="G495" s="666"/>
      <c r="H495" s="666"/>
      <c r="I495" s="666"/>
      <c r="J495" s="666"/>
      <c r="K495" s="666"/>
      <c r="L495" s="666"/>
      <c r="M495" s="666"/>
      <c r="N495" s="666"/>
      <c r="O495" s="666"/>
      <c r="P495" s="666"/>
      <c r="Q495" s="666"/>
      <c r="R495" s="666"/>
      <c r="S495" s="666"/>
      <c r="T495" s="666"/>
      <c r="U495" s="666"/>
      <c r="V495" s="666"/>
      <c r="W495" s="666"/>
      <c r="X495" s="666"/>
      <c r="Y495" s="667"/>
      <c r="Z495" s="667"/>
    </row>
    <row r="496" spans="1:26" ht="15.75" customHeight="1">
      <c r="A496" s="666"/>
      <c r="B496" s="666"/>
      <c r="C496" s="666"/>
      <c r="D496" s="666"/>
      <c r="E496" s="666"/>
      <c r="F496" s="666"/>
      <c r="G496" s="666"/>
      <c r="H496" s="666"/>
      <c r="I496" s="666"/>
      <c r="J496" s="666"/>
      <c r="K496" s="666"/>
      <c r="L496" s="666"/>
      <c r="M496" s="666"/>
      <c r="N496" s="666"/>
      <c r="O496" s="666"/>
      <c r="P496" s="666"/>
      <c r="Q496" s="666"/>
      <c r="R496" s="666"/>
      <c r="S496" s="666"/>
      <c r="T496" s="666"/>
      <c r="U496" s="666"/>
      <c r="V496" s="666"/>
      <c r="W496" s="666"/>
      <c r="X496" s="666"/>
      <c r="Y496" s="667"/>
      <c r="Z496" s="667"/>
    </row>
    <row r="497" spans="1:26" ht="15.75" customHeight="1">
      <c r="A497" s="666"/>
      <c r="B497" s="666"/>
      <c r="C497" s="666"/>
      <c r="D497" s="666"/>
      <c r="E497" s="666"/>
      <c r="F497" s="666"/>
      <c r="G497" s="666"/>
      <c r="H497" s="666"/>
      <c r="I497" s="666"/>
      <c r="J497" s="666"/>
      <c r="K497" s="666"/>
      <c r="L497" s="666"/>
      <c r="M497" s="666"/>
      <c r="N497" s="666"/>
      <c r="O497" s="666"/>
      <c r="P497" s="666"/>
      <c r="Q497" s="666"/>
      <c r="R497" s="666"/>
      <c r="S497" s="666"/>
      <c r="T497" s="666"/>
      <c r="U497" s="666"/>
      <c r="V497" s="666"/>
      <c r="W497" s="666"/>
      <c r="X497" s="666"/>
      <c r="Y497" s="667"/>
      <c r="Z497" s="667"/>
    </row>
    <row r="498" spans="1:26" ht="15.75" customHeight="1">
      <c r="A498" s="666"/>
      <c r="B498" s="666"/>
      <c r="C498" s="666"/>
      <c r="D498" s="666"/>
      <c r="E498" s="666"/>
      <c r="F498" s="666"/>
      <c r="G498" s="666"/>
      <c r="H498" s="666"/>
      <c r="I498" s="666"/>
      <c r="J498" s="666"/>
      <c r="K498" s="666"/>
      <c r="L498" s="666"/>
      <c r="M498" s="666"/>
      <c r="N498" s="666"/>
      <c r="O498" s="666"/>
      <c r="P498" s="666"/>
      <c r="Q498" s="666"/>
      <c r="R498" s="666"/>
      <c r="S498" s="666"/>
      <c r="T498" s="666"/>
      <c r="U498" s="666"/>
      <c r="V498" s="666"/>
      <c r="W498" s="666"/>
      <c r="X498" s="666"/>
      <c r="Y498" s="667"/>
      <c r="Z498" s="667"/>
    </row>
    <row r="499" spans="1:26" ht="15.75" customHeight="1">
      <c r="A499" s="666"/>
      <c r="B499" s="666"/>
      <c r="C499" s="666"/>
      <c r="D499" s="666"/>
      <c r="E499" s="666"/>
      <c r="F499" s="666"/>
      <c r="G499" s="666"/>
      <c r="H499" s="666"/>
      <c r="I499" s="666"/>
      <c r="J499" s="666"/>
      <c r="K499" s="666"/>
      <c r="L499" s="666"/>
      <c r="M499" s="666"/>
      <c r="N499" s="666"/>
      <c r="O499" s="666"/>
      <c r="P499" s="666"/>
      <c r="Q499" s="666"/>
      <c r="R499" s="666"/>
      <c r="S499" s="666"/>
      <c r="T499" s="666"/>
      <c r="U499" s="666"/>
      <c r="V499" s="666"/>
      <c r="W499" s="666"/>
      <c r="X499" s="666"/>
      <c r="Y499" s="667"/>
      <c r="Z499" s="667"/>
    </row>
    <row r="500" spans="1:26" ht="15.75" customHeight="1">
      <c r="A500" s="666"/>
      <c r="B500" s="666"/>
      <c r="C500" s="666"/>
      <c r="D500" s="666"/>
      <c r="E500" s="666"/>
      <c r="F500" s="666"/>
      <c r="G500" s="666"/>
      <c r="H500" s="666"/>
      <c r="I500" s="666"/>
      <c r="J500" s="666"/>
      <c r="K500" s="666"/>
      <c r="L500" s="666"/>
      <c r="M500" s="666"/>
      <c r="N500" s="666"/>
      <c r="O500" s="666"/>
      <c r="P500" s="666"/>
      <c r="Q500" s="666"/>
      <c r="R500" s="666"/>
      <c r="S500" s="666"/>
      <c r="T500" s="666"/>
      <c r="U500" s="666"/>
      <c r="V500" s="666"/>
      <c r="W500" s="666"/>
      <c r="X500" s="666"/>
      <c r="Y500" s="667"/>
      <c r="Z500" s="667"/>
    </row>
    <row r="501" spans="1:26" ht="15.75" customHeight="1">
      <c r="A501" s="666"/>
      <c r="B501" s="666"/>
      <c r="C501" s="666"/>
      <c r="D501" s="666"/>
      <c r="E501" s="666"/>
      <c r="F501" s="666"/>
      <c r="G501" s="666"/>
      <c r="H501" s="666"/>
      <c r="I501" s="666"/>
      <c r="J501" s="666"/>
      <c r="K501" s="666"/>
      <c r="L501" s="666"/>
      <c r="M501" s="666"/>
      <c r="N501" s="666"/>
      <c r="O501" s="666"/>
      <c r="P501" s="666"/>
      <c r="Q501" s="666"/>
      <c r="R501" s="666"/>
      <c r="S501" s="666"/>
      <c r="T501" s="666"/>
      <c r="U501" s="666"/>
      <c r="V501" s="666"/>
      <c r="W501" s="666"/>
      <c r="X501" s="666"/>
      <c r="Y501" s="667"/>
      <c r="Z501" s="667"/>
    </row>
    <row r="502" spans="1:26" ht="15.75" customHeight="1">
      <c r="A502" s="666"/>
      <c r="B502" s="666"/>
      <c r="C502" s="666"/>
      <c r="D502" s="666"/>
      <c r="E502" s="666"/>
      <c r="F502" s="666"/>
      <c r="G502" s="666"/>
      <c r="H502" s="666"/>
      <c r="I502" s="666"/>
      <c r="J502" s="666"/>
      <c r="K502" s="666"/>
      <c r="L502" s="666"/>
      <c r="M502" s="666"/>
      <c r="N502" s="666"/>
      <c r="O502" s="666"/>
      <c r="P502" s="666"/>
      <c r="Q502" s="666"/>
      <c r="R502" s="666"/>
      <c r="S502" s="666"/>
      <c r="T502" s="666"/>
      <c r="U502" s="666"/>
      <c r="V502" s="666"/>
      <c r="W502" s="666"/>
      <c r="X502" s="666"/>
      <c r="Y502" s="667"/>
      <c r="Z502" s="667"/>
    </row>
    <row r="503" spans="1:26" ht="15.75" customHeight="1">
      <c r="A503" s="666"/>
      <c r="B503" s="666"/>
      <c r="C503" s="666"/>
      <c r="D503" s="666"/>
      <c r="E503" s="666"/>
      <c r="F503" s="666"/>
      <c r="G503" s="666"/>
      <c r="H503" s="666"/>
      <c r="I503" s="666"/>
      <c r="J503" s="666"/>
      <c r="K503" s="666"/>
      <c r="L503" s="666"/>
      <c r="M503" s="666"/>
      <c r="N503" s="666"/>
      <c r="O503" s="666"/>
      <c r="P503" s="666"/>
      <c r="Q503" s="666"/>
      <c r="R503" s="666"/>
      <c r="S503" s="666"/>
      <c r="T503" s="666"/>
      <c r="U503" s="666"/>
      <c r="V503" s="666"/>
      <c r="W503" s="666"/>
      <c r="X503" s="666"/>
      <c r="Y503" s="667"/>
      <c r="Z503" s="667"/>
    </row>
    <row r="504" spans="1:26" ht="15.75" customHeight="1">
      <c r="A504" s="666"/>
      <c r="B504" s="666"/>
      <c r="C504" s="666"/>
      <c r="D504" s="666"/>
      <c r="E504" s="666"/>
      <c r="F504" s="666"/>
      <c r="G504" s="666"/>
      <c r="H504" s="666"/>
      <c r="I504" s="666"/>
      <c r="J504" s="666"/>
      <c r="K504" s="666"/>
      <c r="L504" s="666"/>
      <c r="M504" s="666"/>
      <c r="N504" s="666"/>
      <c r="O504" s="666"/>
      <c r="P504" s="666"/>
      <c r="Q504" s="666"/>
      <c r="R504" s="666"/>
      <c r="S504" s="666"/>
      <c r="T504" s="666"/>
      <c r="U504" s="666"/>
      <c r="V504" s="666"/>
      <c r="W504" s="666"/>
      <c r="X504" s="666"/>
      <c r="Y504" s="667"/>
      <c r="Z504" s="667"/>
    </row>
    <row r="505" spans="1:26" ht="15.75" customHeight="1">
      <c r="A505" s="666"/>
      <c r="B505" s="666"/>
      <c r="C505" s="666"/>
      <c r="D505" s="666"/>
      <c r="E505" s="666"/>
      <c r="F505" s="666"/>
      <c r="G505" s="666"/>
      <c r="H505" s="666"/>
      <c r="I505" s="666"/>
      <c r="J505" s="666"/>
      <c r="K505" s="666"/>
      <c r="L505" s="666"/>
      <c r="M505" s="666"/>
      <c r="N505" s="666"/>
      <c r="O505" s="666"/>
      <c r="P505" s="666"/>
      <c r="Q505" s="666"/>
      <c r="R505" s="666"/>
      <c r="S505" s="666"/>
      <c r="T505" s="666"/>
      <c r="U505" s="666"/>
      <c r="V505" s="666"/>
      <c r="W505" s="666"/>
      <c r="X505" s="666"/>
      <c r="Y505" s="667"/>
      <c r="Z505" s="667"/>
    </row>
    <row r="506" spans="1:26" ht="15.75" customHeight="1">
      <c r="A506" s="666"/>
      <c r="B506" s="666"/>
      <c r="C506" s="666"/>
      <c r="D506" s="666"/>
      <c r="E506" s="666"/>
      <c r="F506" s="666"/>
      <c r="G506" s="666"/>
      <c r="H506" s="666"/>
      <c r="I506" s="666"/>
      <c r="J506" s="666"/>
      <c r="K506" s="666"/>
      <c r="L506" s="666"/>
      <c r="M506" s="666"/>
      <c r="N506" s="666"/>
      <c r="O506" s="666"/>
      <c r="P506" s="666"/>
      <c r="Q506" s="666"/>
      <c r="R506" s="666"/>
      <c r="S506" s="666"/>
      <c r="T506" s="666"/>
      <c r="U506" s="666"/>
      <c r="V506" s="666"/>
      <c r="W506" s="666"/>
      <c r="X506" s="666"/>
      <c r="Y506" s="667"/>
      <c r="Z506" s="667"/>
    </row>
    <row r="507" spans="1:26" ht="15.75" customHeight="1">
      <c r="A507" s="666"/>
      <c r="B507" s="666"/>
      <c r="C507" s="666"/>
      <c r="D507" s="666"/>
      <c r="E507" s="666"/>
      <c r="F507" s="666"/>
      <c r="G507" s="666"/>
      <c r="H507" s="666"/>
      <c r="I507" s="666"/>
      <c r="J507" s="666"/>
      <c r="K507" s="666"/>
      <c r="L507" s="666"/>
      <c r="M507" s="666"/>
      <c r="N507" s="666"/>
      <c r="O507" s="666"/>
      <c r="P507" s="666"/>
      <c r="Q507" s="666"/>
      <c r="R507" s="666"/>
      <c r="S507" s="666"/>
      <c r="T507" s="666"/>
      <c r="U507" s="666"/>
      <c r="V507" s="666"/>
      <c r="W507" s="666"/>
      <c r="X507" s="666"/>
      <c r="Y507" s="667"/>
      <c r="Z507" s="667"/>
    </row>
    <row r="508" spans="1:26" ht="15.75" customHeight="1">
      <c r="A508" s="666"/>
      <c r="B508" s="666"/>
      <c r="C508" s="666"/>
      <c r="D508" s="666"/>
      <c r="E508" s="666"/>
      <c r="F508" s="666"/>
      <c r="G508" s="666"/>
      <c r="H508" s="666"/>
      <c r="I508" s="666"/>
      <c r="J508" s="666"/>
      <c r="K508" s="666"/>
      <c r="L508" s="666"/>
      <c r="M508" s="666"/>
      <c r="N508" s="666"/>
      <c r="O508" s="666"/>
      <c r="P508" s="666"/>
      <c r="Q508" s="666"/>
      <c r="R508" s="666"/>
      <c r="S508" s="666"/>
      <c r="T508" s="666"/>
      <c r="U508" s="666"/>
      <c r="V508" s="666"/>
      <c r="W508" s="666"/>
      <c r="X508" s="666"/>
      <c r="Y508" s="667"/>
      <c r="Z508" s="667"/>
    </row>
    <row r="509" spans="1:26" ht="15.75" customHeight="1">
      <c r="A509" s="666"/>
      <c r="B509" s="666"/>
      <c r="C509" s="666"/>
      <c r="D509" s="666"/>
      <c r="E509" s="666"/>
      <c r="F509" s="666"/>
      <c r="G509" s="666"/>
      <c r="H509" s="666"/>
      <c r="I509" s="666"/>
      <c r="J509" s="666"/>
      <c r="K509" s="666"/>
      <c r="L509" s="666"/>
      <c r="M509" s="666"/>
      <c r="N509" s="666"/>
      <c r="O509" s="666"/>
      <c r="P509" s="666"/>
      <c r="Q509" s="666"/>
      <c r="R509" s="666"/>
      <c r="S509" s="666"/>
      <c r="T509" s="666"/>
      <c r="U509" s="666"/>
      <c r="V509" s="666"/>
      <c r="W509" s="666"/>
      <c r="X509" s="666"/>
      <c r="Y509" s="667"/>
      <c r="Z509" s="667"/>
    </row>
    <row r="510" spans="1:26" ht="15.75" customHeight="1">
      <c r="A510" s="666"/>
      <c r="B510" s="666"/>
      <c r="C510" s="666"/>
      <c r="D510" s="666"/>
      <c r="E510" s="666"/>
      <c r="F510" s="666"/>
      <c r="G510" s="666"/>
      <c r="H510" s="666"/>
      <c r="I510" s="666"/>
      <c r="J510" s="666"/>
      <c r="K510" s="666"/>
      <c r="L510" s="666"/>
      <c r="M510" s="666"/>
      <c r="N510" s="666"/>
      <c r="O510" s="666"/>
      <c r="P510" s="666"/>
      <c r="Q510" s="666"/>
      <c r="R510" s="666"/>
      <c r="S510" s="666"/>
      <c r="T510" s="666"/>
      <c r="U510" s="666"/>
      <c r="V510" s="666"/>
      <c r="W510" s="666"/>
      <c r="X510" s="666"/>
      <c r="Y510" s="667"/>
      <c r="Z510" s="667"/>
    </row>
    <row r="511" spans="1:26" ht="15.75" customHeight="1">
      <c r="A511" s="666"/>
      <c r="B511" s="666"/>
      <c r="C511" s="666"/>
      <c r="D511" s="666"/>
      <c r="E511" s="666"/>
      <c r="F511" s="666"/>
      <c r="G511" s="666"/>
      <c r="H511" s="666"/>
      <c r="I511" s="666"/>
      <c r="J511" s="666"/>
      <c r="K511" s="666"/>
      <c r="L511" s="666"/>
      <c r="M511" s="666"/>
      <c r="N511" s="666"/>
      <c r="O511" s="666"/>
      <c r="P511" s="666"/>
      <c r="Q511" s="666"/>
      <c r="R511" s="666"/>
      <c r="S511" s="666"/>
      <c r="T511" s="666"/>
      <c r="U511" s="666"/>
      <c r="V511" s="666"/>
      <c r="W511" s="666"/>
      <c r="X511" s="666"/>
      <c r="Y511" s="667"/>
      <c r="Z511" s="667"/>
    </row>
    <row r="512" spans="1:26" ht="15.75" customHeight="1">
      <c r="A512" s="666"/>
      <c r="B512" s="666"/>
      <c r="C512" s="666"/>
      <c r="D512" s="666"/>
      <c r="E512" s="666"/>
      <c r="F512" s="666"/>
      <c r="G512" s="666"/>
      <c r="H512" s="666"/>
      <c r="I512" s="666"/>
      <c r="J512" s="666"/>
      <c r="K512" s="666"/>
      <c r="L512" s="666"/>
      <c r="M512" s="666"/>
      <c r="N512" s="666"/>
      <c r="O512" s="666"/>
      <c r="P512" s="666"/>
      <c r="Q512" s="666"/>
      <c r="R512" s="666"/>
      <c r="S512" s="666"/>
      <c r="T512" s="666"/>
      <c r="U512" s="666"/>
      <c r="V512" s="666"/>
      <c r="W512" s="666"/>
      <c r="X512" s="666"/>
      <c r="Y512" s="667"/>
      <c r="Z512" s="667"/>
    </row>
    <row r="513" spans="1:26" ht="15.75" customHeight="1">
      <c r="A513" s="666"/>
      <c r="B513" s="666"/>
      <c r="C513" s="666"/>
      <c r="D513" s="666"/>
      <c r="E513" s="666"/>
      <c r="F513" s="666"/>
      <c r="G513" s="666"/>
      <c r="H513" s="666"/>
      <c r="I513" s="666"/>
      <c r="J513" s="666"/>
      <c r="K513" s="666"/>
      <c r="L513" s="666"/>
      <c r="M513" s="666"/>
      <c r="N513" s="666"/>
      <c r="O513" s="666"/>
      <c r="P513" s="666"/>
      <c r="Q513" s="666"/>
      <c r="R513" s="666"/>
      <c r="S513" s="666"/>
      <c r="T513" s="666"/>
      <c r="U513" s="666"/>
      <c r="V513" s="666"/>
      <c r="W513" s="666"/>
      <c r="X513" s="666"/>
      <c r="Y513" s="667"/>
      <c r="Z513" s="667"/>
    </row>
    <row r="514" spans="1:26" ht="15.75" customHeight="1">
      <c r="A514" s="666"/>
      <c r="B514" s="666"/>
      <c r="C514" s="666"/>
      <c r="D514" s="666"/>
      <c r="E514" s="666"/>
      <c r="F514" s="666"/>
      <c r="G514" s="666"/>
      <c r="H514" s="666"/>
      <c r="I514" s="666"/>
      <c r="J514" s="666"/>
      <c r="K514" s="666"/>
      <c r="L514" s="666"/>
      <c r="M514" s="666"/>
      <c r="N514" s="666"/>
      <c r="O514" s="666"/>
      <c r="P514" s="666"/>
      <c r="Q514" s="666"/>
      <c r="R514" s="666"/>
      <c r="S514" s="666"/>
      <c r="T514" s="666"/>
      <c r="U514" s="666"/>
      <c r="V514" s="666"/>
      <c r="W514" s="666"/>
      <c r="X514" s="666"/>
      <c r="Y514" s="667"/>
      <c r="Z514" s="667"/>
    </row>
    <row r="515" spans="1:26" ht="15.75" customHeight="1">
      <c r="A515" s="666"/>
      <c r="B515" s="666"/>
      <c r="C515" s="666"/>
      <c r="D515" s="666"/>
      <c r="E515" s="666"/>
      <c r="F515" s="666"/>
      <c r="G515" s="666"/>
      <c r="H515" s="666"/>
      <c r="I515" s="666"/>
      <c r="J515" s="666"/>
      <c r="K515" s="666"/>
      <c r="L515" s="666"/>
      <c r="M515" s="666"/>
      <c r="N515" s="666"/>
      <c r="O515" s="666"/>
      <c r="P515" s="666"/>
      <c r="Q515" s="666"/>
      <c r="R515" s="666"/>
      <c r="S515" s="666"/>
      <c r="T515" s="666"/>
      <c r="U515" s="666"/>
      <c r="V515" s="666"/>
      <c r="W515" s="666"/>
      <c r="X515" s="666"/>
      <c r="Y515" s="667"/>
      <c r="Z515" s="667"/>
    </row>
    <row r="516" spans="1:26" ht="15.75" customHeight="1">
      <c r="A516" s="666"/>
      <c r="B516" s="666"/>
      <c r="C516" s="666"/>
      <c r="D516" s="666"/>
      <c r="E516" s="666"/>
      <c r="F516" s="666"/>
      <c r="G516" s="666"/>
      <c r="H516" s="666"/>
      <c r="I516" s="666"/>
      <c r="J516" s="666"/>
      <c r="K516" s="666"/>
      <c r="L516" s="666"/>
      <c r="M516" s="666"/>
      <c r="N516" s="666"/>
      <c r="O516" s="666"/>
      <c r="P516" s="666"/>
      <c r="Q516" s="666"/>
      <c r="R516" s="666"/>
      <c r="S516" s="666"/>
      <c r="T516" s="666"/>
      <c r="U516" s="666"/>
      <c r="V516" s="666"/>
      <c r="W516" s="666"/>
      <c r="X516" s="666"/>
      <c r="Y516" s="667"/>
      <c r="Z516" s="667"/>
    </row>
    <row r="517" spans="1:26" ht="15.75" customHeight="1">
      <c r="A517" s="666"/>
      <c r="B517" s="666"/>
      <c r="C517" s="666"/>
      <c r="D517" s="666"/>
      <c r="E517" s="666"/>
      <c r="F517" s="666"/>
      <c r="G517" s="666"/>
      <c r="H517" s="666"/>
      <c r="I517" s="666"/>
      <c r="J517" s="666"/>
      <c r="K517" s="666"/>
      <c r="L517" s="666"/>
      <c r="M517" s="666"/>
      <c r="N517" s="666"/>
      <c r="O517" s="666"/>
      <c r="P517" s="666"/>
      <c r="Q517" s="666"/>
      <c r="R517" s="666"/>
      <c r="S517" s="666"/>
      <c r="T517" s="666"/>
      <c r="U517" s="666"/>
      <c r="V517" s="666"/>
      <c r="W517" s="666"/>
      <c r="X517" s="666"/>
      <c r="Y517" s="667"/>
      <c r="Z517" s="667"/>
    </row>
    <row r="518" spans="1:26" ht="15.75" customHeight="1">
      <c r="A518" s="666"/>
      <c r="B518" s="666"/>
      <c r="C518" s="666"/>
      <c r="D518" s="666"/>
      <c r="E518" s="666"/>
      <c r="F518" s="666"/>
      <c r="G518" s="666"/>
      <c r="H518" s="666"/>
      <c r="I518" s="666"/>
      <c r="J518" s="666"/>
      <c r="K518" s="666"/>
      <c r="L518" s="666"/>
      <c r="M518" s="666"/>
      <c r="N518" s="666"/>
      <c r="O518" s="666"/>
      <c r="P518" s="666"/>
      <c r="Q518" s="666"/>
      <c r="R518" s="666"/>
      <c r="S518" s="666"/>
      <c r="T518" s="666"/>
      <c r="U518" s="666"/>
      <c r="V518" s="666"/>
      <c r="W518" s="666"/>
      <c r="X518" s="666"/>
      <c r="Y518" s="667"/>
      <c r="Z518" s="667"/>
    </row>
    <row r="519" spans="1:26" ht="15.75" customHeight="1">
      <c r="A519" s="666"/>
      <c r="B519" s="666"/>
      <c r="C519" s="666"/>
      <c r="D519" s="666"/>
      <c r="E519" s="666"/>
      <c r="F519" s="666"/>
      <c r="G519" s="666"/>
      <c r="H519" s="666"/>
      <c r="I519" s="666"/>
      <c r="J519" s="666"/>
      <c r="K519" s="666"/>
      <c r="L519" s="666"/>
      <c r="M519" s="666"/>
      <c r="N519" s="666"/>
      <c r="O519" s="666"/>
      <c r="P519" s="666"/>
      <c r="Q519" s="666"/>
      <c r="R519" s="666"/>
      <c r="S519" s="666"/>
      <c r="T519" s="666"/>
      <c r="U519" s="666"/>
      <c r="V519" s="666"/>
      <c r="W519" s="666"/>
      <c r="X519" s="666"/>
      <c r="Y519" s="667"/>
      <c r="Z519" s="667"/>
    </row>
    <row r="520" spans="1:26" ht="15.75" customHeight="1">
      <c r="A520" s="666"/>
      <c r="B520" s="666"/>
      <c r="C520" s="666"/>
      <c r="D520" s="666"/>
      <c r="E520" s="666"/>
      <c r="F520" s="666"/>
      <c r="G520" s="666"/>
      <c r="H520" s="666"/>
      <c r="I520" s="666"/>
      <c r="J520" s="666"/>
      <c r="K520" s="666"/>
      <c r="L520" s="666"/>
      <c r="M520" s="666"/>
      <c r="N520" s="666"/>
      <c r="O520" s="666"/>
      <c r="P520" s="666"/>
      <c r="Q520" s="666"/>
      <c r="R520" s="666"/>
      <c r="S520" s="666"/>
      <c r="T520" s="666"/>
      <c r="U520" s="666"/>
      <c r="V520" s="666"/>
      <c r="W520" s="666"/>
      <c r="X520" s="666"/>
      <c r="Y520" s="667"/>
      <c r="Z520" s="667"/>
    </row>
    <row r="521" spans="1:26" ht="15.75" customHeight="1">
      <c r="A521" s="666"/>
      <c r="B521" s="666"/>
      <c r="C521" s="666"/>
      <c r="D521" s="666"/>
      <c r="E521" s="666"/>
      <c r="F521" s="666"/>
      <c r="G521" s="666"/>
      <c r="H521" s="666"/>
      <c r="I521" s="666"/>
      <c r="J521" s="666"/>
      <c r="K521" s="666"/>
      <c r="L521" s="666"/>
      <c r="M521" s="666"/>
      <c r="N521" s="666"/>
      <c r="O521" s="666"/>
      <c r="P521" s="666"/>
      <c r="Q521" s="666"/>
      <c r="R521" s="666"/>
      <c r="S521" s="666"/>
      <c r="T521" s="666"/>
      <c r="U521" s="666"/>
      <c r="V521" s="666"/>
      <c r="W521" s="666"/>
      <c r="X521" s="666"/>
      <c r="Y521" s="667"/>
      <c r="Z521" s="667"/>
    </row>
    <row r="522" spans="1:26" ht="15.75" customHeight="1">
      <c r="A522" s="666"/>
      <c r="B522" s="666"/>
      <c r="C522" s="666"/>
      <c r="D522" s="666"/>
      <c r="E522" s="666"/>
      <c r="F522" s="666"/>
      <c r="G522" s="666"/>
      <c r="H522" s="666"/>
      <c r="I522" s="666"/>
      <c r="J522" s="666"/>
      <c r="K522" s="666"/>
      <c r="L522" s="666"/>
      <c r="M522" s="666"/>
      <c r="N522" s="666"/>
      <c r="O522" s="666"/>
      <c r="P522" s="666"/>
      <c r="Q522" s="666"/>
      <c r="R522" s="666"/>
      <c r="S522" s="666"/>
      <c r="T522" s="666"/>
      <c r="U522" s="666"/>
      <c r="V522" s="666"/>
      <c r="W522" s="666"/>
      <c r="X522" s="666"/>
      <c r="Y522" s="667"/>
      <c r="Z522" s="667"/>
    </row>
    <row r="523" spans="1:26" ht="15.75" customHeight="1">
      <c r="A523" s="666"/>
      <c r="B523" s="666"/>
      <c r="C523" s="666"/>
      <c r="D523" s="666"/>
      <c r="E523" s="666"/>
      <c r="F523" s="666"/>
      <c r="G523" s="666"/>
      <c r="H523" s="666"/>
      <c r="I523" s="666"/>
      <c r="J523" s="666"/>
      <c r="K523" s="666"/>
      <c r="L523" s="666"/>
      <c r="M523" s="666"/>
      <c r="N523" s="666"/>
      <c r="O523" s="666"/>
      <c r="P523" s="666"/>
      <c r="Q523" s="666"/>
      <c r="R523" s="666"/>
      <c r="S523" s="666"/>
      <c r="T523" s="666"/>
      <c r="U523" s="666"/>
      <c r="V523" s="666"/>
      <c r="W523" s="666"/>
      <c r="X523" s="666"/>
      <c r="Y523" s="667"/>
      <c r="Z523" s="667"/>
    </row>
    <row r="524" spans="1:26" ht="15.75" customHeight="1">
      <c r="A524" s="666"/>
      <c r="B524" s="666"/>
      <c r="C524" s="666"/>
      <c r="D524" s="666"/>
      <c r="E524" s="666"/>
      <c r="F524" s="666"/>
      <c r="G524" s="666"/>
      <c r="H524" s="666"/>
      <c r="I524" s="666"/>
      <c r="J524" s="666"/>
      <c r="K524" s="666"/>
      <c r="L524" s="666"/>
      <c r="M524" s="666"/>
      <c r="N524" s="666"/>
      <c r="O524" s="666"/>
      <c r="P524" s="666"/>
      <c r="Q524" s="666"/>
      <c r="R524" s="666"/>
      <c r="S524" s="666"/>
      <c r="T524" s="666"/>
      <c r="U524" s="666"/>
      <c r="V524" s="666"/>
      <c r="W524" s="666"/>
      <c r="X524" s="666"/>
      <c r="Y524" s="667"/>
      <c r="Z524" s="667"/>
    </row>
    <row r="525" spans="1:26" ht="15.75" customHeight="1">
      <c r="A525" s="666"/>
      <c r="B525" s="666"/>
      <c r="C525" s="666"/>
      <c r="D525" s="666"/>
      <c r="E525" s="666"/>
      <c r="F525" s="666"/>
      <c r="G525" s="666"/>
      <c r="H525" s="666"/>
      <c r="I525" s="666"/>
      <c r="J525" s="666"/>
      <c r="K525" s="666"/>
      <c r="L525" s="666"/>
      <c r="M525" s="666"/>
      <c r="N525" s="666"/>
      <c r="O525" s="666"/>
      <c r="P525" s="666"/>
      <c r="Q525" s="666"/>
      <c r="R525" s="666"/>
      <c r="S525" s="666"/>
      <c r="T525" s="666"/>
      <c r="U525" s="666"/>
      <c r="V525" s="666"/>
      <c r="W525" s="666"/>
      <c r="X525" s="666"/>
      <c r="Y525" s="667"/>
      <c r="Z525" s="667"/>
    </row>
    <row r="526" spans="1:26" ht="15.75" customHeight="1">
      <c r="A526" s="666"/>
      <c r="B526" s="666"/>
      <c r="C526" s="666"/>
      <c r="D526" s="666"/>
      <c r="E526" s="666"/>
      <c r="F526" s="666"/>
      <c r="G526" s="666"/>
      <c r="H526" s="666"/>
      <c r="I526" s="666"/>
      <c r="J526" s="666"/>
      <c r="K526" s="666"/>
      <c r="L526" s="666"/>
      <c r="M526" s="666"/>
      <c r="N526" s="666"/>
      <c r="O526" s="666"/>
      <c r="P526" s="666"/>
      <c r="Q526" s="666"/>
      <c r="R526" s="666"/>
      <c r="S526" s="666"/>
      <c r="T526" s="666"/>
      <c r="U526" s="666"/>
      <c r="V526" s="666"/>
      <c r="W526" s="666"/>
      <c r="X526" s="666"/>
      <c r="Y526" s="667"/>
      <c r="Z526" s="667"/>
    </row>
    <row r="527" spans="1:26" ht="15.75" customHeight="1">
      <c r="A527" s="666"/>
      <c r="B527" s="666"/>
      <c r="C527" s="666"/>
      <c r="D527" s="666"/>
      <c r="E527" s="666"/>
      <c r="F527" s="666"/>
      <c r="G527" s="666"/>
      <c r="H527" s="666"/>
      <c r="I527" s="666"/>
      <c r="J527" s="666"/>
      <c r="K527" s="666"/>
      <c r="L527" s="666"/>
      <c r="M527" s="666"/>
      <c r="N527" s="666"/>
      <c r="O527" s="666"/>
      <c r="P527" s="666"/>
      <c r="Q527" s="666"/>
      <c r="R527" s="666"/>
      <c r="S527" s="666"/>
      <c r="T527" s="666"/>
      <c r="U527" s="666"/>
      <c r="V527" s="666"/>
      <c r="W527" s="666"/>
      <c r="X527" s="666"/>
      <c r="Y527" s="667"/>
      <c r="Z527" s="667"/>
    </row>
    <row r="528" spans="1:26" ht="15.75" customHeight="1">
      <c r="A528" s="666"/>
      <c r="B528" s="666"/>
      <c r="C528" s="666"/>
      <c r="D528" s="666"/>
      <c r="E528" s="666"/>
      <c r="F528" s="666"/>
      <c r="G528" s="666"/>
      <c r="H528" s="666"/>
      <c r="I528" s="666"/>
      <c r="J528" s="666"/>
      <c r="K528" s="666"/>
      <c r="L528" s="666"/>
      <c r="M528" s="666"/>
      <c r="N528" s="666"/>
      <c r="O528" s="666"/>
      <c r="P528" s="666"/>
      <c r="Q528" s="666"/>
      <c r="R528" s="666"/>
      <c r="S528" s="666"/>
      <c r="T528" s="666"/>
      <c r="U528" s="666"/>
      <c r="V528" s="666"/>
      <c r="W528" s="666"/>
      <c r="X528" s="666"/>
      <c r="Y528" s="667"/>
      <c r="Z528" s="667"/>
    </row>
    <row r="529" spans="1:26" ht="15.75" customHeight="1">
      <c r="A529" s="666"/>
      <c r="B529" s="666"/>
      <c r="C529" s="666"/>
      <c r="D529" s="666"/>
      <c r="E529" s="666"/>
      <c r="F529" s="666"/>
      <c r="G529" s="666"/>
      <c r="H529" s="666"/>
      <c r="I529" s="666"/>
      <c r="J529" s="666"/>
      <c r="K529" s="666"/>
      <c r="L529" s="666"/>
      <c r="M529" s="666"/>
      <c r="N529" s="666"/>
      <c r="O529" s="666"/>
      <c r="P529" s="666"/>
      <c r="Q529" s="666"/>
      <c r="R529" s="666"/>
      <c r="S529" s="666"/>
      <c r="T529" s="666"/>
      <c r="U529" s="666"/>
      <c r="V529" s="666"/>
      <c r="W529" s="666"/>
      <c r="X529" s="666"/>
      <c r="Y529" s="667"/>
      <c r="Z529" s="667"/>
    </row>
    <row r="530" spans="1:26" ht="15.75" customHeight="1">
      <c r="A530" s="666"/>
      <c r="B530" s="666"/>
      <c r="C530" s="666"/>
      <c r="D530" s="666"/>
      <c r="E530" s="666"/>
      <c r="F530" s="666"/>
      <c r="G530" s="666"/>
      <c r="H530" s="666"/>
      <c r="I530" s="666"/>
      <c r="J530" s="666"/>
      <c r="K530" s="666"/>
      <c r="L530" s="666"/>
      <c r="M530" s="666"/>
      <c r="N530" s="666"/>
      <c r="O530" s="666"/>
      <c r="P530" s="666"/>
      <c r="Q530" s="666"/>
      <c r="R530" s="666"/>
      <c r="S530" s="666"/>
      <c r="T530" s="666"/>
      <c r="U530" s="666"/>
      <c r="V530" s="666"/>
      <c r="W530" s="666"/>
      <c r="X530" s="666"/>
      <c r="Y530" s="667"/>
      <c r="Z530" s="667"/>
    </row>
    <row r="531" spans="1:26" ht="15.75" customHeight="1">
      <c r="A531" s="666"/>
      <c r="B531" s="666"/>
      <c r="C531" s="666"/>
      <c r="D531" s="666"/>
      <c r="E531" s="666"/>
      <c r="F531" s="666"/>
      <c r="G531" s="666"/>
      <c r="H531" s="666"/>
      <c r="I531" s="666"/>
      <c r="J531" s="666"/>
      <c r="K531" s="666"/>
      <c r="L531" s="666"/>
      <c r="M531" s="666"/>
      <c r="N531" s="666"/>
      <c r="O531" s="666"/>
      <c r="P531" s="666"/>
      <c r="Q531" s="666"/>
      <c r="R531" s="666"/>
      <c r="S531" s="666"/>
      <c r="T531" s="666"/>
      <c r="U531" s="666"/>
      <c r="V531" s="666"/>
      <c r="W531" s="666"/>
      <c r="X531" s="666"/>
      <c r="Y531" s="667"/>
      <c r="Z531" s="667"/>
    </row>
    <row r="532" spans="1:26" ht="15.75" customHeight="1">
      <c r="A532" s="666"/>
      <c r="B532" s="666"/>
      <c r="C532" s="666"/>
      <c r="D532" s="666"/>
      <c r="E532" s="666"/>
      <c r="F532" s="666"/>
      <c r="G532" s="666"/>
      <c r="H532" s="666"/>
      <c r="I532" s="666"/>
      <c r="J532" s="666"/>
      <c r="K532" s="666"/>
      <c r="L532" s="666"/>
      <c r="M532" s="666"/>
      <c r="N532" s="666"/>
      <c r="O532" s="666"/>
      <c r="P532" s="666"/>
      <c r="Q532" s="666"/>
      <c r="R532" s="666"/>
      <c r="S532" s="666"/>
      <c r="T532" s="666"/>
      <c r="U532" s="666"/>
      <c r="V532" s="666"/>
      <c r="W532" s="666"/>
      <c r="X532" s="666"/>
      <c r="Y532" s="667"/>
      <c r="Z532" s="667"/>
    </row>
    <row r="533" spans="1:26" ht="15.75" customHeight="1">
      <c r="A533" s="666"/>
      <c r="B533" s="666"/>
      <c r="C533" s="666"/>
      <c r="D533" s="666"/>
      <c r="E533" s="666"/>
      <c r="F533" s="666"/>
      <c r="G533" s="666"/>
      <c r="H533" s="666"/>
      <c r="I533" s="666"/>
      <c r="J533" s="666"/>
      <c r="K533" s="666"/>
      <c r="L533" s="666"/>
      <c r="M533" s="666"/>
      <c r="N533" s="666"/>
      <c r="O533" s="666"/>
      <c r="P533" s="666"/>
      <c r="Q533" s="666"/>
      <c r="R533" s="666"/>
      <c r="S533" s="666"/>
      <c r="T533" s="666"/>
      <c r="U533" s="666"/>
      <c r="V533" s="666"/>
      <c r="W533" s="666"/>
      <c r="X533" s="666"/>
      <c r="Y533" s="667"/>
      <c r="Z533" s="667"/>
    </row>
    <row r="534" spans="1:26" ht="15.75" customHeight="1">
      <c r="A534" s="666"/>
      <c r="B534" s="666"/>
      <c r="C534" s="666"/>
      <c r="D534" s="666"/>
      <c r="E534" s="666"/>
      <c r="F534" s="666"/>
      <c r="G534" s="666"/>
      <c r="H534" s="666"/>
      <c r="I534" s="666"/>
      <c r="J534" s="666"/>
      <c r="K534" s="666"/>
      <c r="L534" s="666"/>
      <c r="M534" s="666"/>
      <c r="N534" s="666"/>
      <c r="O534" s="666"/>
      <c r="P534" s="666"/>
      <c r="Q534" s="666"/>
      <c r="R534" s="666"/>
      <c r="S534" s="666"/>
      <c r="T534" s="666"/>
      <c r="U534" s="666"/>
      <c r="V534" s="666"/>
      <c r="W534" s="666"/>
      <c r="X534" s="666"/>
      <c r="Y534" s="667"/>
      <c r="Z534" s="667"/>
    </row>
    <row r="535" spans="1:26" ht="15.75" customHeight="1">
      <c r="A535" s="666"/>
      <c r="B535" s="666"/>
      <c r="C535" s="666"/>
      <c r="D535" s="666"/>
      <c r="E535" s="666"/>
      <c r="F535" s="666"/>
      <c r="G535" s="666"/>
      <c r="H535" s="666"/>
      <c r="I535" s="666"/>
      <c r="J535" s="666"/>
      <c r="K535" s="666"/>
      <c r="L535" s="666"/>
      <c r="M535" s="666"/>
      <c r="N535" s="666"/>
      <c r="O535" s="666"/>
      <c r="P535" s="666"/>
      <c r="Q535" s="666"/>
      <c r="R535" s="666"/>
      <c r="S535" s="666"/>
      <c r="T535" s="666"/>
      <c r="U535" s="666"/>
      <c r="V535" s="666"/>
      <c r="W535" s="666"/>
      <c r="X535" s="666"/>
      <c r="Y535" s="667"/>
      <c r="Z535" s="667"/>
    </row>
    <row r="536" spans="1:26" ht="15.75" customHeight="1">
      <c r="A536" s="666"/>
      <c r="B536" s="666"/>
      <c r="C536" s="666"/>
      <c r="D536" s="666"/>
      <c r="E536" s="666"/>
      <c r="F536" s="666"/>
      <c r="G536" s="666"/>
      <c r="H536" s="666"/>
      <c r="I536" s="666"/>
      <c r="J536" s="666"/>
      <c r="K536" s="666"/>
      <c r="L536" s="666"/>
      <c r="M536" s="666"/>
      <c r="N536" s="666"/>
      <c r="O536" s="666"/>
      <c r="P536" s="666"/>
      <c r="Q536" s="666"/>
      <c r="R536" s="666"/>
      <c r="S536" s="666"/>
      <c r="T536" s="666"/>
      <c r="U536" s="666"/>
      <c r="V536" s="666"/>
      <c r="W536" s="666"/>
      <c r="X536" s="666"/>
      <c r="Y536" s="667"/>
      <c r="Z536" s="667"/>
    </row>
    <row r="537" spans="1:26" ht="15.75" customHeight="1">
      <c r="A537" s="666"/>
      <c r="B537" s="666"/>
      <c r="C537" s="666"/>
      <c r="D537" s="666"/>
      <c r="E537" s="666"/>
      <c r="F537" s="666"/>
      <c r="G537" s="666"/>
      <c r="H537" s="666"/>
      <c r="I537" s="666"/>
      <c r="J537" s="666"/>
      <c r="K537" s="666"/>
      <c r="L537" s="666"/>
      <c r="M537" s="666"/>
      <c r="N537" s="666"/>
      <c r="O537" s="666"/>
      <c r="P537" s="666"/>
      <c r="Q537" s="666"/>
      <c r="R537" s="666"/>
      <c r="S537" s="666"/>
      <c r="T537" s="666"/>
      <c r="U537" s="666"/>
      <c r="V537" s="666"/>
      <c r="W537" s="666"/>
      <c r="X537" s="666"/>
      <c r="Y537" s="667"/>
      <c r="Z537" s="667"/>
    </row>
    <row r="538" spans="1:26" ht="15.75" customHeight="1">
      <c r="A538" s="666"/>
      <c r="B538" s="666"/>
      <c r="C538" s="666"/>
      <c r="D538" s="666"/>
      <c r="E538" s="666"/>
      <c r="F538" s="666"/>
      <c r="G538" s="666"/>
      <c r="H538" s="666"/>
      <c r="I538" s="666"/>
      <c r="J538" s="666"/>
      <c r="K538" s="666"/>
      <c r="L538" s="666"/>
      <c r="M538" s="666"/>
      <c r="N538" s="666"/>
      <c r="O538" s="666"/>
      <c r="P538" s="666"/>
      <c r="Q538" s="666"/>
      <c r="R538" s="666"/>
      <c r="S538" s="666"/>
      <c r="T538" s="666"/>
      <c r="U538" s="666"/>
      <c r="V538" s="666"/>
      <c r="W538" s="666"/>
      <c r="X538" s="666"/>
      <c r="Y538" s="667"/>
      <c r="Z538" s="667"/>
    </row>
    <row r="539" spans="1:26" ht="15.75" customHeight="1">
      <c r="A539" s="666"/>
      <c r="B539" s="666"/>
      <c r="C539" s="666"/>
      <c r="D539" s="666"/>
      <c r="E539" s="666"/>
      <c r="F539" s="666"/>
      <c r="G539" s="666"/>
      <c r="H539" s="666"/>
      <c r="I539" s="666"/>
      <c r="J539" s="666"/>
      <c r="K539" s="666"/>
      <c r="L539" s="666"/>
      <c r="M539" s="666"/>
      <c r="N539" s="666"/>
      <c r="O539" s="666"/>
      <c r="P539" s="666"/>
      <c r="Q539" s="666"/>
      <c r="R539" s="666"/>
      <c r="S539" s="666"/>
      <c r="T539" s="666"/>
      <c r="U539" s="666"/>
      <c r="V539" s="666"/>
      <c r="W539" s="666"/>
      <c r="X539" s="666"/>
      <c r="Y539" s="667"/>
      <c r="Z539" s="667"/>
    </row>
    <row r="540" spans="1:26" ht="15.75" customHeight="1">
      <c r="A540" s="666"/>
      <c r="B540" s="666"/>
      <c r="C540" s="666"/>
      <c r="D540" s="666"/>
      <c r="E540" s="666"/>
      <c r="F540" s="666"/>
      <c r="G540" s="666"/>
      <c r="H540" s="666"/>
      <c r="I540" s="666"/>
      <c r="J540" s="666"/>
      <c r="K540" s="666"/>
      <c r="L540" s="666"/>
      <c r="M540" s="666"/>
      <c r="N540" s="666"/>
      <c r="O540" s="666"/>
      <c r="P540" s="666"/>
      <c r="Q540" s="666"/>
      <c r="R540" s="666"/>
      <c r="S540" s="666"/>
      <c r="T540" s="666"/>
      <c r="U540" s="666"/>
      <c r="V540" s="666"/>
      <c r="W540" s="666"/>
      <c r="X540" s="666"/>
      <c r="Y540" s="667"/>
      <c r="Z540" s="667"/>
    </row>
    <row r="541" spans="1:26" ht="15.75" customHeight="1">
      <c r="A541" s="666"/>
      <c r="B541" s="666"/>
      <c r="C541" s="666"/>
      <c r="D541" s="666"/>
      <c r="E541" s="666"/>
      <c r="F541" s="666"/>
      <c r="G541" s="666"/>
      <c r="H541" s="666"/>
      <c r="I541" s="666"/>
      <c r="J541" s="666"/>
      <c r="K541" s="666"/>
      <c r="L541" s="666"/>
      <c r="M541" s="666"/>
      <c r="N541" s="666"/>
      <c r="O541" s="666"/>
      <c r="P541" s="666"/>
      <c r="Q541" s="666"/>
      <c r="R541" s="666"/>
      <c r="S541" s="666"/>
      <c r="T541" s="666"/>
      <c r="U541" s="666"/>
      <c r="V541" s="666"/>
      <c r="W541" s="666"/>
      <c r="X541" s="666"/>
      <c r="Y541" s="667"/>
      <c r="Z541" s="667"/>
    </row>
    <row r="542" spans="1:26" ht="15.75" customHeight="1">
      <c r="A542" s="666"/>
      <c r="B542" s="666"/>
      <c r="C542" s="666"/>
      <c r="D542" s="666"/>
      <c r="E542" s="666"/>
      <c r="F542" s="666"/>
      <c r="G542" s="666"/>
      <c r="H542" s="666"/>
      <c r="I542" s="666"/>
      <c r="J542" s="666"/>
      <c r="K542" s="666"/>
      <c r="L542" s="666"/>
      <c r="M542" s="666"/>
      <c r="N542" s="666"/>
      <c r="O542" s="666"/>
      <c r="P542" s="666"/>
      <c r="Q542" s="666"/>
      <c r="R542" s="666"/>
      <c r="S542" s="666"/>
      <c r="T542" s="666"/>
      <c r="U542" s="666"/>
      <c r="V542" s="666"/>
      <c r="W542" s="666"/>
      <c r="X542" s="666"/>
      <c r="Y542" s="667"/>
      <c r="Z542" s="667"/>
    </row>
    <row r="543" spans="1:26" ht="15.75" customHeight="1">
      <c r="A543" s="666"/>
      <c r="B543" s="666"/>
      <c r="C543" s="666"/>
      <c r="D543" s="666"/>
      <c r="E543" s="666"/>
      <c r="F543" s="666"/>
      <c r="G543" s="666"/>
      <c r="H543" s="666"/>
      <c r="I543" s="666"/>
      <c r="J543" s="666"/>
      <c r="K543" s="666"/>
      <c r="L543" s="666"/>
      <c r="M543" s="666"/>
      <c r="N543" s="666"/>
      <c r="O543" s="666"/>
      <c r="P543" s="666"/>
      <c r="Q543" s="666"/>
      <c r="R543" s="666"/>
      <c r="S543" s="666"/>
      <c r="T543" s="666"/>
      <c r="U543" s="666"/>
      <c r="V543" s="666"/>
      <c r="W543" s="666"/>
      <c r="X543" s="666"/>
      <c r="Y543" s="667"/>
      <c r="Z543" s="667"/>
    </row>
    <row r="544" spans="1:26" ht="15.75" customHeight="1">
      <c r="A544" s="666"/>
      <c r="B544" s="666"/>
      <c r="C544" s="666"/>
      <c r="D544" s="666"/>
      <c r="E544" s="666"/>
      <c r="F544" s="666"/>
      <c r="G544" s="666"/>
      <c r="H544" s="666"/>
      <c r="I544" s="666"/>
      <c r="J544" s="666"/>
      <c r="K544" s="666"/>
      <c r="L544" s="666"/>
      <c r="M544" s="666"/>
      <c r="N544" s="666"/>
      <c r="O544" s="666"/>
      <c r="P544" s="666"/>
      <c r="Q544" s="666"/>
      <c r="R544" s="666"/>
      <c r="S544" s="666"/>
      <c r="T544" s="666"/>
      <c r="U544" s="666"/>
      <c r="V544" s="666"/>
      <c r="W544" s="666"/>
      <c r="X544" s="666"/>
      <c r="Y544" s="667"/>
      <c r="Z544" s="667"/>
    </row>
    <row r="545" spans="1:26" ht="15.75" customHeight="1">
      <c r="A545" s="666"/>
      <c r="B545" s="666"/>
      <c r="C545" s="666"/>
      <c r="D545" s="666"/>
      <c r="E545" s="666"/>
      <c r="F545" s="666"/>
      <c r="G545" s="666"/>
      <c r="H545" s="666"/>
      <c r="I545" s="666"/>
      <c r="J545" s="666"/>
      <c r="K545" s="666"/>
      <c r="L545" s="666"/>
      <c r="M545" s="666"/>
      <c r="N545" s="666"/>
      <c r="O545" s="666"/>
      <c r="P545" s="666"/>
      <c r="Q545" s="666"/>
      <c r="R545" s="666"/>
      <c r="S545" s="666"/>
      <c r="T545" s="666"/>
      <c r="U545" s="666"/>
      <c r="V545" s="666"/>
      <c r="W545" s="666"/>
      <c r="X545" s="666"/>
      <c r="Y545" s="667"/>
      <c r="Z545" s="667"/>
    </row>
    <row r="546" spans="1:26" ht="15.75" customHeight="1">
      <c r="A546" s="666"/>
      <c r="B546" s="666"/>
      <c r="C546" s="666"/>
      <c r="D546" s="666"/>
      <c r="E546" s="666"/>
      <c r="F546" s="666"/>
      <c r="G546" s="666"/>
      <c r="H546" s="666"/>
      <c r="I546" s="666"/>
      <c r="J546" s="666"/>
      <c r="K546" s="666"/>
      <c r="L546" s="666"/>
      <c r="M546" s="666"/>
      <c r="N546" s="666"/>
      <c r="O546" s="666"/>
      <c r="P546" s="666"/>
      <c r="Q546" s="666"/>
      <c r="R546" s="666"/>
      <c r="S546" s="666"/>
      <c r="T546" s="666"/>
      <c r="U546" s="666"/>
      <c r="V546" s="666"/>
      <c r="W546" s="666"/>
      <c r="X546" s="666"/>
      <c r="Y546" s="667"/>
      <c r="Z546" s="667"/>
    </row>
    <row r="547" spans="1:26" ht="15.75" customHeight="1">
      <c r="A547" s="666"/>
      <c r="B547" s="666"/>
      <c r="C547" s="666"/>
      <c r="D547" s="666"/>
      <c r="E547" s="666"/>
      <c r="F547" s="666"/>
      <c r="G547" s="666"/>
      <c r="H547" s="666"/>
      <c r="I547" s="666"/>
      <c r="J547" s="666"/>
      <c r="K547" s="666"/>
      <c r="L547" s="666"/>
      <c r="M547" s="666"/>
      <c r="N547" s="666"/>
      <c r="O547" s="666"/>
      <c r="P547" s="666"/>
      <c r="Q547" s="666"/>
      <c r="R547" s="666"/>
      <c r="S547" s="666"/>
      <c r="T547" s="666"/>
      <c r="U547" s="666"/>
      <c r="V547" s="666"/>
      <c r="W547" s="666"/>
      <c r="X547" s="666"/>
      <c r="Y547" s="667"/>
      <c r="Z547" s="667"/>
    </row>
    <row r="548" spans="1:26" ht="15.75" customHeight="1">
      <c r="A548" s="666"/>
      <c r="B548" s="666"/>
      <c r="C548" s="666"/>
      <c r="D548" s="666"/>
      <c r="E548" s="666"/>
      <c r="F548" s="666"/>
      <c r="G548" s="666"/>
      <c r="H548" s="666"/>
      <c r="I548" s="666"/>
      <c r="J548" s="666"/>
      <c r="K548" s="666"/>
      <c r="L548" s="666"/>
      <c r="M548" s="666"/>
      <c r="N548" s="666"/>
      <c r="O548" s="666"/>
      <c r="P548" s="666"/>
      <c r="Q548" s="666"/>
      <c r="R548" s="666"/>
      <c r="S548" s="666"/>
      <c r="T548" s="666"/>
      <c r="U548" s="666"/>
      <c r="V548" s="666"/>
      <c r="W548" s="666"/>
      <c r="X548" s="666"/>
      <c r="Y548" s="667"/>
      <c r="Z548" s="667"/>
    </row>
    <row r="549" spans="1:26" ht="15.75" customHeight="1">
      <c r="A549" s="666"/>
      <c r="B549" s="666"/>
      <c r="C549" s="666"/>
      <c r="D549" s="666"/>
      <c r="E549" s="666"/>
      <c r="F549" s="666"/>
      <c r="G549" s="666"/>
      <c r="H549" s="666"/>
      <c r="I549" s="666"/>
      <c r="J549" s="666"/>
      <c r="K549" s="666"/>
      <c r="L549" s="666"/>
      <c r="M549" s="666"/>
      <c r="N549" s="666"/>
      <c r="O549" s="666"/>
      <c r="P549" s="666"/>
      <c r="Q549" s="666"/>
      <c r="R549" s="666"/>
      <c r="S549" s="666"/>
      <c r="T549" s="666"/>
      <c r="U549" s="666"/>
      <c r="V549" s="666"/>
      <c r="W549" s="666"/>
      <c r="X549" s="666"/>
      <c r="Y549" s="667"/>
      <c r="Z549" s="667"/>
    </row>
    <row r="550" spans="1:26" ht="15.75" customHeight="1">
      <c r="A550" s="666"/>
      <c r="B550" s="666"/>
      <c r="C550" s="666"/>
      <c r="D550" s="666"/>
      <c r="E550" s="666"/>
      <c r="F550" s="666"/>
      <c r="G550" s="666"/>
      <c r="H550" s="666"/>
      <c r="I550" s="666"/>
      <c r="J550" s="666"/>
      <c r="K550" s="666"/>
      <c r="L550" s="666"/>
      <c r="M550" s="666"/>
      <c r="N550" s="666"/>
      <c r="O550" s="666"/>
      <c r="P550" s="666"/>
      <c r="Q550" s="666"/>
      <c r="R550" s="666"/>
      <c r="S550" s="666"/>
      <c r="T550" s="666"/>
      <c r="U550" s="666"/>
      <c r="V550" s="666"/>
      <c r="W550" s="666"/>
      <c r="X550" s="666"/>
      <c r="Y550" s="667"/>
      <c r="Z550" s="667"/>
    </row>
    <row r="551" spans="1:26" ht="15.75" customHeight="1">
      <c r="A551" s="666"/>
      <c r="B551" s="666"/>
      <c r="C551" s="666"/>
      <c r="D551" s="666"/>
      <c r="E551" s="666"/>
      <c r="F551" s="666"/>
      <c r="G551" s="666"/>
      <c r="H551" s="666"/>
      <c r="I551" s="666"/>
      <c r="J551" s="666"/>
      <c r="K551" s="666"/>
      <c r="L551" s="666"/>
      <c r="M551" s="666"/>
      <c r="N551" s="666"/>
      <c r="O551" s="666"/>
      <c r="P551" s="666"/>
      <c r="Q551" s="666"/>
      <c r="R551" s="666"/>
      <c r="S551" s="666"/>
      <c r="T551" s="666"/>
      <c r="U551" s="666"/>
      <c r="V551" s="666"/>
      <c r="W551" s="666"/>
      <c r="X551" s="666"/>
      <c r="Y551" s="667"/>
      <c r="Z551" s="667"/>
    </row>
    <row r="552" spans="1:26" ht="15.75" customHeight="1">
      <c r="A552" s="666"/>
      <c r="B552" s="666"/>
      <c r="C552" s="666"/>
      <c r="D552" s="666"/>
      <c r="E552" s="666"/>
      <c r="F552" s="666"/>
      <c r="G552" s="666"/>
      <c r="H552" s="666"/>
      <c r="I552" s="666"/>
      <c r="J552" s="666"/>
      <c r="K552" s="666"/>
      <c r="L552" s="666"/>
      <c r="M552" s="666"/>
      <c r="N552" s="666"/>
      <c r="O552" s="666"/>
      <c r="P552" s="666"/>
      <c r="Q552" s="666"/>
      <c r="R552" s="666"/>
      <c r="S552" s="666"/>
      <c r="T552" s="666"/>
      <c r="U552" s="666"/>
      <c r="V552" s="666"/>
      <c r="W552" s="666"/>
      <c r="X552" s="666"/>
      <c r="Y552" s="667"/>
      <c r="Z552" s="667"/>
    </row>
    <row r="553" spans="1:26" ht="15.75" customHeight="1">
      <c r="A553" s="666"/>
      <c r="B553" s="666"/>
      <c r="C553" s="666"/>
      <c r="D553" s="666"/>
      <c r="E553" s="666"/>
      <c r="F553" s="666"/>
      <c r="G553" s="666"/>
      <c r="H553" s="666"/>
      <c r="I553" s="666"/>
      <c r="J553" s="666"/>
      <c r="K553" s="666"/>
      <c r="L553" s="666"/>
      <c r="M553" s="666"/>
      <c r="N553" s="666"/>
      <c r="O553" s="666"/>
      <c r="P553" s="666"/>
      <c r="Q553" s="666"/>
      <c r="R553" s="666"/>
      <c r="S553" s="666"/>
      <c r="T553" s="666"/>
      <c r="U553" s="666"/>
      <c r="V553" s="666"/>
      <c r="W553" s="666"/>
      <c r="X553" s="666"/>
      <c r="Y553" s="667"/>
      <c r="Z553" s="667"/>
    </row>
    <row r="554" spans="1:26" ht="15.75" customHeight="1">
      <c r="A554" s="666"/>
      <c r="B554" s="666"/>
      <c r="C554" s="666"/>
      <c r="D554" s="666"/>
      <c r="E554" s="666"/>
      <c r="F554" s="666"/>
      <c r="G554" s="666"/>
      <c r="H554" s="666"/>
      <c r="I554" s="666"/>
      <c r="J554" s="666"/>
      <c r="K554" s="666"/>
      <c r="L554" s="666"/>
      <c r="M554" s="666"/>
      <c r="N554" s="666"/>
      <c r="O554" s="666"/>
      <c r="P554" s="666"/>
      <c r="Q554" s="666"/>
      <c r="R554" s="666"/>
      <c r="S554" s="666"/>
      <c r="T554" s="666"/>
      <c r="U554" s="666"/>
      <c r="V554" s="666"/>
      <c r="W554" s="666"/>
      <c r="X554" s="666"/>
      <c r="Y554" s="667"/>
      <c r="Z554" s="667"/>
    </row>
    <row r="555" spans="1:26" ht="15.75" customHeight="1">
      <c r="A555" s="666"/>
      <c r="B555" s="666"/>
      <c r="C555" s="666"/>
      <c r="D555" s="666"/>
      <c r="E555" s="666"/>
      <c r="F555" s="666"/>
      <c r="G555" s="666"/>
      <c r="H555" s="666"/>
      <c r="I555" s="666"/>
      <c r="J555" s="666"/>
      <c r="K555" s="666"/>
      <c r="L555" s="666"/>
      <c r="M555" s="666"/>
      <c r="N555" s="666"/>
      <c r="O555" s="666"/>
      <c r="P555" s="666"/>
      <c r="Q555" s="666"/>
      <c r="R555" s="666"/>
      <c r="S555" s="666"/>
      <c r="T555" s="666"/>
      <c r="U555" s="666"/>
      <c r="V555" s="666"/>
      <c r="W555" s="666"/>
      <c r="X555" s="666"/>
      <c r="Y555" s="667"/>
      <c r="Z555" s="667"/>
    </row>
    <row r="556" spans="1:26" ht="15.75" customHeight="1">
      <c r="A556" s="666"/>
      <c r="B556" s="666"/>
      <c r="C556" s="666"/>
      <c r="D556" s="666"/>
      <c r="E556" s="666"/>
      <c r="F556" s="666"/>
      <c r="G556" s="666"/>
      <c r="H556" s="666"/>
      <c r="I556" s="666"/>
      <c r="J556" s="666"/>
      <c r="K556" s="666"/>
      <c r="L556" s="666"/>
      <c r="M556" s="666"/>
      <c r="N556" s="666"/>
      <c r="O556" s="666"/>
      <c r="P556" s="666"/>
      <c r="Q556" s="666"/>
      <c r="R556" s="666"/>
      <c r="S556" s="666"/>
      <c r="T556" s="666"/>
      <c r="U556" s="666"/>
      <c r="V556" s="666"/>
      <c r="W556" s="666"/>
      <c r="X556" s="666"/>
      <c r="Y556" s="667"/>
      <c r="Z556" s="667"/>
    </row>
    <row r="557" spans="1:26" ht="15.75" customHeight="1">
      <c r="A557" s="666"/>
      <c r="B557" s="666"/>
      <c r="C557" s="666"/>
      <c r="D557" s="666"/>
      <c r="E557" s="666"/>
      <c r="F557" s="666"/>
      <c r="G557" s="666"/>
      <c r="H557" s="666"/>
      <c r="I557" s="666"/>
      <c r="J557" s="666"/>
      <c r="K557" s="666"/>
      <c r="L557" s="666"/>
      <c r="M557" s="666"/>
      <c r="N557" s="666"/>
      <c r="O557" s="666"/>
      <c r="P557" s="666"/>
      <c r="Q557" s="666"/>
      <c r="R557" s="666"/>
      <c r="S557" s="666"/>
      <c r="T557" s="666"/>
      <c r="U557" s="666"/>
      <c r="V557" s="666"/>
      <c r="W557" s="666"/>
      <c r="X557" s="666"/>
      <c r="Y557" s="667"/>
      <c r="Z557" s="667"/>
    </row>
    <row r="558" spans="1:26" ht="15.75" customHeight="1">
      <c r="A558" s="666"/>
      <c r="B558" s="666"/>
      <c r="C558" s="666"/>
      <c r="D558" s="666"/>
      <c r="E558" s="666"/>
      <c r="F558" s="666"/>
      <c r="G558" s="666"/>
      <c r="H558" s="666"/>
      <c r="I558" s="666"/>
      <c r="J558" s="666"/>
      <c r="K558" s="666"/>
      <c r="L558" s="666"/>
      <c r="M558" s="666"/>
      <c r="N558" s="666"/>
      <c r="O558" s="666"/>
      <c r="P558" s="666"/>
      <c r="Q558" s="666"/>
      <c r="R558" s="666"/>
      <c r="S558" s="666"/>
      <c r="T558" s="666"/>
      <c r="U558" s="666"/>
      <c r="V558" s="666"/>
      <c r="W558" s="666"/>
      <c r="X558" s="666"/>
      <c r="Y558" s="667"/>
      <c r="Z558" s="667"/>
    </row>
    <row r="559" spans="1:26" ht="15.75" customHeight="1">
      <c r="A559" s="666"/>
      <c r="B559" s="666"/>
      <c r="C559" s="666"/>
      <c r="D559" s="666"/>
      <c r="E559" s="666"/>
      <c r="F559" s="666"/>
      <c r="G559" s="666"/>
      <c r="H559" s="666"/>
      <c r="I559" s="666"/>
      <c r="J559" s="666"/>
      <c r="K559" s="666"/>
      <c r="L559" s="666"/>
      <c r="M559" s="666"/>
      <c r="N559" s="666"/>
      <c r="O559" s="666"/>
      <c r="P559" s="666"/>
      <c r="Q559" s="666"/>
      <c r="R559" s="666"/>
      <c r="S559" s="666"/>
      <c r="T559" s="666"/>
      <c r="U559" s="666"/>
      <c r="V559" s="666"/>
      <c r="W559" s="666"/>
      <c r="X559" s="666"/>
      <c r="Y559" s="667"/>
      <c r="Z559" s="667"/>
    </row>
    <row r="560" spans="1:26" ht="15.75" customHeight="1">
      <c r="A560" s="666"/>
      <c r="B560" s="666"/>
      <c r="C560" s="666"/>
      <c r="D560" s="666"/>
      <c r="E560" s="666"/>
      <c r="F560" s="666"/>
      <c r="G560" s="666"/>
      <c r="H560" s="666"/>
      <c r="I560" s="666"/>
      <c r="J560" s="666"/>
      <c r="K560" s="666"/>
      <c r="L560" s="666"/>
      <c r="M560" s="666"/>
      <c r="N560" s="666"/>
      <c r="O560" s="666"/>
      <c r="P560" s="666"/>
      <c r="Q560" s="666"/>
      <c r="R560" s="666"/>
      <c r="S560" s="666"/>
      <c r="T560" s="666"/>
      <c r="U560" s="666"/>
      <c r="V560" s="666"/>
      <c r="W560" s="666"/>
      <c r="X560" s="666"/>
      <c r="Y560" s="667"/>
      <c r="Z560" s="667"/>
    </row>
    <row r="561" spans="1:26" ht="15.75" customHeight="1">
      <c r="A561" s="666"/>
      <c r="B561" s="666"/>
      <c r="C561" s="666"/>
      <c r="D561" s="666"/>
      <c r="E561" s="666"/>
      <c r="F561" s="666"/>
      <c r="G561" s="666"/>
      <c r="H561" s="666"/>
      <c r="I561" s="666"/>
      <c r="J561" s="666"/>
      <c r="K561" s="666"/>
      <c r="L561" s="666"/>
      <c r="M561" s="666"/>
      <c r="N561" s="666"/>
      <c r="O561" s="666"/>
      <c r="P561" s="666"/>
      <c r="Q561" s="666"/>
      <c r="R561" s="666"/>
      <c r="S561" s="666"/>
      <c r="T561" s="666"/>
      <c r="U561" s="666"/>
      <c r="V561" s="666"/>
      <c r="W561" s="666"/>
      <c r="X561" s="666"/>
      <c r="Y561" s="667"/>
      <c r="Z561" s="667"/>
    </row>
    <row r="562" spans="1:26" ht="15.75" customHeight="1">
      <c r="A562" s="666"/>
      <c r="B562" s="666"/>
      <c r="C562" s="666"/>
      <c r="D562" s="666"/>
      <c r="E562" s="666"/>
      <c r="F562" s="666"/>
      <c r="G562" s="666"/>
      <c r="H562" s="666"/>
      <c r="I562" s="666"/>
      <c r="J562" s="666"/>
      <c r="K562" s="666"/>
      <c r="L562" s="666"/>
      <c r="M562" s="666"/>
      <c r="N562" s="666"/>
      <c r="O562" s="666"/>
      <c r="P562" s="666"/>
      <c r="Q562" s="666"/>
      <c r="R562" s="666"/>
      <c r="S562" s="666"/>
      <c r="T562" s="666"/>
      <c r="U562" s="666"/>
      <c r="V562" s="666"/>
      <c r="W562" s="666"/>
      <c r="X562" s="666"/>
      <c r="Y562" s="667"/>
      <c r="Z562" s="667"/>
    </row>
    <row r="563" spans="1:26" ht="15.75" customHeight="1">
      <c r="A563" s="666"/>
      <c r="B563" s="666"/>
      <c r="C563" s="666"/>
      <c r="D563" s="666"/>
      <c r="E563" s="666"/>
      <c r="F563" s="666"/>
      <c r="G563" s="666"/>
      <c r="H563" s="666"/>
      <c r="I563" s="666"/>
      <c r="J563" s="666"/>
      <c r="K563" s="666"/>
      <c r="L563" s="666"/>
      <c r="M563" s="666"/>
      <c r="N563" s="666"/>
      <c r="O563" s="666"/>
      <c r="P563" s="666"/>
      <c r="Q563" s="666"/>
      <c r="R563" s="666"/>
      <c r="S563" s="666"/>
      <c r="T563" s="666"/>
      <c r="U563" s="666"/>
      <c r="V563" s="666"/>
      <c r="W563" s="666"/>
      <c r="X563" s="666"/>
      <c r="Y563" s="667"/>
      <c r="Z563" s="667"/>
    </row>
    <row r="564" spans="1:26" ht="15.75" customHeight="1">
      <c r="A564" s="666"/>
      <c r="B564" s="666"/>
      <c r="C564" s="666"/>
      <c r="D564" s="666"/>
      <c r="E564" s="666"/>
      <c r="F564" s="666"/>
      <c r="G564" s="666"/>
      <c r="H564" s="666"/>
      <c r="I564" s="666"/>
      <c r="J564" s="666"/>
      <c r="K564" s="666"/>
      <c r="L564" s="666"/>
      <c r="M564" s="666"/>
      <c r="N564" s="666"/>
      <c r="O564" s="666"/>
      <c r="P564" s="666"/>
      <c r="Q564" s="666"/>
      <c r="R564" s="666"/>
      <c r="S564" s="666"/>
      <c r="T564" s="666"/>
      <c r="U564" s="666"/>
      <c r="V564" s="666"/>
      <c r="W564" s="666"/>
      <c r="X564" s="666"/>
      <c r="Y564" s="667"/>
      <c r="Z564" s="667"/>
    </row>
    <row r="565" spans="1:26" ht="15.75" customHeight="1">
      <c r="A565" s="666"/>
      <c r="B565" s="666"/>
      <c r="C565" s="666"/>
      <c r="D565" s="666"/>
      <c r="E565" s="666"/>
      <c r="F565" s="666"/>
      <c r="G565" s="666"/>
      <c r="H565" s="666"/>
      <c r="I565" s="666"/>
      <c r="J565" s="666"/>
      <c r="K565" s="666"/>
      <c r="L565" s="666"/>
      <c r="M565" s="666"/>
      <c r="N565" s="666"/>
      <c r="O565" s="666"/>
      <c r="P565" s="666"/>
      <c r="Q565" s="666"/>
      <c r="R565" s="666"/>
      <c r="S565" s="666"/>
      <c r="T565" s="666"/>
      <c r="U565" s="666"/>
      <c r="V565" s="666"/>
      <c r="W565" s="666"/>
      <c r="X565" s="666"/>
      <c r="Y565" s="667"/>
      <c r="Z565" s="667"/>
    </row>
    <row r="566" spans="1:26" ht="15.75" customHeight="1">
      <c r="A566" s="666"/>
      <c r="B566" s="666"/>
      <c r="C566" s="666"/>
      <c r="D566" s="666"/>
      <c r="E566" s="666"/>
      <c r="F566" s="666"/>
      <c r="G566" s="666"/>
      <c r="H566" s="666"/>
      <c r="I566" s="666"/>
      <c r="J566" s="666"/>
      <c r="K566" s="666"/>
      <c r="L566" s="666"/>
      <c r="M566" s="666"/>
      <c r="N566" s="666"/>
      <c r="O566" s="666"/>
      <c r="P566" s="666"/>
      <c r="Q566" s="666"/>
      <c r="R566" s="666"/>
      <c r="S566" s="666"/>
      <c r="T566" s="666"/>
      <c r="U566" s="666"/>
      <c r="V566" s="666"/>
      <c r="W566" s="666"/>
      <c r="X566" s="666"/>
      <c r="Y566" s="667"/>
      <c r="Z566" s="667"/>
    </row>
    <row r="567" spans="1:26" ht="15.75" customHeight="1">
      <c r="A567" s="666"/>
      <c r="B567" s="666"/>
      <c r="C567" s="666"/>
      <c r="D567" s="666"/>
      <c r="E567" s="666"/>
      <c r="F567" s="666"/>
      <c r="G567" s="666"/>
      <c r="H567" s="666"/>
      <c r="I567" s="666"/>
      <c r="J567" s="666"/>
      <c r="K567" s="666"/>
      <c r="L567" s="666"/>
      <c r="M567" s="666"/>
      <c r="N567" s="666"/>
      <c r="O567" s="666"/>
      <c r="P567" s="666"/>
      <c r="Q567" s="666"/>
      <c r="R567" s="666"/>
      <c r="S567" s="666"/>
      <c r="T567" s="666"/>
      <c r="U567" s="666"/>
      <c r="V567" s="666"/>
      <c r="W567" s="666"/>
      <c r="X567" s="666"/>
      <c r="Y567" s="667"/>
      <c r="Z567" s="667"/>
    </row>
    <row r="568" spans="1:26" ht="15.75" customHeight="1">
      <c r="A568" s="666"/>
      <c r="B568" s="666"/>
      <c r="C568" s="666"/>
      <c r="D568" s="666"/>
      <c r="E568" s="666"/>
      <c r="F568" s="666"/>
      <c r="G568" s="666"/>
      <c r="H568" s="666"/>
      <c r="I568" s="666"/>
      <c r="J568" s="666"/>
      <c r="K568" s="666"/>
      <c r="L568" s="666"/>
      <c r="M568" s="666"/>
      <c r="N568" s="666"/>
      <c r="O568" s="666"/>
      <c r="P568" s="666"/>
      <c r="Q568" s="666"/>
      <c r="R568" s="666"/>
      <c r="S568" s="666"/>
      <c r="T568" s="666"/>
      <c r="U568" s="666"/>
      <c r="V568" s="666"/>
      <c r="W568" s="666"/>
      <c r="X568" s="666"/>
      <c r="Y568" s="667"/>
      <c r="Z568" s="667"/>
    </row>
    <row r="569" spans="1:26" ht="15.75" customHeight="1">
      <c r="A569" s="666"/>
      <c r="B569" s="666"/>
      <c r="C569" s="666"/>
      <c r="D569" s="666"/>
      <c r="E569" s="666"/>
      <c r="F569" s="666"/>
      <c r="G569" s="666"/>
      <c r="H569" s="666"/>
      <c r="I569" s="666"/>
      <c r="J569" s="666"/>
      <c r="K569" s="666"/>
      <c r="L569" s="666"/>
      <c r="M569" s="666"/>
      <c r="N569" s="666"/>
      <c r="O569" s="666"/>
      <c r="P569" s="666"/>
      <c r="Q569" s="666"/>
      <c r="R569" s="666"/>
      <c r="S569" s="666"/>
      <c r="T569" s="666"/>
      <c r="U569" s="666"/>
      <c r="V569" s="666"/>
      <c r="W569" s="666"/>
      <c r="X569" s="666"/>
      <c r="Y569" s="667"/>
      <c r="Z569" s="667"/>
    </row>
    <row r="570" spans="1:26" ht="15.75" customHeight="1">
      <c r="A570" s="666"/>
      <c r="B570" s="666"/>
      <c r="C570" s="666"/>
      <c r="D570" s="666"/>
      <c r="E570" s="666"/>
      <c r="F570" s="666"/>
      <c r="G570" s="666"/>
      <c r="H570" s="666"/>
      <c r="I570" s="666"/>
      <c r="J570" s="666"/>
      <c r="K570" s="666"/>
      <c r="L570" s="666"/>
      <c r="M570" s="666"/>
      <c r="N570" s="666"/>
      <c r="O570" s="666"/>
      <c r="P570" s="666"/>
      <c r="Q570" s="666"/>
      <c r="R570" s="666"/>
      <c r="S570" s="666"/>
      <c r="T570" s="666"/>
      <c r="U570" s="666"/>
      <c r="V570" s="666"/>
      <c r="W570" s="666"/>
      <c r="X570" s="666"/>
      <c r="Y570" s="667"/>
      <c r="Z570" s="667"/>
    </row>
    <row r="571" spans="1:26" ht="15.75" customHeight="1">
      <c r="A571" s="666"/>
      <c r="B571" s="666"/>
      <c r="C571" s="666"/>
      <c r="D571" s="666"/>
      <c r="E571" s="666"/>
      <c r="F571" s="666"/>
      <c r="G571" s="666"/>
      <c r="H571" s="666"/>
      <c r="I571" s="666"/>
      <c r="J571" s="666"/>
      <c r="K571" s="666"/>
      <c r="L571" s="666"/>
      <c r="M571" s="666"/>
      <c r="N571" s="666"/>
      <c r="O571" s="666"/>
      <c r="P571" s="666"/>
      <c r="Q571" s="666"/>
      <c r="R571" s="666"/>
      <c r="S571" s="666"/>
      <c r="T571" s="666"/>
      <c r="U571" s="666"/>
      <c r="V571" s="666"/>
      <c r="W571" s="666"/>
      <c r="X571" s="666"/>
      <c r="Y571" s="667"/>
      <c r="Z571" s="667"/>
    </row>
    <row r="572" spans="1:26" ht="15.75" customHeight="1">
      <c r="A572" s="666"/>
      <c r="B572" s="666"/>
      <c r="C572" s="666"/>
      <c r="D572" s="666"/>
      <c r="E572" s="666"/>
      <c r="F572" s="666"/>
      <c r="G572" s="666"/>
      <c r="H572" s="666"/>
      <c r="I572" s="666"/>
      <c r="J572" s="666"/>
      <c r="K572" s="666"/>
      <c r="L572" s="666"/>
      <c r="M572" s="666"/>
      <c r="N572" s="666"/>
      <c r="O572" s="666"/>
      <c r="P572" s="666"/>
      <c r="Q572" s="666"/>
      <c r="R572" s="666"/>
      <c r="S572" s="666"/>
      <c r="T572" s="666"/>
      <c r="U572" s="666"/>
      <c r="V572" s="666"/>
      <c r="W572" s="666"/>
      <c r="X572" s="666"/>
      <c r="Y572" s="667"/>
      <c r="Z572" s="667"/>
    </row>
    <row r="573" spans="1:26" ht="15.75" customHeight="1">
      <c r="A573" s="666"/>
      <c r="B573" s="666"/>
      <c r="C573" s="666"/>
      <c r="D573" s="666"/>
      <c r="E573" s="666"/>
      <c r="F573" s="666"/>
      <c r="G573" s="666"/>
      <c r="H573" s="666"/>
      <c r="I573" s="666"/>
      <c r="J573" s="666"/>
      <c r="K573" s="666"/>
      <c r="L573" s="666"/>
      <c r="M573" s="666"/>
      <c r="N573" s="666"/>
      <c r="O573" s="666"/>
      <c r="P573" s="666"/>
      <c r="Q573" s="666"/>
      <c r="R573" s="666"/>
      <c r="S573" s="666"/>
      <c r="T573" s="666"/>
      <c r="U573" s="666"/>
      <c r="V573" s="666"/>
      <c r="W573" s="666"/>
      <c r="X573" s="666"/>
      <c r="Y573" s="667"/>
      <c r="Z573" s="667"/>
    </row>
    <row r="574" spans="1:26" ht="15.75" customHeight="1">
      <c r="A574" s="666"/>
      <c r="B574" s="666"/>
      <c r="C574" s="666"/>
      <c r="D574" s="666"/>
      <c r="E574" s="666"/>
      <c r="F574" s="666"/>
      <c r="G574" s="666"/>
      <c r="H574" s="666"/>
      <c r="I574" s="666"/>
      <c r="J574" s="666"/>
      <c r="K574" s="666"/>
      <c r="L574" s="666"/>
      <c r="M574" s="666"/>
      <c r="N574" s="666"/>
      <c r="O574" s="666"/>
      <c r="P574" s="666"/>
      <c r="Q574" s="666"/>
      <c r="R574" s="666"/>
      <c r="S574" s="666"/>
      <c r="T574" s="666"/>
      <c r="U574" s="666"/>
      <c r="V574" s="666"/>
      <c r="W574" s="666"/>
      <c r="X574" s="666"/>
      <c r="Y574" s="667"/>
      <c r="Z574" s="667"/>
    </row>
    <row r="575" spans="1:26" ht="15.75" customHeight="1">
      <c r="A575" s="666"/>
      <c r="B575" s="666"/>
      <c r="C575" s="666"/>
      <c r="D575" s="666"/>
      <c r="E575" s="666"/>
      <c r="F575" s="666"/>
      <c r="G575" s="666"/>
      <c r="H575" s="666"/>
      <c r="I575" s="666"/>
      <c r="J575" s="666"/>
      <c r="K575" s="666"/>
      <c r="L575" s="666"/>
      <c r="M575" s="666"/>
      <c r="N575" s="666"/>
      <c r="O575" s="666"/>
      <c r="P575" s="666"/>
      <c r="Q575" s="666"/>
      <c r="R575" s="666"/>
      <c r="S575" s="666"/>
      <c r="T575" s="666"/>
      <c r="U575" s="666"/>
      <c r="V575" s="666"/>
      <c r="W575" s="666"/>
      <c r="X575" s="666"/>
      <c r="Y575" s="667"/>
      <c r="Z575" s="667"/>
    </row>
    <row r="576" spans="1:26" ht="15.75" customHeight="1">
      <c r="A576" s="666"/>
      <c r="B576" s="666"/>
      <c r="C576" s="666"/>
      <c r="D576" s="666"/>
      <c r="E576" s="666"/>
      <c r="F576" s="666"/>
      <c r="G576" s="666"/>
      <c r="H576" s="666"/>
      <c r="I576" s="666"/>
      <c r="J576" s="666"/>
      <c r="K576" s="666"/>
      <c r="L576" s="666"/>
      <c r="M576" s="666"/>
      <c r="N576" s="666"/>
      <c r="O576" s="666"/>
      <c r="P576" s="666"/>
      <c r="Q576" s="666"/>
      <c r="R576" s="666"/>
      <c r="S576" s="666"/>
      <c r="T576" s="666"/>
      <c r="U576" s="666"/>
      <c r="V576" s="666"/>
      <c r="W576" s="666"/>
      <c r="X576" s="666"/>
      <c r="Y576" s="667"/>
      <c r="Z576" s="667"/>
    </row>
    <row r="577" spans="1:26" ht="15.75" customHeight="1">
      <c r="A577" s="666"/>
      <c r="B577" s="666"/>
      <c r="C577" s="666"/>
      <c r="D577" s="666"/>
      <c r="E577" s="666"/>
      <c r="F577" s="666"/>
      <c r="G577" s="666"/>
      <c r="H577" s="666"/>
      <c r="I577" s="666"/>
      <c r="J577" s="666"/>
      <c r="K577" s="666"/>
      <c r="L577" s="666"/>
      <c r="M577" s="666"/>
      <c r="N577" s="666"/>
      <c r="O577" s="666"/>
      <c r="P577" s="666"/>
      <c r="Q577" s="666"/>
      <c r="R577" s="666"/>
      <c r="S577" s="666"/>
      <c r="T577" s="666"/>
      <c r="U577" s="666"/>
      <c r="V577" s="666"/>
      <c r="W577" s="666"/>
      <c r="X577" s="666"/>
      <c r="Y577" s="667"/>
      <c r="Z577" s="667"/>
    </row>
    <row r="578" spans="1:26" ht="15.75" customHeight="1">
      <c r="A578" s="666"/>
      <c r="B578" s="666"/>
      <c r="C578" s="666"/>
      <c r="D578" s="666"/>
      <c r="E578" s="666"/>
      <c r="F578" s="666"/>
      <c r="G578" s="666"/>
      <c r="H578" s="666"/>
      <c r="I578" s="666"/>
      <c r="J578" s="666"/>
      <c r="K578" s="666"/>
      <c r="L578" s="666"/>
      <c r="M578" s="666"/>
      <c r="N578" s="666"/>
      <c r="O578" s="666"/>
      <c r="P578" s="666"/>
      <c r="Q578" s="666"/>
      <c r="R578" s="666"/>
      <c r="S578" s="666"/>
      <c r="T578" s="666"/>
      <c r="U578" s="666"/>
      <c r="V578" s="666"/>
      <c r="W578" s="666"/>
      <c r="X578" s="666"/>
      <c r="Y578" s="667"/>
      <c r="Z578" s="667"/>
    </row>
    <row r="579" spans="1:26" ht="15.75" customHeight="1">
      <c r="A579" s="666"/>
      <c r="B579" s="666"/>
      <c r="C579" s="666"/>
      <c r="D579" s="666"/>
      <c r="E579" s="666"/>
      <c r="F579" s="666"/>
      <c r="G579" s="666"/>
      <c r="H579" s="666"/>
      <c r="I579" s="666"/>
      <c r="J579" s="666"/>
      <c r="K579" s="666"/>
      <c r="L579" s="666"/>
      <c r="M579" s="666"/>
      <c r="N579" s="666"/>
      <c r="O579" s="666"/>
      <c r="P579" s="666"/>
      <c r="Q579" s="666"/>
      <c r="R579" s="666"/>
      <c r="S579" s="666"/>
      <c r="T579" s="666"/>
      <c r="U579" s="666"/>
      <c r="V579" s="666"/>
      <c r="W579" s="666"/>
      <c r="X579" s="666"/>
      <c r="Y579" s="667"/>
      <c r="Z579" s="667"/>
    </row>
    <row r="580" spans="1:26" ht="15.75" customHeight="1">
      <c r="A580" s="666"/>
      <c r="B580" s="666"/>
      <c r="C580" s="666"/>
      <c r="D580" s="666"/>
      <c r="E580" s="666"/>
      <c r="F580" s="666"/>
      <c r="G580" s="666"/>
      <c r="H580" s="666"/>
      <c r="I580" s="666"/>
      <c r="J580" s="666"/>
      <c r="K580" s="666"/>
      <c r="L580" s="666"/>
      <c r="M580" s="666"/>
      <c r="N580" s="666"/>
      <c r="O580" s="666"/>
      <c r="P580" s="666"/>
      <c r="Q580" s="666"/>
      <c r="R580" s="666"/>
      <c r="S580" s="666"/>
      <c r="T580" s="666"/>
      <c r="U580" s="666"/>
      <c r="V580" s="666"/>
      <c r="W580" s="666"/>
      <c r="X580" s="666"/>
      <c r="Y580" s="667"/>
      <c r="Z580" s="667"/>
    </row>
    <row r="581" spans="1:26" ht="15.75" customHeight="1">
      <c r="A581" s="666"/>
      <c r="B581" s="666"/>
      <c r="C581" s="666"/>
      <c r="D581" s="666"/>
      <c r="E581" s="666"/>
      <c r="F581" s="666"/>
      <c r="G581" s="666"/>
      <c r="H581" s="666"/>
      <c r="I581" s="666"/>
      <c r="J581" s="666"/>
      <c r="K581" s="666"/>
      <c r="L581" s="666"/>
      <c r="M581" s="666"/>
      <c r="N581" s="666"/>
      <c r="O581" s="666"/>
      <c r="P581" s="666"/>
      <c r="Q581" s="666"/>
      <c r="R581" s="666"/>
      <c r="S581" s="666"/>
      <c r="T581" s="666"/>
      <c r="U581" s="666"/>
      <c r="V581" s="666"/>
      <c r="W581" s="666"/>
      <c r="X581" s="666"/>
      <c r="Y581" s="667"/>
      <c r="Z581" s="667"/>
    </row>
    <row r="582" spans="1:26" ht="15.75" customHeight="1">
      <c r="A582" s="666"/>
      <c r="B582" s="666"/>
      <c r="C582" s="666"/>
      <c r="D582" s="666"/>
      <c r="E582" s="666"/>
      <c r="F582" s="666"/>
      <c r="G582" s="666"/>
      <c r="H582" s="666"/>
      <c r="I582" s="666"/>
      <c r="J582" s="666"/>
      <c r="K582" s="666"/>
      <c r="L582" s="666"/>
      <c r="M582" s="666"/>
      <c r="N582" s="666"/>
      <c r="O582" s="666"/>
      <c r="P582" s="666"/>
      <c r="Q582" s="666"/>
      <c r="R582" s="666"/>
      <c r="S582" s="666"/>
      <c r="T582" s="666"/>
      <c r="U582" s="666"/>
      <c r="V582" s="666"/>
      <c r="W582" s="666"/>
      <c r="X582" s="666"/>
      <c r="Y582" s="667"/>
      <c r="Z582" s="667"/>
    </row>
    <row r="583" spans="1:26" ht="15.75" customHeight="1">
      <c r="A583" s="666"/>
      <c r="B583" s="666"/>
      <c r="C583" s="666"/>
      <c r="D583" s="666"/>
      <c r="E583" s="666"/>
      <c r="F583" s="666"/>
      <c r="G583" s="666"/>
      <c r="H583" s="666"/>
      <c r="I583" s="666"/>
      <c r="J583" s="666"/>
      <c r="K583" s="666"/>
      <c r="L583" s="666"/>
      <c r="M583" s="666"/>
      <c r="N583" s="666"/>
      <c r="O583" s="666"/>
      <c r="P583" s="666"/>
      <c r="Q583" s="666"/>
      <c r="R583" s="666"/>
      <c r="S583" s="666"/>
      <c r="T583" s="666"/>
      <c r="U583" s="666"/>
      <c r="V583" s="666"/>
      <c r="W583" s="666"/>
      <c r="X583" s="666"/>
      <c r="Y583" s="667"/>
      <c r="Z583" s="667"/>
    </row>
    <row r="584" spans="1:26" ht="15.75" customHeight="1">
      <c r="A584" s="666"/>
      <c r="B584" s="666"/>
      <c r="C584" s="666"/>
      <c r="D584" s="666"/>
      <c r="E584" s="666"/>
      <c r="F584" s="666"/>
      <c r="G584" s="666"/>
      <c r="H584" s="666"/>
      <c r="I584" s="666"/>
      <c r="J584" s="666"/>
      <c r="K584" s="666"/>
      <c r="L584" s="666"/>
      <c r="M584" s="666"/>
      <c r="N584" s="666"/>
      <c r="O584" s="666"/>
      <c r="P584" s="666"/>
      <c r="Q584" s="666"/>
      <c r="R584" s="666"/>
      <c r="S584" s="666"/>
      <c r="T584" s="666"/>
      <c r="U584" s="666"/>
      <c r="V584" s="666"/>
      <c r="W584" s="666"/>
      <c r="X584" s="666"/>
      <c r="Y584" s="667"/>
      <c r="Z584" s="667"/>
    </row>
    <row r="585" spans="1:26" ht="15.75" customHeight="1">
      <c r="A585" s="666"/>
      <c r="B585" s="666"/>
      <c r="C585" s="666"/>
      <c r="D585" s="666"/>
      <c r="E585" s="666"/>
      <c r="F585" s="666"/>
      <c r="G585" s="666"/>
      <c r="H585" s="666"/>
      <c r="I585" s="666"/>
      <c r="J585" s="666"/>
      <c r="K585" s="666"/>
      <c r="L585" s="666"/>
      <c r="M585" s="666"/>
      <c r="N585" s="666"/>
      <c r="O585" s="666"/>
      <c r="P585" s="666"/>
      <c r="Q585" s="666"/>
      <c r="R585" s="666"/>
      <c r="S585" s="666"/>
      <c r="T585" s="666"/>
      <c r="U585" s="666"/>
      <c r="V585" s="666"/>
      <c r="W585" s="666"/>
      <c r="X585" s="666"/>
      <c r="Y585" s="667"/>
      <c r="Z585" s="667"/>
    </row>
    <row r="586" spans="1:26" ht="15.75" customHeight="1">
      <c r="A586" s="666"/>
      <c r="B586" s="666"/>
      <c r="C586" s="666"/>
      <c r="D586" s="666"/>
      <c r="E586" s="666"/>
      <c r="F586" s="666"/>
      <c r="G586" s="666"/>
      <c r="H586" s="666"/>
      <c r="I586" s="666"/>
      <c r="J586" s="666"/>
      <c r="K586" s="666"/>
      <c r="L586" s="666"/>
      <c r="M586" s="666"/>
      <c r="N586" s="666"/>
      <c r="O586" s="666"/>
      <c r="P586" s="666"/>
      <c r="Q586" s="666"/>
      <c r="R586" s="666"/>
      <c r="S586" s="666"/>
      <c r="T586" s="666"/>
      <c r="U586" s="666"/>
      <c r="V586" s="666"/>
      <c r="W586" s="666"/>
      <c r="X586" s="666"/>
      <c r="Y586" s="667"/>
      <c r="Z586" s="667"/>
    </row>
    <row r="587" spans="1:26" ht="15.75" customHeight="1">
      <c r="A587" s="666"/>
      <c r="B587" s="666"/>
      <c r="C587" s="666"/>
      <c r="D587" s="666"/>
      <c r="E587" s="666"/>
      <c r="F587" s="666"/>
      <c r="G587" s="666"/>
      <c r="H587" s="666"/>
      <c r="I587" s="666"/>
      <c r="J587" s="666"/>
      <c r="K587" s="666"/>
      <c r="L587" s="666"/>
      <c r="M587" s="666"/>
      <c r="N587" s="666"/>
      <c r="O587" s="666"/>
      <c r="P587" s="666"/>
      <c r="Q587" s="666"/>
      <c r="R587" s="666"/>
      <c r="S587" s="666"/>
      <c r="T587" s="666"/>
      <c r="U587" s="666"/>
      <c r="V587" s="666"/>
      <c r="W587" s="666"/>
      <c r="X587" s="666"/>
      <c r="Y587" s="667"/>
      <c r="Z587" s="667"/>
    </row>
    <row r="588" spans="1:26" ht="15.75" customHeight="1">
      <c r="A588" s="666"/>
      <c r="B588" s="666"/>
      <c r="C588" s="666"/>
      <c r="D588" s="666"/>
      <c r="E588" s="666"/>
      <c r="F588" s="666"/>
      <c r="G588" s="666"/>
      <c r="H588" s="666"/>
      <c r="I588" s="666"/>
      <c r="J588" s="666"/>
      <c r="K588" s="666"/>
      <c r="L588" s="666"/>
      <c r="M588" s="666"/>
      <c r="N588" s="666"/>
      <c r="O588" s="666"/>
      <c r="P588" s="666"/>
      <c r="Q588" s="666"/>
      <c r="R588" s="666"/>
      <c r="S588" s="666"/>
      <c r="T588" s="666"/>
      <c r="U588" s="666"/>
      <c r="V588" s="666"/>
      <c r="W588" s="666"/>
      <c r="X588" s="666"/>
      <c r="Y588" s="667"/>
      <c r="Z588" s="667"/>
    </row>
    <row r="589" spans="1:26" ht="15.75" customHeight="1">
      <c r="A589" s="666"/>
      <c r="B589" s="666"/>
      <c r="C589" s="666"/>
      <c r="D589" s="666"/>
      <c r="E589" s="666"/>
      <c r="F589" s="666"/>
      <c r="G589" s="666"/>
      <c r="H589" s="666"/>
      <c r="I589" s="666"/>
      <c r="J589" s="666"/>
      <c r="K589" s="666"/>
      <c r="L589" s="666"/>
      <c r="M589" s="666"/>
      <c r="N589" s="666"/>
      <c r="O589" s="666"/>
      <c r="P589" s="666"/>
      <c r="Q589" s="666"/>
      <c r="R589" s="666"/>
      <c r="S589" s="666"/>
      <c r="T589" s="666"/>
      <c r="U589" s="666"/>
      <c r="V589" s="666"/>
      <c r="W589" s="666"/>
      <c r="X589" s="666"/>
      <c r="Y589" s="667"/>
      <c r="Z589" s="667"/>
    </row>
    <row r="590" spans="1:26" ht="15.75" customHeight="1">
      <c r="A590" s="666"/>
      <c r="B590" s="666"/>
      <c r="C590" s="666"/>
      <c r="D590" s="666"/>
      <c r="E590" s="666"/>
      <c r="F590" s="666"/>
      <c r="G590" s="666"/>
      <c r="H590" s="666"/>
      <c r="I590" s="666"/>
      <c r="J590" s="666"/>
      <c r="K590" s="666"/>
      <c r="L590" s="666"/>
      <c r="M590" s="666"/>
      <c r="N590" s="666"/>
      <c r="O590" s="666"/>
      <c r="P590" s="666"/>
      <c r="Q590" s="666"/>
      <c r="R590" s="666"/>
      <c r="S590" s="666"/>
      <c r="T590" s="666"/>
      <c r="U590" s="666"/>
      <c r="V590" s="666"/>
      <c r="W590" s="666"/>
      <c r="X590" s="666"/>
      <c r="Y590" s="667"/>
      <c r="Z590" s="667"/>
    </row>
    <row r="591" spans="1:26" ht="15.75" customHeight="1">
      <c r="A591" s="666"/>
      <c r="B591" s="666"/>
      <c r="C591" s="666"/>
      <c r="D591" s="666"/>
      <c r="E591" s="666"/>
      <c r="F591" s="666"/>
      <c r="G591" s="666"/>
      <c r="H591" s="666"/>
      <c r="I591" s="666"/>
      <c r="J591" s="666"/>
      <c r="K591" s="666"/>
      <c r="L591" s="666"/>
      <c r="M591" s="666"/>
      <c r="N591" s="666"/>
      <c r="O591" s="666"/>
      <c r="P591" s="666"/>
      <c r="Q591" s="666"/>
      <c r="R591" s="666"/>
      <c r="S591" s="666"/>
      <c r="T591" s="666"/>
      <c r="U591" s="666"/>
      <c r="V591" s="666"/>
      <c r="W591" s="666"/>
      <c r="X591" s="666"/>
      <c r="Y591" s="667"/>
      <c r="Z591" s="667"/>
    </row>
    <row r="592" spans="1:26" ht="15.75" customHeight="1">
      <c r="A592" s="666"/>
      <c r="B592" s="666"/>
      <c r="C592" s="666"/>
      <c r="D592" s="666"/>
      <c r="E592" s="666"/>
      <c r="F592" s="666"/>
      <c r="G592" s="666"/>
      <c r="H592" s="666"/>
      <c r="I592" s="666"/>
      <c r="J592" s="666"/>
      <c r="K592" s="666"/>
      <c r="L592" s="666"/>
      <c r="M592" s="666"/>
      <c r="N592" s="666"/>
      <c r="O592" s="666"/>
      <c r="P592" s="666"/>
      <c r="Q592" s="666"/>
      <c r="R592" s="666"/>
      <c r="S592" s="666"/>
      <c r="T592" s="666"/>
      <c r="U592" s="666"/>
      <c r="V592" s="666"/>
      <c r="W592" s="666"/>
      <c r="X592" s="666"/>
      <c r="Y592" s="667"/>
      <c r="Z592" s="667"/>
    </row>
    <row r="593" spans="1:26" ht="15.75" customHeight="1">
      <c r="A593" s="666"/>
      <c r="B593" s="666"/>
      <c r="C593" s="666"/>
      <c r="D593" s="666"/>
      <c r="E593" s="666"/>
      <c r="F593" s="666"/>
      <c r="G593" s="666"/>
      <c r="H593" s="666"/>
      <c r="I593" s="666"/>
      <c r="J593" s="666"/>
      <c r="K593" s="666"/>
      <c r="L593" s="666"/>
      <c r="M593" s="666"/>
      <c r="N593" s="666"/>
      <c r="O593" s="666"/>
      <c r="P593" s="666"/>
      <c r="Q593" s="666"/>
      <c r="R593" s="666"/>
      <c r="S593" s="666"/>
      <c r="T593" s="666"/>
      <c r="U593" s="666"/>
      <c r="V593" s="666"/>
      <c r="W593" s="666"/>
      <c r="X593" s="666"/>
      <c r="Y593" s="667"/>
      <c r="Z593" s="667"/>
    </row>
    <row r="594" spans="1:26" ht="15.75" customHeight="1">
      <c r="A594" s="666"/>
      <c r="B594" s="666"/>
      <c r="C594" s="666"/>
      <c r="D594" s="666"/>
      <c r="E594" s="666"/>
      <c r="F594" s="666"/>
      <c r="G594" s="666"/>
      <c r="H594" s="666"/>
      <c r="I594" s="666"/>
      <c r="J594" s="666"/>
      <c r="K594" s="666"/>
      <c r="L594" s="666"/>
      <c r="M594" s="666"/>
      <c r="N594" s="666"/>
      <c r="O594" s="666"/>
      <c r="P594" s="666"/>
      <c r="Q594" s="666"/>
      <c r="R594" s="666"/>
      <c r="S594" s="666"/>
      <c r="T594" s="666"/>
      <c r="U594" s="666"/>
      <c r="V594" s="666"/>
      <c r="W594" s="666"/>
      <c r="X594" s="666"/>
      <c r="Y594" s="667"/>
      <c r="Z594" s="667"/>
    </row>
    <row r="595" spans="1:26" ht="15.75" customHeight="1">
      <c r="A595" s="666"/>
      <c r="B595" s="666"/>
      <c r="C595" s="666"/>
      <c r="D595" s="666"/>
      <c r="E595" s="666"/>
      <c r="F595" s="666"/>
      <c r="G595" s="666"/>
      <c r="H595" s="666"/>
      <c r="I595" s="666"/>
      <c r="J595" s="666"/>
      <c r="K595" s="666"/>
      <c r="L595" s="666"/>
      <c r="M595" s="666"/>
      <c r="N595" s="666"/>
      <c r="O595" s="666"/>
      <c r="P595" s="666"/>
      <c r="Q595" s="666"/>
      <c r="R595" s="666"/>
      <c r="S595" s="666"/>
      <c r="T595" s="666"/>
      <c r="U595" s="666"/>
      <c r="V595" s="666"/>
      <c r="W595" s="666"/>
      <c r="X595" s="666"/>
      <c r="Y595" s="667"/>
      <c r="Z595" s="667"/>
    </row>
    <row r="596" spans="1:26" ht="15.75" customHeight="1">
      <c r="A596" s="666"/>
      <c r="B596" s="666"/>
      <c r="C596" s="666"/>
      <c r="D596" s="666"/>
      <c r="E596" s="666"/>
      <c r="F596" s="666"/>
      <c r="G596" s="666"/>
      <c r="H596" s="666"/>
      <c r="I596" s="666"/>
      <c r="J596" s="666"/>
      <c r="K596" s="666"/>
      <c r="L596" s="666"/>
      <c r="M596" s="666"/>
      <c r="N596" s="666"/>
      <c r="O596" s="666"/>
      <c r="P596" s="666"/>
      <c r="Q596" s="666"/>
      <c r="R596" s="666"/>
      <c r="S596" s="666"/>
      <c r="T596" s="666"/>
      <c r="U596" s="666"/>
      <c r="V596" s="666"/>
      <c r="W596" s="666"/>
      <c r="X596" s="666"/>
      <c r="Y596" s="667"/>
      <c r="Z596" s="667"/>
    </row>
    <row r="597" spans="1:26" ht="15.75" customHeight="1">
      <c r="A597" s="666"/>
      <c r="B597" s="666"/>
      <c r="C597" s="666"/>
      <c r="D597" s="666"/>
      <c r="E597" s="666"/>
      <c r="F597" s="666"/>
      <c r="G597" s="666"/>
      <c r="H597" s="666"/>
      <c r="I597" s="666"/>
      <c r="J597" s="666"/>
      <c r="K597" s="666"/>
      <c r="L597" s="666"/>
      <c r="M597" s="666"/>
      <c r="N597" s="666"/>
      <c r="O597" s="666"/>
      <c r="P597" s="666"/>
      <c r="Q597" s="666"/>
      <c r="R597" s="666"/>
      <c r="S597" s="666"/>
      <c r="T597" s="666"/>
      <c r="U597" s="666"/>
      <c r="V597" s="666"/>
      <c r="W597" s="666"/>
      <c r="X597" s="666"/>
      <c r="Y597" s="667"/>
      <c r="Z597" s="667"/>
    </row>
    <row r="598" spans="1:26" ht="15.75" customHeight="1">
      <c r="A598" s="666"/>
      <c r="B598" s="666"/>
      <c r="C598" s="666"/>
      <c r="D598" s="666"/>
      <c r="E598" s="666"/>
      <c r="F598" s="666"/>
      <c r="G598" s="666"/>
      <c r="H598" s="666"/>
      <c r="I598" s="666"/>
      <c r="J598" s="666"/>
      <c r="K598" s="666"/>
      <c r="L598" s="666"/>
      <c r="M598" s="666"/>
      <c r="N598" s="666"/>
      <c r="O598" s="666"/>
      <c r="P598" s="666"/>
      <c r="Q598" s="666"/>
      <c r="R598" s="666"/>
      <c r="S598" s="666"/>
      <c r="T598" s="666"/>
      <c r="U598" s="666"/>
      <c r="V598" s="666"/>
      <c r="W598" s="666"/>
      <c r="X598" s="666"/>
      <c r="Y598" s="667"/>
      <c r="Z598" s="667"/>
    </row>
    <row r="599" spans="1:26" ht="15.75" customHeight="1">
      <c r="A599" s="666"/>
      <c r="B599" s="666"/>
      <c r="C599" s="666"/>
      <c r="D599" s="666"/>
      <c r="E599" s="666"/>
      <c r="F599" s="666"/>
      <c r="G599" s="666"/>
      <c r="H599" s="666"/>
      <c r="I599" s="666"/>
      <c r="J599" s="666"/>
      <c r="K599" s="666"/>
      <c r="L599" s="666"/>
      <c r="M599" s="666"/>
      <c r="N599" s="666"/>
      <c r="O599" s="666"/>
      <c r="P599" s="666"/>
      <c r="Q599" s="666"/>
      <c r="R599" s="666"/>
      <c r="S599" s="666"/>
      <c r="T599" s="666"/>
      <c r="U599" s="666"/>
      <c r="V599" s="666"/>
      <c r="W599" s="666"/>
      <c r="X599" s="666"/>
      <c r="Y599" s="667"/>
      <c r="Z599" s="667"/>
    </row>
    <row r="600" spans="1:26" ht="15.75" customHeight="1">
      <c r="A600" s="666"/>
      <c r="B600" s="666"/>
      <c r="C600" s="666"/>
      <c r="D600" s="666"/>
      <c r="E600" s="666"/>
      <c r="F600" s="666"/>
      <c r="G600" s="666"/>
      <c r="H600" s="666"/>
      <c r="I600" s="666"/>
      <c r="J600" s="666"/>
      <c r="K600" s="666"/>
      <c r="L600" s="666"/>
      <c r="M600" s="666"/>
      <c r="N600" s="666"/>
      <c r="O600" s="666"/>
      <c r="P600" s="666"/>
      <c r="Q600" s="666"/>
      <c r="R600" s="666"/>
      <c r="S600" s="666"/>
      <c r="T600" s="666"/>
      <c r="U600" s="666"/>
      <c r="V600" s="666"/>
      <c r="W600" s="666"/>
      <c r="X600" s="666"/>
      <c r="Y600" s="667"/>
      <c r="Z600" s="667"/>
    </row>
    <row r="601" spans="1:26" ht="15.75" customHeight="1">
      <c r="A601" s="666"/>
      <c r="B601" s="666"/>
      <c r="C601" s="666"/>
      <c r="D601" s="666"/>
      <c r="E601" s="666"/>
      <c r="F601" s="666"/>
      <c r="G601" s="666"/>
      <c r="H601" s="666"/>
      <c r="I601" s="666"/>
      <c r="J601" s="666"/>
      <c r="K601" s="666"/>
      <c r="L601" s="666"/>
      <c r="M601" s="666"/>
      <c r="N601" s="666"/>
      <c r="O601" s="666"/>
      <c r="P601" s="666"/>
      <c r="Q601" s="666"/>
      <c r="R601" s="666"/>
      <c r="S601" s="666"/>
      <c r="T601" s="666"/>
      <c r="U601" s="666"/>
      <c r="V601" s="666"/>
      <c r="W601" s="666"/>
      <c r="X601" s="666"/>
      <c r="Y601" s="667"/>
      <c r="Z601" s="667"/>
    </row>
    <row r="602" spans="1:26" ht="15.75" customHeight="1">
      <c r="A602" s="666"/>
      <c r="B602" s="666"/>
      <c r="C602" s="666"/>
      <c r="D602" s="666"/>
      <c r="E602" s="666"/>
      <c r="F602" s="666"/>
      <c r="G602" s="666"/>
      <c r="H602" s="666"/>
      <c r="I602" s="666"/>
      <c r="J602" s="666"/>
      <c r="K602" s="666"/>
      <c r="L602" s="666"/>
      <c r="M602" s="666"/>
      <c r="N602" s="666"/>
      <c r="O602" s="666"/>
      <c r="P602" s="666"/>
      <c r="Q602" s="666"/>
      <c r="R602" s="666"/>
      <c r="S602" s="666"/>
      <c r="T602" s="666"/>
      <c r="U602" s="666"/>
      <c r="V602" s="666"/>
      <c r="W602" s="666"/>
      <c r="X602" s="666"/>
      <c r="Y602" s="667"/>
      <c r="Z602" s="667"/>
    </row>
    <row r="603" spans="1:26" ht="15.75" customHeight="1">
      <c r="A603" s="666"/>
      <c r="B603" s="666"/>
      <c r="C603" s="666"/>
      <c r="D603" s="666"/>
      <c r="E603" s="666"/>
      <c r="F603" s="666"/>
      <c r="G603" s="666"/>
      <c r="H603" s="666"/>
      <c r="I603" s="666"/>
      <c r="J603" s="666"/>
      <c r="K603" s="666"/>
      <c r="L603" s="666"/>
      <c r="M603" s="666"/>
      <c r="N603" s="666"/>
      <c r="O603" s="666"/>
      <c r="P603" s="666"/>
      <c r="Q603" s="666"/>
      <c r="R603" s="666"/>
      <c r="S603" s="666"/>
      <c r="T603" s="666"/>
      <c r="U603" s="666"/>
      <c r="V603" s="666"/>
      <c r="W603" s="666"/>
      <c r="X603" s="666"/>
      <c r="Y603" s="667"/>
      <c r="Z603" s="667"/>
    </row>
    <row r="604" spans="1:26" ht="15.75" customHeight="1">
      <c r="A604" s="666"/>
      <c r="B604" s="666"/>
      <c r="C604" s="666"/>
      <c r="D604" s="666"/>
      <c r="E604" s="666"/>
      <c r="F604" s="666"/>
      <c r="G604" s="666"/>
      <c r="H604" s="666"/>
      <c r="I604" s="666"/>
      <c r="J604" s="666"/>
      <c r="K604" s="666"/>
      <c r="L604" s="666"/>
      <c r="M604" s="666"/>
      <c r="N604" s="666"/>
      <c r="O604" s="666"/>
      <c r="P604" s="666"/>
      <c r="Q604" s="666"/>
      <c r="R604" s="666"/>
      <c r="S604" s="666"/>
      <c r="T604" s="666"/>
      <c r="U604" s="666"/>
      <c r="V604" s="666"/>
      <c r="W604" s="666"/>
      <c r="X604" s="666"/>
      <c r="Y604" s="667"/>
      <c r="Z604" s="667"/>
    </row>
    <row r="605" spans="1:26" ht="15.75" customHeight="1">
      <c r="A605" s="666"/>
      <c r="B605" s="666"/>
      <c r="C605" s="666"/>
      <c r="D605" s="666"/>
      <c r="E605" s="666"/>
      <c r="F605" s="666"/>
      <c r="G605" s="666"/>
      <c r="H605" s="666"/>
      <c r="I605" s="666"/>
      <c r="J605" s="666"/>
      <c r="K605" s="666"/>
      <c r="L605" s="666"/>
      <c r="M605" s="666"/>
      <c r="N605" s="666"/>
      <c r="O605" s="666"/>
      <c r="P605" s="666"/>
      <c r="Q605" s="666"/>
      <c r="R605" s="666"/>
      <c r="S605" s="666"/>
      <c r="T605" s="666"/>
      <c r="U605" s="666"/>
      <c r="V605" s="666"/>
      <c r="W605" s="666"/>
      <c r="X605" s="666"/>
      <c r="Y605" s="667"/>
      <c r="Z605" s="667"/>
    </row>
    <row r="606" spans="1:26" ht="15.75" customHeight="1">
      <c r="A606" s="666"/>
      <c r="B606" s="666"/>
      <c r="C606" s="666"/>
      <c r="D606" s="666"/>
      <c r="E606" s="666"/>
      <c r="F606" s="666"/>
      <c r="G606" s="666"/>
      <c r="H606" s="666"/>
      <c r="I606" s="666"/>
      <c r="J606" s="666"/>
      <c r="K606" s="666"/>
      <c r="L606" s="666"/>
      <c r="M606" s="666"/>
      <c r="N606" s="666"/>
      <c r="O606" s="666"/>
      <c r="P606" s="666"/>
      <c r="Q606" s="666"/>
      <c r="R606" s="666"/>
      <c r="S606" s="666"/>
      <c r="T606" s="666"/>
      <c r="U606" s="666"/>
      <c r="V606" s="666"/>
      <c r="W606" s="666"/>
      <c r="X606" s="666"/>
      <c r="Y606" s="667"/>
      <c r="Z606" s="667"/>
    </row>
    <row r="607" spans="1:26" ht="15.75" customHeight="1">
      <c r="A607" s="666"/>
      <c r="B607" s="666"/>
      <c r="C607" s="666"/>
      <c r="D607" s="666"/>
      <c r="E607" s="666"/>
      <c r="F607" s="666"/>
      <c r="G607" s="666"/>
      <c r="H607" s="666"/>
      <c r="I607" s="666"/>
      <c r="J607" s="666"/>
      <c r="K607" s="666"/>
      <c r="L607" s="666"/>
      <c r="M607" s="666"/>
      <c r="N607" s="666"/>
      <c r="O607" s="666"/>
      <c r="P607" s="666"/>
      <c r="Q607" s="666"/>
      <c r="R607" s="666"/>
      <c r="S607" s="666"/>
      <c r="T607" s="666"/>
      <c r="U607" s="666"/>
      <c r="V607" s="666"/>
      <c r="W607" s="666"/>
      <c r="X607" s="666"/>
      <c r="Y607" s="667"/>
      <c r="Z607" s="667"/>
    </row>
    <row r="608" spans="1:26" ht="15.75" customHeight="1">
      <c r="A608" s="666"/>
      <c r="B608" s="666"/>
      <c r="C608" s="666"/>
      <c r="D608" s="666"/>
      <c r="E608" s="666"/>
      <c r="F608" s="666"/>
      <c r="G608" s="666"/>
      <c r="H608" s="666"/>
      <c r="I608" s="666"/>
      <c r="J608" s="666"/>
      <c r="K608" s="666"/>
      <c r="L608" s="666"/>
      <c r="M608" s="666"/>
      <c r="N608" s="666"/>
      <c r="O608" s="666"/>
      <c r="P608" s="666"/>
      <c r="Q608" s="666"/>
      <c r="R608" s="666"/>
      <c r="S608" s="666"/>
      <c r="T608" s="666"/>
      <c r="U608" s="666"/>
      <c r="V608" s="666"/>
      <c r="W608" s="666"/>
      <c r="X608" s="666"/>
      <c r="Y608" s="667"/>
      <c r="Z608" s="667"/>
    </row>
    <row r="609" spans="1:26" ht="15.75" customHeight="1">
      <c r="A609" s="666"/>
      <c r="B609" s="666"/>
      <c r="C609" s="666"/>
      <c r="D609" s="666"/>
      <c r="E609" s="666"/>
      <c r="F609" s="666"/>
      <c r="G609" s="666"/>
      <c r="H609" s="666"/>
      <c r="I609" s="666"/>
      <c r="J609" s="666"/>
      <c r="K609" s="666"/>
      <c r="L609" s="666"/>
      <c r="M609" s="666"/>
      <c r="N609" s="666"/>
      <c r="O609" s="666"/>
      <c r="P609" s="666"/>
      <c r="Q609" s="666"/>
      <c r="R609" s="666"/>
      <c r="S609" s="666"/>
      <c r="T609" s="666"/>
      <c r="U609" s="666"/>
      <c r="V609" s="666"/>
      <c r="W609" s="666"/>
      <c r="X609" s="666"/>
      <c r="Y609" s="667"/>
      <c r="Z609" s="667"/>
    </row>
    <row r="610" spans="1:26" ht="15.75" customHeight="1">
      <c r="A610" s="666"/>
      <c r="B610" s="666"/>
      <c r="C610" s="666"/>
      <c r="D610" s="666"/>
      <c r="E610" s="666"/>
      <c r="F610" s="666"/>
      <c r="G610" s="666"/>
      <c r="H610" s="666"/>
      <c r="I610" s="666"/>
      <c r="J610" s="666"/>
      <c r="K610" s="666"/>
      <c r="L610" s="666"/>
      <c r="M610" s="666"/>
      <c r="N610" s="666"/>
      <c r="O610" s="666"/>
      <c r="P610" s="666"/>
      <c r="Q610" s="666"/>
      <c r="R610" s="666"/>
      <c r="S610" s="666"/>
      <c r="T610" s="666"/>
      <c r="U610" s="666"/>
      <c r="V610" s="666"/>
      <c r="W610" s="666"/>
      <c r="X610" s="666"/>
      <c r="Y610" s="667"/>
      <c r="Z610" s="667"/>
    </row>
    <row r="611" spans="1:26" ht="15.75" customHeight="1">
      <c r="A611" s="666"/>
      <c r="B611" s="666"/>
      <c r="C611" s="666"/>
      <c r="D611" s="666"/>
      <c r="E611" s="666"/>
      <c r="F611" s="666"/>
      <c r="G611" s="666"/>
      <c r="H611" s="666"/>
      <c r="I611" s="666"/>
      <c r="J611" s="666"/>
      <c r="K611" s="666"/>
      <c r="L611" s="666"/>
      <c r="M611" s="666"/>
      <c r="N611" s="666"/>
      <c r="O611" s="666"/>
      <c r="P611" s="666"/>
      <c r="Q611" s="666"/>
      <c r="R611" s="666"/>
      <c r="S611" s="666"/>
      <c r="T611" s="666"/>
      <c r="U611" s="666"/>
      <c r="V611" s="666"/>
      <c r="W611" s="666"/>
      <c r="X611" s="666"/>
      <c r="Y611" s="667"/>
      <c r="Z611" s="667"/>
    </row>
    <row r="612" spans="1:26" ht="15.75" customHeight="1">
      <c r="A612" s="666"/>
      <c r="B612" s="666"/>
      <c r="C612" s="666"/>
      <c r="D612" s="666"/>
      <c r="E612" s="666"/>
      <c r="F612" s="666"/>
      <c r="G612" s="666"/>
      <c r="H612" s="666"/>
      <c r="I612" s="666"/>
      <c r="J612" s="666"/>
      <c r="K612" s="666"/>
      <c r="L612" s="666"/>
      <c r="M612" s="666"/>
      <c r="N612" s="666"/>
      <c r="O612" s="666"/>
      <c r="P612" s="666"/>
      <c r="Q612" s="666"/>
      <c r="R612" s="666"/>
      <c r="S612" s="666"/>
      <c r="T612" s="666"/>
      <c r="U612" s="666"/>
      <c r="V612" s="666"/>
      <c r="W612" s="666"/>
      <c r="X612" s="666"/>
      <c r="Y612" s="667"/>
      <c r="Z612" s="667"/>
    </row>
    <row r="613" spans="1:26" ht="15.75" customHeight="1">
      <c r="A613" s="666"/>
      <c r="B613" s="666"/>
      <c r="C613" s="666"/>
      <c r="D613" s="666"/>
      <c r="E613" s="666"/>
      <c r="F613" s="666"/>
      <c r="G613" s="666"/>
      <c r="H613" s="666"/>
      <c r="I613" s="666"/>
      <c r="J613" s="666"/>
      <c r="K613" s="666"/>
      <c r="L613" s="666"/>
      <c r="M613" s="666"/>
      <c r="N613" s="666"/>
      <c r="O613" s="666"/>
      <c r="P613" s="666"/>
      <c r="Q613" s="666"/>
      <c r="R613" s="666"/>
      <c r="S613" s="666"/>
      <c r="T613" s="666"/>
      <c r="U613" s="666"/>
      <c r="V613" s="666"/>
      <c r="W613" s="666"/>
      <c r="X613" s="666"/>
      <c r="Y613" s="667"/>
      <c r="Z613" s="667"/>
    </row>
    <row r="614" spans="1:26" ht="15.75" customHeight="1">
      <c r="A614" s="666"/>
      <c r="B614" s="666"/>
      <c r="C614" s="666"/>
      <c r="D614" s="666"/>
      <c r="E614" s="666"/>
      <c r="F614" s="666"/>
      <c r="G614" s="666"/>
      <c r="H614" s="666"/>
      <c r="I614" s="666"/>
      <c r="J614" s="666"/>
      <c r="K614" s="666"/>
      <c r="L614" s="666"/>
      <c r="M614" s="666"/>
      <c r="N614" s="666"/>
      <c r="O614" s="666"/>
      <c r="P614" s="666"/>
      <c r="Q614" s="666"/>
      <c r="R614" s="666"/>
      <c r="S614" s="666"/>
      <c r="T614" s="666"/>
      <c r="U614" s="666"/>
      <c r="V614" s="666"/>
      <c r="W614" s="666"/>
      <c r="X614" s="666"/>
      <c r="Y614" s="667"/>
      <c r="Z614" s="667"/>
    </row>
    <row r="615" spans="1:26" ht="15.75" customHeight="1">
      <c r="A615" s="666"/>
      <c r="B615" s="666"/>
      <c r="C615" s="666"/>
      <c r="D615" s="666"/>
      <c r="E615" s="666"/>
      <c r="F615" s="666"/>
      <c r="G615" s="666"/>
      <c r="H615" s="666"/>
      <c r="I615" s="666"/>
      <c r="J615" s="666"/>
      <c r="K615" s="666"/>
      <c r="L615" s="666"/>
      <c r="M615" s="666"/>
      <c r="N615" s="666"/>
      <c r="O615" s="666"/>
      <c r="P615" s="666"/>
      <c r="Q615" s="666"/>
      <c r="R615" s="666"/>
      <c r="S615" s="666"/>
      <c r="T615" s="666"/>
      <c r="U615" s="666"/>
      <c r="V615" s="666"/>
      <c r="W615" s="666"/>
      <c r="X615" s="666"/>
      <c r="Y615" s="667"/>
      <c r="Z615" s="667"/>
    </row>
    <row r="616" spans="1:26" ht="15.75" customHeight="1">
      <c r="A616" s="666"/>
      <c r="B616" s="666"/>
      <c r="C616" s="666"/>
      <c r="D616" s="666"/>
      <c r="E616" s="666"/>
      <c r="F616" s="666"/>
      <c r="G616" s="666"/>
      <c r="H616" s="666"/>
      <c r="I616" s="666"/>
      <c r="J616" s="666"/>
      <c r="K616" s="666"/>
      <c r="L616" s="666"/>
      <c r="M616" s="666"/>
      <c r="N616" s="666"/>
      <c r="O616" s="666"/>
      <c r="P616" s="666"/>
      <c r="Q616" s="666"/>
      <c r="R616" s="666"/>
      <c r="S616" s="666"/>
      <c r="T616" s="666"/>
      <c r="U616" s="666"/>
      <c r="V616" s="666"/>
      <c r="W616" s="666"/>
      <c r="X616" s="666"/>
      <c r="Y616" s="667"/>
      <c r="Z616" s="667"/>
    </row>
    <row r="617" spans="1:26" ht="15.75" customHeight="1">
      <c r="A617" s="666"/>
      <c r="B617" s="666"/>
      <c r="C617" s="666"/>
      <c r="D617" s="666"/>
      <c r="E617" s="666"/>
      <c r="F617" s="666"/>
      <c r="G617" s="666"/>
      <c r="H617" s="666"/>
      <c r="I617" s="666"/>
      <c r="J617" s="666"/>
      <c r="K617" s="666"/>
      <c r="L617" s="666"/>
      <c r="M617" s="666"/>
      <c r="N617" s="666"/>
      <c r="O617" s="666"/>
      <c r="P617" s="666"/>
      <c r="Q617" s="666"/>
      <c r="R617" s="666"/>
      <c r="S617" s="666"/>
      <c r="T617" s="666"/>
      <c r="U617" s="666"/>
      <c r="V617" s="666"/>
      <c r="W617" s="666"/>
      <c r="X617" s="666"/>
      <c r="Y617" s="667"/>
      <c r="Z617" s="667"/>
    </row>
    <row r="618" spans="1:26" ht="15.75" customHeight="1">
      <c r="A618" s="666"/>
      <c r="B618" s="666"/>
      <c r="C618" s="666"/>
      <c r="D618" s="666"/>
      <c r="E618" s="666"/>
      <c r="F618" s="666"/>
      <c r="G618" s="666"/>
      <c r="H618" s="666"/>
      <c r="I618" s="666"/>
      <c r="J618" s="666"/>
      <c r="K618" s="666"/>
      <c r="L618" s="666"/>
      <c r="M618" s="666"/>
      <c r="N618" s="666"/>
      <c r="O618" s="666"/>
      <c r="P618" s="666"/>
      <c r="Q618" s="666"/>
      <c r="R618" s="666"/>
      <c r="S618" s="666"/>
      <c r="T618" s="666"/>
      <c r="U618" s="666"/>
      <c r="V618" s="666"/>
      <c r="W618" s="666"/>
      <c r="X618" s="666"/>
      <c r="Y618" s="667"/>
      <c r="Z618" s="667"/>
    </row>
    <row r="619" spans="1:26" ht="15.75" customHeight="1">
      <c r="A619" s="666"/>
      <c r="B619" s="666"/>
      <c r="C619" s="666"/>
      <c r="D619" s="666"/>
      <c r="E619" s="666"/>
      <c r="F619" s="666"/>
      <c r="G619" s="666"/>
      <c r="H619" s="666"/>
      <c r="I619" s="666"/>
      <c r="J619" s="666"/>
      <c r="K619" s="666"/>
      <c r="L619" s="666"/>
      <c r="M619" s="666"/>
      <c r="N619" s="666"/>
      <c r="O619" s="666"/>
      <c r="P619" s="666"/>
      <c r="Q619" s="666"/>
      <c r="R619" s="666"/>
      <c r="S619" s="666"/>
      <c r="T619" s="666"/>
      <c r="U619" s="666"/>
      <c r="V619" s="666"/>
      <c r="W619" s="666"/>
      <c r="X619" s="666"/>
      <c r="Y619" s="667"/>
      <c r="Z619" s="667"/>
    </row>
    <row r="620" spans="1:26" ht="15.75" customHeight="1">
      <c r="A620" s="666"/>
      <c r="B620" s="666"/>
      <c r="C620" s="666"/>
      <c r="D620" s="666"/>
      <c r="E620" s="666"/>
      <c r="F620" s="666"/>
      <c r="G620" s="666"/>
      <c r="H620" s="666"/>
      <c r="I620" s="666"/>
      <c r="J620" s="666"/>
      <c r="K620" s="666"/>
      <c r="L620" s="666"/>
      <c r="M620" s="666"/>
      <c r="N620" s="666"/>
      <c r="O620" s="666"/>
      <c r="P620" s="666"/>
      <c r="Q620" s="666"/>
      <c r="R620" s="666"/>
      <c r="S620" s="666"/>
      <c r="T620" s="666"/>
      <c r="U620" s="666"/>
      <c r="V620" s="666"/>
      <c r="W620" s="666"/>
      <c r="X620" s="666"/>
      <c r="Y620" s="667"/>
      <c r="Z620" s="667"/>
    </row>
    <row r="621" spans="1:26" ht="15.75" customHeight="1">
      <c r="A621" s="666"/>
      <c r="B621" s="666"/>
      <c r="C621" s="666"/>
      <c r="D621" s="666"/>
      <c r="E621" s="666"/>
      <c r="F621" s="666"/>
      <c r="G621" s="666"/>
      <c r="H621" s="666"/>
      <c r="I621" s="666"/>
      <c r="J621" s="666"/>
      <c r="K621" s="666"/>
      <c r="L621" s="666"/>
      <c r="M621" s="666"/>
      <c r="N621" s="666"/>
      <c r="O621" s="666"/>
      <c r="P621" s="666"/>
      <c r="Q621" s="666"/>
      <c r="R621" s="666"/>
      <c r="S621" s="666"/>
      <c r="T621" s="666"/>
      <c r="U621" s="666"/>
      <c r="V621" s="666"/>
      <c r="W621" s="666"/>
      <c r="X621" s="666"/>
      <c r="Y621" s="667"/>
      <c r="Z621" s="667"/>
    </row>
    <row r="622" spans="1:26" ht="15.75" customHeight="1">
      <c r="A622" s="666"/>
      <c r="B622" s="666"/>
      <c r="C622" s="666"/>
      <c r="D622" s="666"/>
      <c r="E622" s="666"/>
      <c r="F622" s="666"/>
      <c r="G622" s="666"/>
      <c r="H622" s="666"/>
      <c r="I622" s="666"/>
      <c r="J622" s="666"/>
      <c r="K622" s="666"/>
      <c r="L622" s="666"/>
      <c r="M622" s="666"/>
      <c r="N622" s="666"/>
      <c r="O622" s="666"/>
      <c r="P622" s="666"/>
      <c r="Q622" s="666"/>
      <c r="R622" s="666"/>
      <c r="S622" s="666"/>
      <c r="T622" s="666"/>
      <c r="U622" s="666"/>
      <c r="V622" s="666"/>
      <c r="W622" s="666"/>
      <c r="X622" s="666"/>
      <c r="Y622" s="667"/>
      <c r="Z622" s="667"/>
    </row>
    <row r="623" spans="1:26" ht="15.75" customHeight="1">
      <c r="A623" s="666"/>
      <c r="B623" s="666"/>
      <c r="C623" s="666"/>
      <c r="D623" s="666"/>
      <c r="E623" s="666"/>
      <c r="F623" s="666"/>
      <c r="G623" s="666"/>
      <c r="H623" s="666"/>
      <c r="I623" s="666"/>
      <c r="J623" s="666"/>
      <c r="K623" s="666"/>
      <c r="L623" s="666"/>
      <c r="M623" s="666"/>
      <c r="N623" s="666"/>
      <c r="O623" s="666"/>
      <c r="P623" s="666"/>
      <c r="Q623" s="666"/>
      <c r="R623" s="666"/>
      <c r="S623" s="666"/>
      <c r="T623" s="666"/>
      <c r="U623" s="666"/>
      <c r="V623" s="666"/>
      <c r="W623" s="666"/>
      <c r="X623" s="666"/>
      <c r="Y623" s="667"/>
      <c r="Z623" s="667"/>
    </row>
    <row r="624" spans="1:26" ht="15.75" customHeight="1">
      <c r="A624" s="666"/>
      <c r="B624" s="666"/>
      <c r="C624" s="666"/>
      <c r="D624" s="666"/>
      <c r="E624" s="666"/>
      <c r="F624" s="666"/>
      <c r="G624" s="666"/>
      <c r="H624" s="666"/>
      <c r="I624" s="666"/>
      <c r="J624" s="666"/>
      <c r="K624" s="666"/>
      <c r="L624" s="666"/>
      <c r="M624" s="666"/>
      <c r="N624" s="666"/>
      <c r="O624" s="666"/>
      <c r="P624" s="666"/>
      <c r="Q624" s="666"/>
      <c r="R624" s="666"/>
      <c r="S624" s="666"/>
      <c r="T624" s="666"/>
      <c r="U624" s="666"/>
      <c r="V624" s="666"/>
      <c r="W624" s="666"/>
      <c r="X624" s="666"/>
      <c r="Y624" s="667"/>
      <c r="Z624" s="667"/>
    </row>
    <row r="625" spans="1:26" ht="15.75" customHeight="1">
      <c r="A625" s="666"/>
      <c r="B625" s="666"/>
      <c r="C625" s="666"/>
      <c r="D625" s="666"/>
      <c r="E625" s="666"/>
      <c r="F625" s="666"/>
      <c r="G625" s="666"/>
      <c r="H625" s="666"/>
      <c r="I625" s="666"/>
      <c r="J625" s="666"/>
      <c r="K625" s="666"/>
      <c r="L625" s="666"/>
      <c r="M625" s="666"/>
      <c r="N625" s="666"/>
      <c r="O625" s="666"/>
      <c r="P625" s="666"/>
      <c r="Q625" s="666"/>
      <c r="R625" s="666"/>
      <c r="S625" s="666"/>
      <c r="T625" s="666"/>
      <c r="U625" s="666"/>
      <c r="V625" s="666"/>
      <c r="W625" s="666"/>
      <c r="X625" s="666"/>
      <c r="Y625" s="667"/>
      <c r="Z625" s="667"/>
    </row>
    <row r="626" spans="1:26" ht="15.75" customHeight="1">
      <c r="A626" s="666"/>
      <c r="B626" s="666"/>
      <c r="C626" s="666"/>
      <c r="D626" s="666"/>
      <c r="E626" s="666"/>
      <c r="F626" s="666"/>
      <c r="G626" s="666"/>
      <c r="H626" s="666"/>
      <c r="I626" s="666"/>
      <c r="J626" s="666"/>
      <c r="K626" s="666"/>
      <c r="L626" s="666"/>
      <c r="M626" s="666"/>
      <c r="N626" s="666"/>
      <c r="O626" s="666"/>
      <c r="P626" s="666"/>
      <c r="Q626" s="666"/>
      <c r="R626" s="666"/>
      <c r="S626" s="666"/>
      <c r="T626" s="666"/>
      <c r="U626" s="666"/>
      <c r="V626" s="666"/>
      <c r="W626" s="666"/>
      <c r="X626" s="666"/>
      <c r="Y626" s="667"/>
      <c r="Z626" s="667"/>
    </row>
    <row r="627" spans="1:26" ht="15.75" customHeight="1">
      <c r="A627" s="666"/>
      <c r="B627" s="666"/>
      <c r="C627" s="666"/>
      <c r="D627" s="666"/>
      <c r="E627" s="666"/>
      <c r="F627" s="666"/>
      <c r="G627" s="666"/>
      <c r="H627" s="666"/>
      <c r="I627" s="666"/>
      <c r="J627" s="666"/>
      <c r="K627" s="666"/>
      <c r="L627" s="666"/>
      <c r="M627" s="666"/>
      <c r="N627" s="666"/>
      <c r="O627" s="666"/>
      <c r="P627" s="666"/>
      <c r="Q627" s="666"/>
      <c r="R627" s="666"/>
      <c r="S627" s="666"/>
      <c r="T627" s="666"/>
      <c r="U627" s="666"/>
      <c r="V627" s="666"/>
      <c r="W627" s="666"/>
      <c r="X627" s="666"/>
      <c r="Y627" s="667"/>
      <c r="Z627" s="667"/>
    </row>
    <row r="628" spans="1:26" ht="15.75" customHeight="1">
      <c r="A628" s="666"/>
      <c r="B628" s="666"/>
      <c r="C628" s="666"/>
      <c r="D628" s="666"/>
      <c r="E628" s="666"/>
      <c r="F628" s="666"/>
      <c r="G628" s="666"/>
      <c r="H628" s="666"/>
      <c r="I628" s="666"/>
      <c r="J628" s="666"/>
      <c r="K628" s="666"/>
      <c r="L628" s="666"/>
      <c r="M628" s="666"/>
      <c r="N628" s="666"/>
      <c r="O628" s="666"/>
      <c r="P628" s="666"/>
      <c r="Q628" s="666"/>
      <c r="R628" s="666"/>
      <c r="S628" s="666"/>
      <c r="T628" s="666"/>
      <c r="U628" s="666"/>
      <c r="V628" s="666"/>
      <c r="W628" s="666"/>
      <c r="X628" s="666"/>
      <c r="Y628" s="667"/>
      <c r="Z628" s="667"/>
    </row>
    <row r="629" spans="1:26" ht="15.75" customHeight="1">
      <c r="A629" s="666"/>
      <c r="B629" s="666"/>
      <c r="C629" s="666"/>
      <c r="D629" s="666"/>
      <c r="E629" s="666"/>
      <c r="F629" s="666"/>
      <c r="G629" s="666"/>
      <c r="H629" s="666"/>
      <c r="I629" s="666"/>
      <c r="J629" s="666"/>
      <c r="K629" s="666"/>
      <c r="L629" s="666"/>
      <c r="M629" s="666"/>
      <c r="N629" s="666"/>
      <c r="O629" s="666"/>
      <c r="P629" s="666"/>
      <c r="Q629" s="666"/>
      <c r="R629" s="666"/>
      <c r="S629" s="666"/>
      <c r="T629" s="666"/>
      <c r="U629" s="666"/>
      <c r="V629" s="666"/>
      <c r="W629" s="666"/>
      <c r="X629" s="666"/>
      <c r="Y629" s="667"/>
      <c r="Z629" s="667"/>
    </row>
    <row r="630" spans="1:26" ht="15.75" customHeight="1">
      <c r="A630" s="666"/>
      <c r="B630" s="666"/>
      <c r="C630" s="666"/>
      <c r="D630" s="666"/>
      <c r="E630" s="666"/>
      <c r="F630" s="666"/>
      <c r="G630" s="666"/>
      <c r="H630" s="666"/>
      <c r="I630" s="666"/>
      <c r="J630" s="666"/>
      <c r="K630" s="666"/>
      <c r="L630" s="666"/>
      <c r="M630" s="666"/>
      <c r="N630" s="666"/>
      <c r="O630" s="666"/>
      <c r="P630" s="666"/>
      <c r="Q630" s="666"/>
      <c r="R630" s="666"/>
      <c r="S630" s="666"/>
      <c r="T630" s="666"/>
      <c r="U630" s="666"/>
      <c r="V630" s="666"/>
      <c r="W630" s="666"/>
      <c r="X630" s="666"/>
      <c r="Y630" s="667"/>
      <c r="Z630" s="667"/>
    </row>
    <row r="631" spans="1:26" ht="15.75" customHeight="1">
      <c r="A631" s="666"/>
      <c r="B631" s="666"/>
      <c r="C631" s="666"/>
      <c r="D631" s="666"/>
      <c r="E631" s="666"/>
      <c r="F631" s="666"/>
      <c r="G631" s="666"/>
      <c r="H631" s="666"/>
      <c r="I631" s="666"/>
      <c r="J631" s="666"/>
      <c r="K631" s="666"/>
      <c r="L631" s="666"/>
      <c r="M631" s="666"/>
      <c r="N631" s="666"/>
      <c r="O631" s="666"/>
      <c r="P631" s="666"/>
      <c r="Q631" s="666"/>
      <c r="R631" s="666"/>
      <c r="S631" s="666"/>
      <c r="T631" s="666"/>
      <c r="U631" s="666"/>
      <c r="V631" s="666"/>
      <c r="W631" s="666"/>
      <c r="X631" s="666"/>
      <c r="Y631" s="667"/>
      <c r="Z631" s="667"/>
    </row>
    <row r="632" spans="1:26" ht="15.75" customHeight="1">
      <c r="A632" s="666"/>
      <c r="B632" s="666"/>
      <c r="C632" s="666"/>
      <c r="D632" s="666"/>
      <c r="E632" s="666"/>
      <c r="F632" s="666"/>
      <c r="G632" s="666"/>
      <c r="H632" s="666"/>
      <c r="I632" s="666"/>
      <c r="J632" s="666"/>
      <c r="K632" s="666"/>
      <c r="L632" s="666"/>
      <c r="M632" s="666"/>
      <c r="N632" s="666"/>
      <c r="O632" s="666"/>
      <c r="P632" s="666"/>
      <c r="Q632" s="666"/>
      <c r="R632" s="666"/>
      <c r="S632" s="666"/>
      <c r="T632" s="666"/>
      <c r="U632" s="666"/>
      <c r="V632" s="666"/>
      <c r="W632" s="666"/>
      <c r="X632" s="666"/>
      <c r="Y632" s="667"/>
      <c r="Z632" s="667"/>
    </row>
    <row r="633" spans="1:26" ht="15.75" customHeight="1">
      <c r="A633" s="666"/>
      <c r="B633" s="666"/>
      <c r="C633" s="666"/>
      <c r="D633" s="666"/>
      <c r="E633" s="666"/>
      <c r="F633" s="666"/>
      <c r="G633" s="666"/>
      <c r="H633" s="666"/>
      <c r="I633" s="666"/>
      <c r="J633" s="666"/>
      <c r="K633" s="666"/>
      <c r="L633" s="666"/>
      <c r="M633" s="666"/>
      <c r="N633" s="666"/>
      <c r="O633" s="666"/>
      <c r="P633" s="666"/>
      <c r="Q633" s="666"/>
      <c r="R633" s="666"/>
      <c r="S633" s="666"/>
      <c r="T633" s="666"/>
      <c r="U633" s="666"/>
      <c r="V633" s="666"/>
      <c r="W633" s="666"/>
      <c r="X633" s="666"/>
      <c r="Y633" s="667"/>
      <c r="Z633" s="667"/>
    </row>
    <row r="634" spans="1:26" ht="15.75" customHeight="1">
      <c r="A634" s="666"/>
      <c r="B634" s="666"/>
      <c r="C634" s="666"/>
      <c r="D634" s="666"/>
      <c r="E634" s="666"/>
      <c r="F634" s="666"/>
      <c r="G634" s="666"/>
      <c r="H634" s="666"/>
      <c r="I634" s="666"/>
      <c r="J634" s="666"/>
      <c r="K634" s="666"/>
      <c r="L634" s="666"/>
      <c r="M634" s="666"/>
      <c r="N634" s="666"/>
      <c r="O634" s="666"/>
      <c r="P634" s="666"/>
      <c r="Q634" s="666"/>
      <c r="R634" s="666"/>
      <c r="S634" s="666"/>
      <c r="T634" s="666"/>
      <c r="U634" s="666"/>
      <c r="V634" s="666"/>
      <c r="W634" s="666"/>
      <c r="X634" s="666"/>
      <c r="Y634" s="667"/>
      <c r="Z634" s="667"/>
    </row>
    <row r="635" spans="1:26" ht="15.75" customHeight="1">
      <c r="A635" s="666"/>
      <c r="B635" s="666"/>
      <c r="C635" s="666"/>
      <c r="D635" s="666"/>
      <c r="E635" s="666"/>
      <c r="F635" s="666"/>
      <c r="G635" s="666"/>
      <c r="H635" s="666"/>
      <c r="I635" s="666"/>
      <c r="J635" s="666"/>
      <c r="K635" s="666"/>
      <c r="L635" s="666"/>
      <c r="M635" s="666"/>
      <c r="N635" s="666"/>
      <c r="O635" s="666"/>
      <c r="P635" s="666"/>
      <c r="Q635" s="666"/>
      <c r="R635" s="666"/>
      <c r="S635" s="666"/>
      <c r="T635" s="666"/>
      <c r="U635" s="666"/>
      <c r="V635" s="666"/>
      <c r="W635" s="666"/>
      <c r="X635" s="666"/>
      <c r="Y635" s="667"/>
      <c r="Z635" s="667"/>
    </row>
    <row r="636" spans="1:26" ht="15.75" customHeight="1">
      <c r="A636" s="666"/>
      <c r="B636" s="666"/>
      <c r="C636" s="666"/>
      <c r="D636" s="666"/>
      <c r="E636" s="666"/>
      <c r="F636" s="666"/>
      <c r="G636" s="666"/>
      <c r="H636" s="666"/>
      <c r="I636" s="666"/>
      <c r="J636" s="666"/>
      <c r="K636" s="666"/>
      <c r="L636" s="666"/>
      <c r="M636" s="666"/>
      <c r="N636" s="666"/>
      <c r="O636" s="666"/>
      <c r="P636" s="666"/>
      <c r="Q636" s="666"/>
      <c r="R636" s="666"/>
      <c r="S636" s="666"/>
      <c r="T636" s="666"/>
      <c r="U636" s="666"/>
      <c r="V636" s="666"/>
      <c r="W636" s="666"/>
      <c r="X636" s="666"/>
      <c r="Y636" s="667"/>
      <c r="Z636" s="667"/>
    </row>
    <row r="637" spans="1:26" ht="15.75" customHeight="1">
      <c r="A637" s="666"/>
      <c r="B637" s="666"/>
      <c r="C637" s="666"/>
      <c r="D637" s="666"/>
      <c r="E637" s="666"/>
      <c r="F637" s="666"/>
      <c r="G637" s="666"/>
      <c r="H637" s="666"/>
      <c r="I637" s="666"/>
      <c r="J637" s="666"/>
      <c r="K637" s="666"/>
      <c r="L637" s="666"/>
      <c r="M637" s="666"/>
      <c r="N637" s="666"/>
      <c r="O637" s="666"/>
      <c r="P637" s="666"/>
      <c r="Q637" s="666"/>
      <c r="R637" s="666"/>
      <c r="S637" s="666"/>
      <c r="T637" s="666"/>
      <c r="U637" s="666"/>
      <c r="V637" s="666"/>
      <c r="W637" s="666"/>
      <c r="X637" s="666"/>
      <c r="Y637" s="667"/>
      <c r="Z637" s="667"/>
    </row>
    <row r="638" spans="1:26" ht="15.75" customHeight="1">
      <c r="A638" s="666"/>
      <c r="B638" s="666"/>
      <c r="C638" s="666"/>
      <c r="D638" s="666"/>
      <c r="E638" s="666"/>
      <c r="F638" s="666"/>
      <c r="G638" s="666"/>
      <c r="H638" s="666"/>
      <c r="I638" s="666"/>
      <c r="J638" s="666"/>
      <c r="K638" s="666"/>
      <c r="L638" s="666"/>
      <c r="M638" s="666"/>
      <c r="N638" s="666"/>
      <c r="O638" s="666"/>
      <c r="P638" s="666"/>
      <c r="Q638" s="666"/>
      <c r="R638" s="666"/>
      <c r="S638" s="666"/>
      <c r="T638" s="666"/>
      <c r="U638" s="666"/>
      <c r="V638" s="666"/>
      <c r="W638" s="666"/>
      <c r="X638" s="666"/>
      <c r="Y638" s="667"/>
      <c r="Z638" s="667"/>
    </row>
    <row r="639" spans="1:26" ht="15.75" customHeight="1">
      <c r="A639" s="666"/>
      <c r="B639" s="666"/>
      <c r="C639" s="666"/>
      <c r="D639" s="666"/>
      <c r="E639" s="666"/>
      <c r="F639" s="666"/>
      <c r="G639" s="666"/>
      <c r="H639" s="666"/>
      <c r="I639" s="666"/>
      <c r="J639" s="666"/>
      <c r="K639" s="666"/>
      <c r="L639" s="666"/>
      <c r="M639" s="666"/>
      <c r="N639" s="666"/>
      <c r="O639" s="666"/>
      <c r="P639" s="666"/>
      <c r="Q639" s="666"/>
      <c r="R639" s="666"/>
      <c r="S639" s="666"/>
      <c r="T639" s="666"/>
      <c r="U639" s="666"/>
      <c r="V639" s="666"/>
      <c r="W639" s="666"/>
      <c r="X639" s="666"/>
      <c r="Y639" s="667"/>
      <c r="Z639" s="667"/>
    </row>
    <row r="640" spans="1:26" ht="15.75" customHeight="1">
      <c r="A640" s="666"/>
      <c r="B640" s="666"/>
      <c r="C640" s="666"/>
      <c r="D640" s="666"/>
      <c r="E640" s="666"/>
      <c r="F640" s="666"/>
      <c r="G640" s="666"/>
      <c r="H640" s="666"/>
      <c r="I640" s="666"/>
      <c r="J640" s="666"/>
      <c r="K640" s="666"/>
      <c r="L640" s="666"/>
      <c r="M640" s="666"/>
      <c r="N640" s="666"/>
      <c r="O640" s="666"/>
      <c r="P640" s="666"/>
      <c r="Q640" s="666"/>
      <c r="R640" s="666"/>
      <c r="S640" s="666"/>
      <c r="T640" s="666"/>
      <c r="U640" s="666"/>
      <c r="V640" s="666"/>
      <c r="W640" s="666"/>
      <c r="X640" s="666"/>
      <c r="Y640" s="667"/>
      <c r="Z640" s="667"/>
    </row>
    <row r="641" spans="1:26" ht="15.75" customHeight="1">
      <c r="A641" s="666"/>
      <c r="B641" s="666"/>
      <c r="C641" s="666"/>
      <c r="D641" s="666"/>
      <c r="E641" s="666"/>
      <c r="F641" s="666"/>
      <c r="G641" s="666"/>
      <c r="H641" s="666"/>
      <c r="I641" s="666"/>
      <c r="J641" s="666"/>
      <c r="K641" s="666"/>
      <c r="L641" s="666"/>
      <c r="M641" s="666"/>
      <c r="N641" s="666"/>
      <c r="O641" s="666"/>
      <c r="P641" s="666"/>
      <c r="Q641" s="666"/>
      <c r="R641" s="666"/>
      <c r="S641" s="666"/>
      <c r="T641" s="666"/>
      <c r="U641" s="666"/>
      <c r="V641" s="666"/>
      <c r="W641" s="666"/>
      <c r="X641" s="666"/>
      <c r="Y641" s="667"/>
      <c r="Z641" s="667"/>
    </row>
    <row r="642" spans="1:26" ht="15.75" customHeight="1">
      <c r="A642" s="666"/>
      <c r="B642" s="666"/>
      <c r="C642" s="666"/>
      <c r="D642" s="666"/>
      <c r="E642" s="666"/>
      <c r="F642" s="666"/>
      <c r="G642" s="666"/>
      <c r="H642" s="666"/>
      <c r="I642" s="666"/>
      <c r="J642" s="666"/>
      <c r="K642" s="666"/>
      <c r="L642" s="666"/>
      <c r="M642" s="666"/>
      <c r="N642" s="666"/>
      <c r="O642" s="666"/>
      <c r="P642" s="666"/>
      <c r="Q642" s="666"/>
      <c r="R642" s="666"/>
      <c r="S642" s="666"/>
      <c r="T642" s="666"/>
      <c r="U642" s="666"/>
      <c r="V642" s="666"/>
      <c r="W642" s="666"/>
      <c r="X642" s="666"/>
      <c r="Y642" s="667"/>
      <c r="Z642" s="667"/>
    </row>
    <row r="643" spans="1:26" ht="15.75" customHeight="1">
      <c r="A643" s="666"/>
      <c r="B643" s="666"/>
      <c r="C643" s="666"/>
      <c r="D643" s="666"/>
      <c r="E643" s="666"/>
      <c r="F643" s="666"/>
      <c r="G643" s="666"/>
      <c r="H643" s="666"/>
      <c r="I643" s="666"/>
      <c r="J643" s="666"/>
      <c r="K643" s="666"/>
      <c r="L643" s="666"/>
      <c r="M643" s="666"/>
      <c r="N643" s="666"/>
      <c r="O643" s="666"/>
      <c r="P643" s="666"/>
      <c r="Q643" s="666"/>
      <c r="R643" s="666"/>
      <c r="S643" s="666"/>
      <c r="T643" s="666"/>
      <c r="U643" s="666"/>
      <c r="V643" s="666"/>
      <c r="W643" s="666"/>
      <c r="X643" s="666"/>
      <c r="Y643" s="667"/>
      <c r="Z643" s="667"/>
    </row>
    <row r="644" spans="1:26" ht="15.75" customHeight="1">
      <c r="A644" s="666"/>
      <c r="B644" s="666"/>
      <c r="C644" s="666"/>
      <c r="D644" s="666"/>
      <c r="E644" s="666"/>
      <c r="F644" s="666"/>
      <c r="G644" s="666"/>
      <c r="H644" s="666"/>
      <c r="I644" s="666"/>
      <c r="J644" s="666"/>
      <c r="K644" s="666"/>
      <c r="L644" s="666"/>
      <c r="M644" s="666"/>
      <c r="N644" s="666"/>
      <c r="O644" s="666"/>
      <c r="P644" s="666"/>
      <c r="Q644" s="666"/>
      <c r="R644" s="666"/>
      <c r="S644" s="666"/>
      <c r="T644" s="666"/>
      <c r="U644" s="666"/>
      <c r="V644" s="666"/>
      <c r="W644" s="666"/>
      <c r="X644" s="666"/>
      <c r="Y644" s="667"/>
      <c r="Z644" s="667"/>
    </row>
    <row r="645" spans="1:26" ht="15.75" customHeight="1">
      <c r="A645" s="666"/>
      <c r="B645" s="666"/>
      <c r="C645" s="666"/>
      <c r="D645" s="666"/>
      <c r="E645" s="666"/>
      <c r="F645" s="666"/>
      <c r="G645" s="666"/>
      <c r="H645" s="666"/>
      <c r="I645" s="666"/>
      <c r="J645" s="666"/>
      <c r="K645" s="666"/>
      <c r="L645" s="666"/>
      <c r="M645" s="666"/>
      <c r="N645" s="666"/>
      <c r="O645" s="666"/>
      <c r="P645" s="666"/>
      <c r="Q645" s="666"/>
      <c r="R645" s="666"/>
      <c r="S645" s="666"/>
      <c r="T645" s="666"/>
      <c r="U645" s="666"/>
      <c r="V645" s="666"/>
      <c r="W645" s="666"/>
      <c r="X645" s="666"/>
      <c r="Y645" s="667"/>
      <c r="Z645" s="667"/>
    </row>
    <row r="646" spans="1:26" ht="15.75" customHeight="1">
      <c r="A646" s="666"/>
      <c r="B646" s="666"/>
      <c r="C646" s="666"/>
      <c r="D646" s="666"/>
      <c r="E646" s="666"/>
      <c r="F646" s="666"/>
      <c r="G646" s="666"/>
      <c r="H646" s="666"/>
      <c r="I646" s="666"/>
      <c r="J646" s="666"/>
      <c r="K646" s="666"/>
      <c r="L646" s="666"/>
      <c r="M646" s="666"/>
      <c r="N646" s="666"/>
      <c r="O646" s="666"/>
      <c r="P646" s="666"/>
      <c r="Q646" s="666"/>
      <c r="R646" s="666"/>
      <c r="S646" s="666"/>
      <c r="T646" s="666"/>
      <c r="U646" s="666"/>
      <c r="V646" s="666"/>
      <c r="W646" s="666"/>
      <c r="X646" s="666"/>
      <c r="Y646" s="667"/>
      <c r="Z646" s="667"/>
    </row>
    <row r="647" spans="1:26" ht="15.75" customHeight="1">
      <c r="A647" s="666"/>
      <c r="B647" s="666"/>
      <c r="C647" s="666"/>
      <c r="D647" s="666"/>
      <c r="E647" s="666"/>
      <c r="F647" s="666"/>
      <c r="G647" s="666"/>
      <c r="H647" s="666"/>
      <c r="I647" s="666"/>
      <c r="J647" s="666"/>
      <c r="K647" s="666"/>
      <c r="L647" s="666"/>
      <c r="M647" s="666"/>
      <c r="N647" s="666"/>
      <c r="O647" s="666"/>
      <c r="P647" s="666"/>
      <c r="Q647" s="666"/>
      <c r="R647" s="666"/>
      <c r="S647" s="666"/>
      <c r="T647" s="666"/>
      <c r="U647" s="666"/>
      <c r="V647" s="666"/>
      <c r="W647" s="666"/>
      <c r="X647" s="666"/>
      <c r="Y647" s="667"/>
      <c r="Z647" s="667"/>
    </row>
    <row r="648" spans="1:26" ht="15.75" customHeight="1">
      <c r="A648" s="666"/>
      <c r="B648" s="666"/>
      <c r="C648" s="666"/>
      <c r="D648" s="666"/>
      <c r="E648" s="666"/>
      <c r="F648" s="666"/>
      <c r="G648" s="666"/>
      <c r="H648" s="666"/>
      <c r="I648" s="666"/>
      <c r="J648" s="666"/>
      <c r="K648" s="666"/>
      <c r="L648" s="666"/>
      <c r="M648" s="666"/>
      <c r="N648" s="666"/>
      <c r="O648" s="666"/>
      <c r="P648" s="666"/>
      <c r="Q648" s="666"/>
      <c r="R648" s="666"/>
      <c r="S648" s="666"/>
      <c r="T648" s="666"/>
      <c r="U648" s="666"/>
      <c r="V648" s="666"/>
      <c r="W648" s="666"/>
      <c r="X648" s="666"/>
      <c r="Y648" s="667"/>
      <c r="Z648" s="667"/>
    </row>
    <row r="649" spans="1:26" ht="15.75" customHeight="1">
      <c r="A649" s="666"/>
      <c r="B649" s="666"/>
      <c r="C649" s="666"/>
      <c r="D649" s="666"/>
      <c r="E649" s="666"/>
      <c r="F649" s="666"/>
      <c r="G649" s="666"/>
      <c r="H649" s="666"/>
      <c r="I649" s="666"/>
      <c r="J649" s="666"/>
      <c r="K649" s="666"/>
      <c r="L649" s="666"/>
      <c r="M649" s="666"/>
      <c r="N649" s="666"/>
      <c r="O649" s="666"/>
      <c r="P649" s="666"/>
      <c r="Q649" s="666"/>
      <c r="R649" s="666"/>
      <c r="S649" s="666"/>
      <c r="T649" s="666"/>
      <c r="U649" s="666"/>
      <c r="V649" s="666"/>
      <c r="W649" s="666"/>
      <c r="X649" s="666"/>
      <c r="Y649" s="667"/>
      <c r="Z649" s="667"/>
    </row>
    <row r="650" spans="1:26" ht="15.75" customHeight="1">
      <c r="A650" s="666"/>
      <c r="B650" s="666"/>
      <c r="C650" s="666"/>
      <c r="D650" s="666"/>
      <c r="E650" s="666"/>
      <c r="F650" s="666"/>
      <c r="G650" s="666"/>
      <c r="H650" s="666"/>
      <c r="I650" s="666"/>
      <c r="J650" s="666"/>
      <c r="K650" s="666"/>
      <c r="L650" s="666"/>
      <c r="M650" s="666"/>
      <c r="N650" s="666"/>
      <c r="O650" s="666"/>
      <c r="P650" s="666"/>
      <c r="Q650" s="666"/>
      <c r="R650" s="666"/>
      <c r="S650" s="666"/>
      <c r="T650" s="666"/>
      <c r="U650" s="666"/>
      <c r="V650" s="666"/>
      <c r="W650" s="666"/>
      <c r="X650" s="666"/>
      <c r="Y650" s="667"/>
      <c r="Z650" s="667"/>
    </row>
    <row r="651" spans="1:26" ht="15.75" customHeight="1">
      <c r="A651" s="666"/>
      <c r="B651" s="666"/>
      <c r="C651" s="666"/>
      <c r="D651" s="666"/>
      <c r="E651" s="666"/>
      <c r="F651" s="666"/>
      <c r="G651" s="666"/>
      <c r="H651" s="666"/>
      <c r="I651" s="666"/>
      <c r="J651" s="666"/>
      <c r="K651" s="666"/>
      <c r="L651" s="666"/>
      <c r="M651" s="666"/>
      <c r="N651" s="666"/>
      <c r="O651" s="666"/>
      <c r="P651" s="666"/>
      <c r="Q651" s="666"/>
      <c r="R651" s="666"/>
      <c r="S651" s="666"/>
      <c r="T651" s="666"/>
      <c r="U651" s="666"/>
      <c r="V651" s="666"/>
      <c r="W651" s="666"/>
      <c r="X651" s="666"/>
      <c r="Y651" s="667"/>
      <c r="Z651" s="667"/>
    </row>
    <row r="652" spans="1:26" ht="15.75" customHeight="1">
      <c r="A652" s="666"/>
      <c r="B652" s="666"/>
      <c r="C652" s="666"/>
      <c r="D652" s="666"/>
      <c r="E652" s="666"/>
      <c r="F652" s="666"/>
      <c r="G652" s="666"/>
      <c r="H652" s="666"/>
      <c r="I652" s="666"/>
      <c r="J652" s="666"/>
      <c r="K652" s="666"/>
      <c r="L652" s="666"/>
      <c r="M652" s="666"/>
      <c r="N652" s="666"/>
      <c r="O652" s="666"/>
      <c r="P652" s="666"/>
      <c r="Q652" s="666"/>
      <c r="R652" s="666"/>
      <c r="S652" s="666"/>
      <c r="T652" s="666"/>
      <c r="U652" s="666"/>
      <c r="V652" s="666"/>
      <c r="W652" s="666"/>
      <c r="X652" s="666"/>
      <c r="Y652" s="667"/>
      <c r="Z652" s="667"/>
    </row>
    <row r="653" spans="1:26" ht="15.75" customHeight="1">
      <c r="A653" s="666"/>
      <c r="B653" s="666"/>
      <c r="C653" s="666"/>
      <c r="D653" s="666"/>
      <c r="E653" s="666"/>
      <c r="F653" s="666"/>
      <c r="G653" s="666"/>
      <c r="H653" s="666"/>
      <c r="I653" s="666"/>
      <c r="J653" s="666"/>
      <c r="K653" s="666"/>
      <c r="L653" s="666"/>
      <c r="M653" s="666"/>
      <c r="N653" s="666"/>
      <c r="O653" s="666"/>
      <c r="P653" s="666"/>
      <c r="Q653" s="666"/>
      <c r="R653" s="666"/>
      <c r="S653" s="666"/>
      <c r="T653" s="666"/>
      <c r="U653" s="666"/>
      <c r="V653" s="666"/>
      <c r="W653" s="666"/>
      <c r="X653" s="666"/>
      <c r="Y653" s="667"/>
      <c r="Z653" s="667"/>
    </row>
    <row r="654" spans="1:26" ht="15.75" customHeight="1">
      <c r="A654" s="666"/>
      <c r="B654" s="666"/>
      <c r="C654" s="666"/>
      <c r="D654" s="666"/>
      <c r="E654" s="666"/>
      <c r="F654" s="666"/>
      <c r="G654" s="666"/>
      <c r="H654" s="666"/>
      <c r="I654" s="666"/>
      <c r="J654" s="666"/>
      <c r="K654" s="666"/>
      <c r="L654" s="666"/>
      <c r="M654" s="666"/>
      <c r="N654" s="666"/>
      <c r="O654" s="666"/>
      <c r="P654" s="666"/>
      <c r="Q654" s="666"/>
      <c r="R654" s="666"/>
      <c r="S654" s="666"/>
      <c r="T654" s="666"/>
      <c r="U654" s="666"/>
      <c r="V654" s="666"/>
      <c r="W654" s="666"/>
      <c r="X654" s="666"/>
      <c r="Y654" s="667"/>
      <c r="Z654" s="667"/>
    </row>
    <row r="655" spans="1:26" ht="15.75" customHeight="1">
      <c r="A655" s="666"/>
      <c r="B655" s="666"/>
      <c r="C655" s="666"/>
      <c r="D655" s="666"/>
      <c r="E655" s="666"/>
      <c r="F655" s="666"/>
      <c r="G655" s="666"/>
      <c r="H655" s="666"/>
      <c r="I655" s="666"/>
      <c r="J655" s="666"/>
      <c r="K655" s="666"/>
      <c r="L655" s="666"/>
      <c r="M655" s="666"/>
      <c r="N655" s="666"/>
      <c r="O655" s="666"/>
      <c r="P655" s="666"/>
      <c r="Q655" s="666"/>
      <c r="R655" s="666"/>
      <c r="S655" s="666"/>
      <c r="T655" s="666"/>
      <c r="U655" s="666"/>
      <c r="V655" s="666"/>
      <c r="W655" s="666"/>
      <c r="X655" s="666"/>
      <c r="Y655" s="667"/>
      <c r="Z655" s="667"/>
    </row>
    <row r="656" spans="1:26" ht="15.75" customHeight="1">
      <c r="A656" s="666"/>
      <c r="B656" s="666"/>
      <c r="C656" s="666"/>
      <c r="D656" s="666"/>
      <c r="E656" s="666"/>
      <c r="F656" s="666"/>
      <c r="G656" s="666"/>
      <c r="H656" s="666"/>
      <c r="I656" s="666"/>
      <c r="J656" s="666"/>
      <c r="K656" s="666"/>
      <c r="L656" s="666"/>
      <c r="M656" s="666"/>
      <c r="N656" s="666"/>
      <c r="O656" s="666"/>
      <c r="P656" s="666"/>
      <c r="Q656" s="666"/>
      <c r="R656" s="666"/>
      <c r="S656" s="666"/>
      <c r="T656" s="666"/>
      <c r="U656" s="666"/>
      <c r="V656" s="666"/>
      <c r="W656" s="666"/>
      <c r="X656" s="666"/>
      <c r="Y656" s="667"/>
      <c r="Z656" s="667"/>
    </row>
    <row r="657" spans="1:26" ht="15.75" customHeight="1">
      <c r="A657" s="666"/>
      <c r="B657" s="666"/>
      <c r="C657" s="666"/>
      <c r="D657" s="666"/>
      <c r="E657" s="666"/>
      <c r="F657" s="666"/>
      <c r="G657" s="666"/>
      <c r="H657" s="666"/>
      <c r="I657" s="666"/>
      <c r="J657" s="666"/>
      <c r="K657" s="666"/>
      <c r="L657" s="666"/>
      <c r="M657" s="666"/>
      <c r="N657" s="666"/>
      <c r="O657" s="666"/>
      <c r="P657" s="666"/>
      <c r="Q657" s="666"/>
      <c r="R657" s="666"/>
      <c r="S657" s="666"/>
      <c r="T657" s="666"/>
      <c r="U657" s="666"/>
      <c r="V657" s="666"/>
      <c r="W657" s="666"/>
      <c r="X657" s="666"/>
      <c r="Y657" s="667"/>
      <c r="Z657" s="667"/>
    </row>
    <row r="658" spans="1:26" ht="15.75" customHeight="1">
      <c r="A658" s="666"/>
      <c r="B658" s="666"/>
      <c r="C658" s="666"/>
      <c r="D658" s="666"/>
      <c r="E658" s="666"/>
      <c r="F658" s="666"/>
      <c r="G658" s="666"/>
      <c r="H658" s="666"/>
      <c r="I658" s="666"/>
      <c r="J658" s="666"/>
      <c r="K658" s="666"/>
      <c r="L658" s="666"/>
      <c r="M658" s="666"/>
      <c r="N658" s="666"/>
      <c r="O658" s="666"/>
      <c r="P658" s="666"/>
      <c r="Q658" s="666"/>
      <c r="R658" s="666"/>
      <c r="S658" s="666"/>
      <c r="T658" s="666"/>
      <c r="U658" s="666"/>
      <c r="V658" s="666"/>
      <c r="W658" s="666"/>
      <c r="X658" s="666"/>
      <c r="Y658" s="667"/>
      <c r="Z658" s="667"/>
    </row>
    <row r="659" spans="1:26" ht="15.75" customHeight="1">
      <c r="A659" s="666"/>
      <c r="B659" s="666"/>
      <c r="C659" s="666"/>
      <c r="D659" s="666"/>
      <c r="E659" s="666"/>
      <c r="F659" s="666"/>
      <c r="G659" s="666"/>
      <c r="H659" s="666"/>
      <c r="I659" s="666"/>
      <c r="J659" s="666"/>
      <c r="K659" s="666"/>
      <c r="L659" s="666"/>
      <c r="M659" s="666"/>
      <c r="N659" s="666"/>
      <c r="O659" s="666"/>
      <c r="P659" s="666"/>
      <c r="Q659" s="666"/>
      <c r="R659" s="666"/>
      <c r="S659" s="666"/>
      <c r="T659" s="666"/>
      <c r="U659" s="666"/>
      <c r="V659" s="666"/>
      <c r="W659" s="666"/>
      <c r="X659" s="666"/>
      <c r="Y659" s="667"/>
      <c r="Z659" s="667"/>
    </row>
    <row r="660" spans="1:26" ht="15.75" customHeight="1">
      <c r="A660" s="666"/>
      <c r="B660" s="666"/>
      <c r="C660" s="666"/>
      <c r="D660" s="666"/>
      <c r="E660" s="666"/>
      <c r="F660" s="666"/>
      <c r="G660" s="666"/>
      <c r="H660" s="666"/>
      <c r="I660" s="666"/>
      <c r="J660" s="666"/>
      <c r="K660" s="666"/>
      <c r="L660" s="666"/>
      <c r="M660" s="666"/>
      <c r="N660" s="666"/>
      <c r="O660" s="666"/>
      <c r="P660" s="666"/>
      <c r="Q660" s="666"/>
      <c r="R660" s="666"/>
      <c r="S660" s="666"/>
      <c r="T660" s="666"/>
      <c r="U660" s="666"/>
      <c r="V660" s="666"/>
      <c r="W660" s="666"/>
      <c r="X660" s="666"/>
      <c r="Y660" s="667"/>
      <c r="Z660" s="667"/>
    </row>
    <row r="661" spans="1:26" ht="15.75" customHeight="1">
      <c r="A661" s="666"/>
      <c r="B661" s="666"/>
      <c r="C661" s="666"/>
      <c r="D661" s="666"/>
      <c r="E661" s="666"/>
      <c r="F661" s="666"/>
      <c r="G661" s="666"/>
      <c r="H661" s="666"/>
      <c r="I661" s="666"/>
      <c r="J661" s="666"/>
      <c r="K661" s="666"/>
      <c r="L661" s="666"/>
      <c r="M661" s="666"/>
      <c r="N661" s="666"/>
      <c r="O661" s="666"/>
      <c r="P661" s="666"/>
      <c r="Q661" s="666"/>
      <c r="R661" s="666"/>
      <c r="S661" s="666"/>
      <c r="T661" s="666"/>
      <c r="U661" s="666"/>
      <c r="V661" s="666"/>
      <c r="W661" s="666"/>
      <c r="X661" s="666"/>
      <c r="Y661" s="667"/>
      <c r="Z661" s="667"/>
    </row>
    <row r="662" spans="1:26" ht="15.75" customHeight="1">
      <c r="A662" s="666"/>
      <c r="B662" s="666"/>
      <c r="C662" s="666"/>
      <c r="D662" s="666"/>
      <c r="E662" s="666"/>
      <c r="F662" s="666"/>
      <c r="G662" s="666"/>
      <c r="H662" s="666"/>
      <c r="I662" s="666"/>
      <c r="J662" s="666"/>
      <c r="K662" s="666"/>
      <c r="L662" s="666"/>
      <c r="M662" s="666"/>
      <c r="N662" s="666"/>
      <c r="O662" s="666"/>
      <c r="P662" s="666"/>
      <c r="Q662" s="666"/>
      <c r="R662" s="666"/>
      <c r="S662" s="666"/>
      <c r="T662" s="666"/>
      <c r="U662" s="666"/>
      <c r="V662" s="666"/>
      <c r="W662" s="666"/>
      <c r="X662" s="666"/>
      <c r="Y662" s="667"/>
      <c r="Z662" s="667"/>
    </row>
    <row r="663" spans="1:26" ht="15.75" customHeight="1">
      <c r="A663" s="666"/>
      <c r="B663" s="666"/>
      <c r="C663" s="666"/>
      <c r="D663" s="666"/>
      <c r="E663" s="666"/>
      <c r="F663" s="666"/>
      <c r="G663" s="666"/>
      <c r="H663" s="666"/>
      <c r="I663" s="666"/>
      <c r="J663" s="666"/>
      <c r="K663" s="666"/>
      <c r="L663" s="666"/>
      <c r="M663" s="666"/>
      <c r="N663" s="666"/>
      <c r="O663" s="666"/>
      <c r="P663" s="666"/>
      <c r="Q663" s="666"/>
      <c r="R663" s="666"/>
      <c r="S663" s="666"/>
      <c r="T663" s="666"/>
      <c r="U663" s="666"/>
      <c r="V663" s="666"/>
      <c r="W663" s="666"/>
      <c r="X663" s="666"/>
      <c r="Y663" s="667"/>
      <c r="Z663" s="667"/>
    </row>
    <row r="664" spans="1:26" ht="15.75" customHeight="1">
      <c r="A664" s="666"/>
      <c r="B664" s="666"/>
      <c r="C664" s="666"/>
      <c r="D664" s="666"/>
      <c r="E664" s="666"/>
      <c r="F664" s="666"/>
      <c r="G664" s="666"/>
      <c r="H664" s="666"/>
      <c r="I664" s="666"/>
      <c r="J664" s="666"/>
      <c r="K664" s="666"/>
      <c r="L664" s="666"/>
      <c r="M664" s="666"/>
      <c r="N664" s="666"/>
      <c r="O664" s="666"/>
      <c r="P664" s="666"/>
      <c r="Q664" s="666"/>
      <c r="R664" s="666"/>
      <c r="S664" s="666"/>
      <c r="T664" s="666"/>
      <c r="U664" s="666"/>
      <c r="V664" s="666"/>
      <c r="W664" s="666"/>
      <c r="X664" s="666"/>
      <c r="Y664" s="667"/>
      <c r="Z664" s="667"/>
    </row>
    <row r="665" spans="1:26" ht="15.75" customHeight="1">
      <c r="A665" s="666"/>
      <c r="B665" s="666"/>
      <c r="C665" s="666"/>
      <c r="D665" s="666"/>
      <c r="E665" s="666"/>
      <c r="F665" s="666"/>
      <c r="G665" s="666"/>
      <c r="H665" s="666"/>
      <c r="I665" s="666"/>
      <c r="J665" s="666"/>
      <c r="K665" s="666"/>
      <c r="L665" s="666"/>
      <c r="M665" s="666"/>
      <c r="N665" s="666"/>
      <c r="O665" s="666"/>
      <c r="P665" s="666"/>
      <c r="Q665" s="666"/>
      <c r="R665" s="666"/>
      <c r="S665" s="666"/>
      <c r="T665" s="666"/>
      <c r="U665" s="666"/>
      <c r="V665" s="666"/>
      <c r="W665" s="666"/>
      <c r="X665" s="666"/>
      <c r="Y665" s="667"/>
      <c r="Z665" s="667"/>
    </row>
    <row r="666" spans="1:26" ht="15.75" customHeight="1">
      <c r="A666" s="666"/>
      <c r="B666" s="666"/>
      <c r="C666" s="666"/>
      <c r="D666" s="666"/>
      <c r="E666" s="666"/>
      <c r="F666" s="666"/>
      <c r="G666" s="666"/>
      <c r="H666" s="666"/>
      <c r="I666" s="666"/>
      <c r="J666" s="666"/>
      <c r="K666" s="666"/>
      <c r="L666" s="666"/>
      <c r="M666" s="666"/>
      <c r="N666" s="666"/>
      <c r="O666" s="666"/>
      <c r="P666" s="666"/>
      <c r="Q666" s="666"/>
      <c r="R666" s="666"/>
      <c r="S666" s="666"/>
      <c r="T666" s="666"/>
      <c r="U666" s="666"/>
      <c r="V666" s="666"/>
      <c r="W666" s="666"/>
      <c r="X666" s="666"/>
      <c r="Y666" s="667"/>
      <c r="Z666" s="667"/>
    </row>
    <row r="667" spans="1:26" ht="15.75" customHeight="1">
      <c r="A667" s="666"/>
      <c r="B667" s="666"/>
      <c r="C667" s="666"/>
      <c r="D667" s="666"/>
      <c r="E667" s="666"/>
      <c r="F667" s="666"/>
      <c r="G667" s="666"/>
      <c r="H667" s="666"/>
      <c r="I667" s="666"/>
      <c r="J667" s="666"/>
      <c r="K667" s="666"/>
      <c r="L667" s="666"/>
      <c r="M667" s="666"/>
      <c r="N667" s="666"/>
      <c r="O667" s="666"/>
      <c r="P667" s="666"/>
      <c r="Q667" s="666"/>
      <c r="R667" s="666"/>
      <c r="S667" s="666"/>
      <c r="T667" s="666"/>
      <c r="U667" s="666"/>
      <c r="V667" s="666"/>
      <c r="W667" s="666"/>
      <c r="X667" s="666"/>
      <c r="Y667" s="667"/>
      <c r="Z667" s="667"/>
    </row>
    <row r="668" spans="1:26" ht="15.75" customHeight="1">
      <c r="A668" s="666"/>
      <c r="B668" s="666"/>
      <c r="C668" s="666"/>
      <c r="D668" s="666"/>
      <c r="E668" s="666"/>
      <c r="F668" s="666"/>
      <c r="G668" s="666"/>
      <c r="H668" s="666"/>
      <c r="I668" s="666"/>
      <c r="J668" s="666"/>
      <c r="K668" s="666"/>
      <c r="L668" s="666"/>
      <c r="M668" s="666"/>
      <c r="N668" s="666"/>
      <c r="O668" s="666"/>
      <c r="P668" s="666"/>
      <c r="Q668" s="666"/>
      <c r="R668" s="666"/>
      <c r="S668" s="666"/>
      <c r="T668" s="666"/>
      <c r="U668" s="666"/>
      <c r="V668" s="666"/>
      <c r="W668" s="666"/>
      <c r="X668" s="666"/>
      <c r="Y668" s="667"/>
      <c r="Z668" s="667"/>
    </row>
    <row r="669" spans="1:26" ht="15.75" customHeight="1">
      <c r="A669" s="666"/>
      <c r="B669" s="666"/>
      <c r="C669" s="666"/>
      <c r="D669" s="666"/>
      <c r="E669" s="666"/>
      <c r="F669" s="666"/>
      <c r="G669" s="666"/>
      <c r="H669" s="666"/>
      <c r="I669" s="666"/>
      <c r="J669" s="666"/>
      <c r="K669" s="666"/>
      <c r="L669" s="666"/>
      <c r="M669" s="666"/>
      <c r="N669" s="666"/>
      <c r="O669" s="666"/>
      <c r="P669" s="666"/>
      <c r="Q669" s="666"/>
      <c r="R669" s="666"/>
      <c r="S669" s="666"/>
      <c r="T669" s="666"/>
      <c r="U669" s="666"/>
      <c r="V669" s="666"/>
      <c r="W669" s="666"/>
      <c r="X669" s="666"/>
      <c r="Y669" s="667"/>
      <c r="Z669" s="667"/>
    </row>
    <row r="670" spans="1:26" ht="15.75" customHeight="1">
      <c r="A670" s="666"/>
      <c r="B670" s="666"/>
      <c r="C670" s="666"/>
      <c r="D670" s="666"/>
      <c r="E670" s="666"/>
      <c r="F670" s="666"/>
      <c r="G670" s="666"/>
      <c r="H670" s="666"/>
      <c r="I670" s="666"/>
      <c r="J670" s="666"/>
      <c r="K670" s="666"/>
      <c r="L670" s="666"/>
      <c r="M670" s="666"/>
      <c r="N670" s="666"/>
      <c r="O670" s="666"/>
      <c r="P670" s="666"/>
      <c r="Q670" s="666"/>
      <c r="R670" s="666"/>
      <c r="S670" s="666"/>
      <c r="T670" s="666"/>
      <c r="U670" s="666"/>
      <c r="V670" s="666"/>
      <c r="W670" s="666"/>
      <c r="X670" s="666"/>
      <c r="Y670" s="667"/>
      <c r="Z670" s="667"/>
    </row>
    <row r="671" spans="1:26" ht="15.75" customHeight="1">
      <c r="A671" s="666"/>
      <c r="B671" s="666"/>
      <c r="C671" s="666"/>
      <c r="D671" s="666"/>
      <c r="E671" s="666"/>
      <c r="F671" s="666"/>
      <c r="G671" s="666"/>
      <c r="H671" s="666"/>
      <c r="I671" s="666"/>
      <c r="J671" s="666"/>
      <c r="K671" s="666"/>
      <c r="L671" s="666"/>
      <c r="M671" s="666"/>
      <c r="N671" s="666"/>
      <c r="O671" s="666"/>
      <c r="P671" s="666"/>
      <c r="Q671" s="666"/>
      <c r="R671" s="666"/>
      <c r="S671" s="666"/>
      <c r="T671" s="666"/>
      <c r="U671" s="666"/>
      <c r="V671" s="666"/>
      <c r="W671" s="666"/>
      <c r="X671" s="666"/>
      <c r="Y671" s="667"/>
      <c r="Z671" s="667"/>
    </row>
    <row r="672" spans="1:26" ht="15.75" customHeight="1">
      <c r="A672" s="666"/>
      <c r="B672" s="666"/>
      <c r="C672" s="666"/>
      <c r="D672" s="666"/>
      <c r="E672" s="666"/>
      <c r="F672" s="666"/>
      <c r="G672" s="666"/>
      <c r="H672" s="666"/>
      <c r="I672" s="666"/>
      <c r="J672" s="666"/>
      <c r="K672" s="666"/>
      <c r="L672" s="666"/>
      <c r="M672" s="666"/>
      <c r="N672" s="666"/>
      <c r="O672" s="666"/>
      <c r="P672" s="666"/>
      <c r="Q672" s="666"/>
      <c r="R672" s="666"/>
      <c r="S672" s="666"/>
      <c r="T672" s="666"/>
      <c r="U672" s="666"/>
      <c r="V672" s="666"/>
      <c r="W672" s="666"/>
      <c r="X672" s="666"/>
      <c r="Y672" s="667"/>
      <c r="Z672" s="667"/>
    </row>
    <row r="673" spans="1:26" ht="15.75" customHeight="1">
      <c r="A673" s="666"/>
      <c r="B673" s="666"/>
      <c r="C673" s="666"/>
      <c r="D673" s="666"/>
      <c r="E673" s="666"/>
      <c r="F673" s="666"/>
      <c r="G673" s="666"/>
      <c r="H673" s="666"/>
      <c r="I673" s="666"/>
      <c r="J673" s="666"/>
      <c r="K673" s="666"/>
      <c r="L673" s="666"/>
      <c r="M673" s="666"/>
      <c r="N673" s="666"/>
      <c r="O673" s="666"/>
      <c r="P673" s="666"/>
      <c r="Q673" s="666"/>
      <c r="R673" s="666"/>
      <c r="S673" s="666"/>
      <c r="T673" s="666"/>
      <c r="U673" s="666"/>
      <c r="V673" s="666"/>
      <c r="W673" s="666"/>
      <c r="X673" s="666"/>
      <c r="Y673" s="667"/>
      <c r="Z673" s="667"/>
    </row>
    <row r="674" spans="1:26" ht="15.75" customHeight="1">
      <c r="A674" s="666"/>
      <c r="B674" s="666"/>
      <c r="C674" s="666"/>
      <c r="D674" s="666"/>
      <c r="E674" s="666"/>
      <c r="F674" s="666"/>
      <c r="G674" s="666"/>
      <c r="H674" s="666"/>
      <c r="I674" s="666"/>
      <c r="J674" s="666"/>
      <c r="K674" s="666"/>
      <c r="L674" s="666"/>
      <c r="M674" s="666"/>
      <c r="N674" s="666"/>
      <c r="O674" s="666"/>
      <c r="P674" s="666"/>
      <c r="Q674" s="666"/>
      <c r="R674" s="666"/>
      <c r="S674" s="666"/>
      <c r="T674" s="666"/>
      <c r="U674" s="666"/>
      <c r="V674" s="666"/>
      <c r="W674" s="666"/>
      <c r="X674" s="666"/>
      <c r="Y674" s="667"/>
      <c r="Z674" s="667"/>
    </row>
    <row r="675" spans="1:26" ht="15.75" customHeight="1">
      <c r="A675" s="666"/>
      <c r="B675" s="666"/>
      <c r="C675" s="666"/>
      <c r="D675" s="666"/>
      <c r="E675" s="666"/>
      <c r="F675" s="666"/>
      <c r="G675" s="666"/>
      <c r="H675" s="666"/>
      <c r="I675" s="666"/>
      <c r="J675" s="666"/>
      <c r="K675" s="666"/>
      <c r="L675" s="666"/>
      <c r="M675" s="666"/>
      <c r="N675" s="666"/>
      <c r="O675" s="666"/>
      <c r="P675" s="666"/>
      <c r="Q675" s="666"/>
      <c r="R675" s="666"/>
      <c r="S675" s="666"/>
      <c r="T675" s="666"/>
      <c r="U675" s="666"/>
      <c r="V675" s="666"/>
      <c r="W675" s="666"/>
      <c r="X675" s="666"/>
      <c r="Y675" s="667"/>
      <c r="Z675" s="667"/>
    </row>
    <row r="676" spans="1:26" ht="15.75" customHeight="1">
      <c r="A676" s="666"/>
      <c r="B676" s="666"/>
      <c r="C676" s="666"/>
      <c r="D676" s="666"/>
      <c r="E676" s="666"/>
      <c r="F676" s="666"/>
      <c r="G676" s="666"/>
      <c r="H676" s="666"/>
      <c r="I676" s="666"/>
      <c r="J676" s="666"/>
      <c r="K676" s="666"/>
      <c r="L676" s="666"/>
      <c r="M676" s="666"/>
      <c r="N676" s="666"/>
      <c r="O676" s="666"/>
      <c r="P676" s="666"/>
      <c r="Q676" s="666"/>
      <c r="R676" s="666"/>
      <c r="S676" s="666"/>
      <c r="T676" s="666"/>
      <c r="U676" s="666"/>
      <c r="V676" s="666"/>
      <c r="W676" s="666"/>
      <c r="X676" s="666"/>
      <c r="Y676" s="667"/>
      <c r="Z676" s="667"/>
    </row>
    <row r="677" spans="1:26" ht="15.75" customHeight="1">
      <c r="A677" s="666"/>
      <c r="B677" s="666"/>
      <c r="C677" s="666"/>
      <c r="D677" s="666"/>
      <c r="E677" s="666"/>
      <c r="F677" s="666"/>
      <c r="G677" s="666"/>
      <c r="H677" s="666"/>
      <c r="I677" s="666"/>
      <c r="J677" s="666"/>
      <c r="K677" s="666"/>
      <c r="L677" s="666"/>
      <c r="M677" s="666"/>
      <c r="N677" s="666"/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7"/>
      <c r="Z677" s="667"/>
    </row>
    <row r="678" spans="1:26" ht="15.75" customHeight="1">
      <c r="A678" s="666"/>
      <c r="B678" s="666"/>
      <c r="C678" s="666"/>
      <c r="D678" s="666"/>
      <c r="E678" s="666"/>
      <c r="F678" s="666"/>
      <c r="G678" s="666"/>
      <c r="H678" s="666"/>
      <c r="I678" s="666"/>
      <c r="J678" s="666"/>
      <c r="K678" s="666"/>
      <c r="L678" s="666"/>
      <c r="M678" s="666"/>
      <c r="N678" s="666"/>
      <c r="O678" s="666"/>
      <c r="P678" s="666"/>
      <c r="Q678" s="666"/>
      <c r="R678" s="666"/>
      <c r="S678" s="666"/>
      <c r="T678" s="666"/>
      <c r="U678" s="666"/>
      <c r="V678" s="666"/>
      <c r="W678" s="666"/>
      <c r="X678" s="666"/>
      <c r="Y678" s="667"/>
      <c r="Z678" s="667"/>
    </row>
    <row r="679" spans="1:26" ht="15.75" customHeight="1">
      <c r="A679" s="666"/>
      <c r="B679" s="666"/>
      <c r="C679" s="666"/>
      <c r="D679" s="666"/>
      <c r="E679" s="666"/>
      <c r="F679" s="666"/>
      <c r="G679" s="666"/>
      <c r="H679" s="666"/>
      <c r="I679" s="666"/>
      <c r="J679" s="666"/>
      <c r="K679" s="666"/>
      <c r="L679" s="666"/>
      <c r="M679" s="666"/>
      <c r="N679" s="666"/>
      <c r="O679" s="666"/>
      <c r="P679" s="666"/>
      <c r="Q679" s="666"/>
      <c r="R679" s="666"/>
      <c r="S679" s="666"/>
      <c r="T679" s="666"/>
      <c r="U679" s="666"/>
      <c r="V679" s="666"/>
      <c r="W679" s="666"/>
      <c r="X679" s="666"/>
      <c r="Y679" s="667"/>
      <c r="Z679" s="667"/>
    </row>
    <row r="680" spans="1:26" ht="15.75" customHeight="1">
      <c r="A680" s="666"/>
      <c r="B680" s="666"/>
      <c r="C680" s="666"/>
      <c r="D680" s="666"/>
      <c r="E680" s="666"/>
      <c r="F680" s="666"/>
      <c r="G680" s="666"/>
      <c r="H680" s="666"/>
      <c r="I680" s="666"/>
      <c r="J680" s="666"/>
      <c r="K680" s="666"/>
      <c r="L680" s="666"/>
      <c r="M680" s="666"/>
      <c r="N680" s="666"/>
      <c r="O680" s="666"/>
      <c r="P680" s="666"/>
      <c r="Q680" s="666"/>
      <c r="R680" s="666"/>
      <c r="S680" s="666"/>
      <c r="T680" s="666"/>
      <c r="U680" s="666"/>
      <c r="V680" s="666"/>
      <c r="W680" s="666"/>
      <c r="X680" s="666"/>
      <c r="Y680" s="667"/>
      <c r="Z680" s="667"/>
    </row>
    <row r="681" spans="1:26" ht="15.75" customHeight="1">
      <c r="A681" s="666"/>
      <c r="B681" s="666"/>
      <c r="C681" s="666"/>
      <c r="D681" s="666"/>
      <c r="E681" s="666"/>
      <c r="F681" s="666"/>
      <c r="G681" s="666"/>
      <c r="H681" s="666"/>
      <c r="I681" s="666"/>
      <c r="J681" s="666"/>
      <c r="K681" s="666"/>
      <c r="L681" s="666"/>
      <c r="M681" s="666"/>
      <c r="N681" s="666"/>
      <c r="O681" s="666"/>
      <c r="P681" s="666"/>
      <c r="Q681" s="666"/>
      <c r="R681" s="666"/>
      <c r="S681" s="666"/>
      <c r="T681" s="666"/>
      <c r="U681" s="666"/>
      <c r="V681" s="666"/>
      <c r="W681" s="666"/>
      <c r="X681" s="666"/>
      <c r="Y681" s="667"/>
      <c r="Z681" s="667"/>
    </row>
    <row r="682" spans="1:26" ht="15.75" customHeight="1">
      <c r="A682" s="666"/>
      <c r="B682" s="666"/>
      <c r="C682" s="666"/>
      <c r="D682" s="666"/>
      <c r="E682" s="666"/>
      <c r="F682" s="666"/>
      <c r="G682" s="666"/>
      <c r="H682" s="666"/>
      <c r="I682" s="666"/>
      <c r="J682" s="666"/>
      <c r="K682" s="666"/>
      <c r="L682" s="666"/>
      <c r="M682" s="666"/>
      <c r="N682" s="666"/>
      <c r="O682" s="666"/>
      <c r="P682" s="666"/>
      <c r="Q682" s="666"/>
      <c r="R682" s="666"/>
      <c r="S682" s="666"/>
      <c r="T682" s="666"/>
      <c r="U682" s="666"/>
      <c r="V682" s="666"/>
      <c r="W682" s="666"/>
      <c r="X682" s="666"/>
      <c r="Y682" s="667"/>
      <c r="Z682" s="667"/>
    </row>
    <row r="683" spans="1:26" ht="15.75" customHeight="1">
      <c r="A683" s="666"/>
      <c r="B683" s="666"/>
      <c r="C683" s="666"/>
      <c r="D683" s="666"/>
      <c r="E683" s="666"/>
      <c r="F683" s="666"/>
      <c r="G683" s="666"/>
      <c r="H683" s="666"/>
      <c r="I683" s="666"/>
      <c r="J683" s="666"/>
      <c r="K683" s="666"/>
      <c r="L683" s="666"/>
      <c r="M683" s="666"/>
      <c r="N683" s="666"/>
      <c r="O683" s="666"/>
      <c r="P683" s="666"/>
      <c r="Q683" s="666"/>
      <c r="R683" s="666"/>
      <c r="S683" s="666"/>
      <c r="T683" s="666"/>
      <c r="U683" s="666"/>
      <c r="V683" s="666"/>
      <c r="W683" s="666"/>
      <c r="X683" s="666"/>
      <c r="Y683" s="667"/>
      <c r="Z683" s="667"/>
    </row>
    <row r="684" spans="1:26" ht="15.75" customHeight="1">
      <c r="A684" s="666"/>
      <c r="B684" s="666"/>
      <c r="C684" s="666"/>
      <c r="D684" s="666"/>
      <c r="E684" s="666"/>
      <c r="F684" s="666"/>
      <c r="G684" s="666"/>
      <c r="H684" s="666"/>
      <c r="I684" s="666"/>
      <c r="J684" s="666"/>
      <c r="K684" s="666"/>
      <c r="L684" s="666"/>
      <c r="M684" s="666"/>
      <c r="N684" s="666"/>
      <c r="O684" s="666"/>
      <c r="P684" s="666"/>
      <c r="Q684" s="666"/>
      <c r="R684" s="666"/>
      <c r="S684" s="666"/>
      <c r="T684" s="666"/>
      <c r="U684" s="666"/>
      <c r="V684" s="666"/>
      <c r="W684" s="666"/>
      <c r="X684" s="666"/>
      <c r="Y684" s="667"/>
      <c r="Z684" s="667"/>
    </row>
    <row r="685" spans="1:26" ht="15.75" customHeight="1">
      <c r="A685" s="666"/>
      <c r="B685" s="666"/>
      <c r="C685" s="666"/>
      <c r="D685" s="666"/>
      <c r="E685" s="666"/>
      <c r="F685" s="666"/>
      <c r="G685" s="666"/>
      <c r="H685" s="666"/>
      <c r="I685" s="666"/>
      <c r="J685" s="666"/>
      <c r="K685" s="666"/>
      <c r="L685" s="666"/>
      <c r="M685" s="666"/>
      <c r="N685" s="666"/>
      <c r="O685" s="666"/>
      <c r="P685" s="666"/>
      <c r="Q685" s="666"/>
      <c r="R685" s="666"/>
      <c r="S685" s="666"/>
      <c r="T685" s="666"/>
      <c r="U685" s="666"/>
      <c r="V685" s="666"/>
      <c r="W685" s="666"/>
      <c r="X685" s="666"/>
      <c r="Y685" s="667"/>
      <c r="Z685" s="667"/>
    </row>
    <row r="686" spans="1:26" ht="15.75" customHeight="1">
      <c r="A686" s="666"/>
      <c r="B686" s="666"/>
      <c r="C686" s="666"/>
      <c r="D686" s="666"/>
      <c r="E686" s="666"/>
      <c r="F686" s="666"/>
      <c r="G686" s="666"/>
      <c r="H686" s="666"/>
      <c r="I686" s="666"/>
      <c r="J686" s="666"/>
      <c r="K686" s="666"/>
      <c r="L686" s="666"/>
      <c r="M686" s="666"/>
      <c r="N686" s="666"/>
      <c r="O686" s="666"/>
      <c r="P686" s="666"/>
      <c r="Q686" s="666"/>
      <c r="R686" s="666"/>
      <c r="S686" s="666"/>
      <c r="T686" s="666"/>
      <c r="U686" s="666"/>
      <c r="V686" s="666"/>
      <c r="W686" s="666"/>
      <c r="X686" s="666"/>
      <c r="Y686" s="667"/>
      <c r="Z686" s="667"/>
    </row>
    <row r="687" spans="1:26" ht="15.75" customHeight="1">
      <c r="A687" s="666"/>
      <c r="B687" s="666"/>
      <c r="C687" s="666"/>
      <c r="D687" s="666"/>
      <c r="E687" s="666"/>
      <c r="F687" s="666"/>
      <c r="G687" s="666"/>
      <c r="H687" s="666"/>
      <c r="I687" s="666"/>
      <c r="J687" s="666"/>
      <c r="K687" s="666"/>
      <c r="L687" s="666"/>
      <c r="M687" s="666"/>
      <c r="N687" s="666"/>
      <c r="O687" s="666"/>
      <c r="P687" s="666"/>
      <c r="Q687" s="666"/>
      <c r="R687" s="666"/>
      <c r="S687" s="666"/>
      <c r="T687" s="666"/>
      <c r="U687" s="666"/>
      <c r="V687" s="666"/>
      <c r="W687" s="666"/>
      <c r="X687" s="666"/>
      <c r="Y687" s="667"/>
      <c r="Z687" s="667"/>
    </row>
    <row r="688" spans="1:26" ht="15.75" customHeight="1">
      <c r="A688" s="666"/>
      <c r="B688" s="666"/>
      <c r="C688" s="666"/>
      <c r="D688" s="666"/>
      <c r="E688" s="666"/>
      <c r="F688" s="666"/>
      <c r="G688" s="666"/>
      <c r="H688" s="666"/>
      <c r="I688" s="666"/>
      <c r="J688" s="666"/>
      <c r="K688" s="666"/>
      <c r="L688" s="666"/>
      <c r="M688" s="666"/>
      <c r="N688" s="666"/>
      <c r="O688" s="666"/>
      <c r="P688" s="666"/>
      <c r="Q688" s="666"/>
      <c r="R688" s="666"/>
      <c r="S688" s="666"/>
      <c r="T688" s="666"/>
      <c r="U688" s="666"/>
      <c r="V688" s="666"/>
      <c r="W688" s="666"/>
      <c r="X688" s="666"/>
      <c r="Y688" s="667"/>
      <c r="Z688" s="667"/>
    </row>
    <row r="689" spans="1:26" ht="15.75" customHeight="1">
      <c r="A689" s="666"/>
      <c r="B689" s="666"/>
      <c r="C689" s="666"/>
      <c r="D689" s="666"/>
      <c r="E689" s="666"/>
      <c r="F689" s="666"/>
      <c r="G689" s="666"/>
      <c r="H689" s="666"/>
      <c r="I689" s="666"/>
      <c r="J689" s="666"/>
      <c r="K689" s="666"/>
      <c r="L689" s="666"/>
      <c r="M689" s="666"/>
      <c r="N689" s="666"/>
      <c r="O689" s="666"/>
      <c r="P689" s="666"/>
      <c r="Q689" s="666"/>
      <c r="R689" s="666"/>
      <c r="S689" s="666"/>
      <c r="T689" s="666"/>
      <c r="U689" s="666"/>
      <c r="V689" s="666"/>
      <c r="W689" s="666"/>
      <c r="X689" s="666"/>
      <c r="Y689" s="667"/>
      <c r="Z689" s="667"/>
    </row>
    <row r="690" spans="1:26" ht="15.75" customHeight="1">
      <c r="A690" s="666"/>
      <c r="B690" s="666"/>
      <c r="C690" s="666"/>
      <c r="D690" s="666"/>
      <c r="E690" s="666"/>
      <c r="F690" s="666"/>
      <c r="G690" s="666"/>
      <c r="H690" s="666"/>
      <c r="I690" s="666"/>
      <c r="J690" s="666"/>
      <c r="K690" s="666"/>
      <c r="L690" s="666"/>
      <c r="M690" s="666"/>
      <c r="N690" s="666"/>
      <c r="O690" s="666"/>
      <c r="P690" s="666"/>
      <c r="Q690" s="666"/>
      <c r="R690" s="666"/>
      <c r="S690" s="666"/>
      <c r="T690" s="666"/>
      <c r="U690" s="666"/>
      <c r="V690" s="666"/>
      <c r="W690" s="666"/>
      <c r="X690" s="666"/>
      <c r="Y690" s="667"/>
      <c r="Z690" s="667"/>
    </row>
    <row r="691" spans="1:26" ht="15.75" customHeight="1">
      <c r="A691" s="666"/>
      <c r="B691" s="666"/>
      <c r="C691" s="666"/>
      <c r="D691" s="666"/>
      <c r="E691" s="666"/>
      <c r="F691" s="666"/>
      <c r="G691" s="666"/>
      <c r="H691" s="666"/>
      <c r="I691" s="666"/>
      <c r="J691" s="666"/>
      <c r="K691" s="666"/>
      <c r="L691" s="666"/>
      <c r="M691" s="666"/>
      <c r="N691" s="666"/>
      <c r="O691" s="666"/>
      <c r="P691" s="666"/>
      <c r="Q691" s="666"/>
      <c r="R691" s="666"/>
      <c r="S691" s="666"/>
      <c r="T691" s="666"/>
      <c r="U691" s="666"/>
      <c r="V691" s="666"/>
      <c r="W691" s="666"/>
      <c r="X691" s="666"/>
      <c r="Y691" s="667"/>
      <c r="Z691" s="667"/>
    </row>
    <row r="692" spans="1:26" ht="15.75" customHeight="1">
      <c r="A692" s="666"/>
      <c r="B692" s="666"/>
      <c r="C692" s="666"/>
      <c r="D692" s="666"/>
      <c r="E692" s="666"/>
      <c r="F692" s="666"/>
      <c r="G692" s="666"/>
      <c r="H692" s="666"/>
      <c r="I692" s="666"/>
      <c r="J692" s="666"/>
      <c r="K692" s="666"/>
      <c r="L692" s="666"/>
      <c r="M692" s="666"/>
      <c r="N692" s="666"/>
      <c r="O692" s="666"/>
      <c r="P692" s="666"/>
      <c r="Q692" s="666"/>
      <c r="R692" s="666"/>
      <c r="S692" s="666"/>
      <c r="T692" s="666"/>
      <c r="U692" s="666"/>
      <c r="V692" s="666"/>
      <c r="W692" s="666"/>
      <c r="X692" s="666"/>
      <c r="Y692" s="667"/>
      <c r="Z692" s="667"/>
    </row>
    <row r="693" spans="1:26" ht="15.75" customHeight="1">
      <c r="A693" s="666"/>
      <c r="B693" s="666"/>
      <c r="C693" s="666"/>
      <c r="D693" s="666"/>
      <c r="E693" s="666"/>
      <c r="F693" s="666"/>
      <c r="G693" s="666"/>
      <c r="H693" s="666"/>
      <c r="I693" s="666"/>
      <c r="J693" s="666"/>
      <c r="K693" s="666"/>
      <c r="L693" s="666"/>
      <c r="M693" s="666"/>
      <c r="N693" s="666"/>
      <c r="O693" s="666"/>
      <c r="P693" s="666"/>
      <c r="Q693" s="666"/>
      <c r="R693" s="666"/>
      <c r="S693" s="666"/>
      <c r="T693" s="666"/>
      <c r="U693" s="666"/>
      <c r="V693" s="666"/>
      <c r="W693" s="666"/>
      <c r="X693" s="666"/>
      <c r="Y693" s="667"/>
      <c r="Z693" s="667"/>
    </row>
    <row r="694" spans="1:26" ht="15.75" customHeight="1">
      <c r="A694" s="666"/>
      <c r="B694" s="666"/>
      <c r="C694" s="666"/>
      <c r="D694" s="666"/>
      <c r="E694" s="666"/>
      <c r="F694" s="666"/>
      <c r="G694" s="666"/>
      <c r="H694" s="666"/>
      <c r="I694" s="666"/>
      <c r="J694" s="666"/>
      <c r="K694" s="666"/>
      <c r="L694" s="666"/>
      <c r="M694" s="666"/>
      <c r="N694" s="666"/>
      <c r="O694" s="666"/>
      <c r="P694" s="666"/>
      <c r="Q694" s="666"/>
      <c r="R694" s="666"/>
      <c r="S694" s="666"/>
      <c r="T694" s="666"/>
      <c r="U694" s="666"/>
      <c r="V694" s="666"/>
      <c r="W694" s="666"/>
      <c r="X694" s="666"/>
      <c r="Y694" s="667"/>
      <c r="Z694" s="667"/>
    </row>
    <row r="695" spans="1:26" ht="15.75" customHeight="1">
      <c r="A695" s="666"/>
      <c r="B695" s="666"/>
      <c r="C695" s="666"/>
      <c r="D695" s="666"/>
      <c r="E695" s="666"/>
      <c r="F695" s="666"/>
      <c r="G695" s="666"/>
      <c r="H695" s="666"/>
      <c r="I695" s="666"/>
      <c r="J695" s="666"/>
      <c r="K695" s="666"/>
      <c r="L695" s="666"/>
      <c r="M695" s="666"/>
      <c r="N695" s="666"/>
      <c r="O695" s="666"/>
      <c r="P695" s="666"/>
      <c r="Q695" s="666"/>
      <c r="R695" s="666"/>
      <c r="S695" s="666"/>
      <c r="T695" s="666"/>
      <c r="U695" s="666"/>
      <c r="V695" s="666"/>
      <c r="W695" s="666"/>
      <c r="X695" s="666"/>
      <c r="Y695" s="667"/>
      <c r="Z695" s="667"/>
    </row>
    <row r="696" spans="1:26" ht="15.75" customHeight="1">
      <c r="A696" s="666"/>
      <c r="B696" s="666"/>
      <c r="C696" s="666"/>
      <c r="D696" s="666"/>
      <c r="E696" s="666"/>
      <c r="F696" s="666"/>
      <c r="G696" s="666"/>
      <c r="H696" s="666"/>
      <c r="I696" s="666"/>
      <c r="J696" s="666"/>
      <c r="K696" s="666"/>
      <c r="L696" s="666"/>
      <c r="M696" s="666"/>
      <c r="N696" s="666"/>
      <c r="O696" s="666"/>
      <c r="P696" s="666"/>
      <c r="Q696" s="666"/>
      <c r="R696" s="666"/>
      <c r="S696" s="666"/>
      <c r="T696" s="666"/>
      <c r="U696" s="666"/>
      <c r="V696" s="666"/>
      <c r="W696" s="666"/>
      <c r="X696" s="666"/>
      <c r="Y696" s="667"/>
      <c r="Z696" s="667"/>
    </row>
    <row r="697" spans="1:26" ht="15.75" customHeight="1">
      <c r="A697" s="666"/>
      <c r="B697" s="666"/>
      <c r="C697" s="666"/>
      <c r="D697" s="666"/>
      <c r="E697" s="666"/>
      <c r="F697" s="666"/>
      <c r="G697" s="666"/>
      <c r="H697" s="666"/>
      <c r="I697" s="666"/>
      <c r="J697" s="666"/>
      <c r="K697" s="666"/>
      <c r="L697" s="666"/>
      <c r="M697" s="666"/>
      <c r="N697" s="666"/>
      <c r="O697" s="666"/>
      <c r="P697" s="666"/>
      <c r="Q697" s="666"/>
      <c r="R697" s="666"/>
      <c r="S697" s="666"/>
      <c r="T697" s="666"/>
      <c r="U697" s="666"/>
      <c r="V697" s="666"/>
      <c r="W697" s="666"/>
      <c r="X697" s="666"/>
      <c r="Y697" s="667"/>
      <c r="Z697" s="667"/>
    </row>
    <row r="698" spans="1:26" ht="15.75" customHeight="1">
      <c r="A698" s="666"/>
      <c r="B698" s="666"/>
      <c r="C698" s="666"/>
      <c r="D698" s="666"/>
      <c r="E698" s="666"/>
      <c r="F698" s="666"/>
      <c r="G698" s="666"/>
      <c r="H698" s="666"/>
      <c r="I698" s="666"/>
      <c r="J698" s="666"/>
      <c r="K698" s="666"/>
      <c r="L698" s="666"/>
      <c r="M698" s="666"/>
      <c r="N698" s="666"/>
      <c r="O698" s="666"/>
      <c r="P698" s="666"/>
      <c r="Q698" s="666"/>
      <c r="R698" s="666"/>
      <c r="S698" s="666"/>
      <c r="T698" s="666"/>
      <c r="U698" s="666"/>
      <c r="V698" s="666"/>
      <c r="W698" s="666"/>
      <c r="X698" s="666"/>
      <c r="Y698" s="667"/>
      <c r="Z698" s="667"/>
    </row>
    <row r="699" spans="1:26" ht="15.75" customHeight="1">
      <c r="A699" s="666"/>
      <c r="B699" s="666"/>
      <c r="C699" s="666"/>
      <c r="D699" s="666"/>
      <c r="E699" s="666"/>
      <c r="F699" s="666"/>
      <c r="G699" s="666"/>
      <c r="H699" s="666"/>
      <c r="I699" s="666"/>
      <c r="J699" s="666"/>
      <c r="K699" s="666"/>
      <c r="L699" s="666"/>
      <c r="M699" s="666"/>
      <c r="N699" s="666"/>
      <c r="O699" s="666"/>
      <c r="P699" s="666"/>
      <c r="Q699" s="666"/>
      <c r="R699" s="666"/>
      <c r="S699" s="666"/>
      <c r="T699" s="666"/>
      <c r="U699" s="666"/>
      <c r="V699" s="666"/>
      <c r="W699" s="666"/>
      <c r="X699" s="666"/>
      <c r="Y699" s="667"/>
      <c r="Z699" s="667"/>
    </row>
    <row r="700" spans="1:26" ht="15.75" customHeight="1">
      <c r="A700" s="666"/>
      <c r="B700" s="666"/>
      <c r="C700" s="666"/>
      <c r="D700" s="666"/>
      <c r="E700" s="666"/>
      <c r="F700" s="666"/>
      <c r="G700" s="666"/>
      <c r="H700" s="666"/>
      <c r="I700" s="666"/>
      <c r="J700" s="666"/>
      <c r="K700" s="666"/>
      <c r="L700" s="666"/>
      <c r="M700" s="666"/>
      <c r="N700" s="666"/>
      <c r="O700" s="666"/>
      <c r="P700" s="666"/>
      <c r="Q700" s="666"/>
      <c r="R700" s="666"/>
      <c r="S700" s="666"/>
      <c r="T700" s="666"/>
      <c r="U700" s="666"/>
      <c r="V700" s="666"/>
      <c r="W700" s="666"/>
      <c r="X700" s="666"/>
      <c r="Y700" s="667"/>
      <c r="Z700" s="667"/>
    </row>
    <row r="701" spans="1:26" ht="15.75" customHeight="1">
      <c r="A701" s="666"/>
      <c r="B701" s="666"/>
      <c r="C701" s="666"/>
      <c r="D701" s="666"/>
      <c r="E701" s="666"/>
      <c r="F701" s="666"/>
      <c r="G701" s="666"/>
      <c r="H701" s="666"/>
      <c r="I701" s="666"/>
      <c r="J701" s="666"/>
      <c r="K701" s="666"/>
      <c r="L701" s="666"/>
      <c r="M701" s="666"/>
      <c r="N701" s="666"/>
      <c r="O701" s="666"/>
      <c r="P701" s="666"/>
      <c r="Q701" s="666"/>
      <c r="R701" s="666"/>
      <c r="S701" s="666"/>
      <c r="T701" s="666"/>
      <c r="U701" s="666"/>
      <c r="V701" s="666"/>
      <c r="W701" s="666"/>
      <c r="X701" s="666"/>
      <c r="Y701" s="667"/>
      <c r="Z701" s="667"/>
    </row>
    <row r="702" spans="1:26" ht="15.75" customHeight="1">
      <c r="A702" s="666"/>
      <c r="B702" s="666"/>
      <c r="C702" s="666"/>
      <c r="D702" s="666"/>
      <c r="E702" s="666"/>
      <c r="F702" s="666"/>
      <c r="G702" s="666"/>
      <c r="H702" s="666"/>
      <c r="I702" s="666"/>
      <c r="J702" s="666"/>
      <c r="K702" s="666"/>
      <c r="L702" s="666"/>
      <c r="M702" s="666"/>
      <c r="N702" s="666"/>
      <c r="O702" s="666"/>
      <c r="P702" s="666"/>
      <c r="Q702" s="666"/>
      <c r="R702" s="666"/>
      <c r="S702" s="666"/>
      <c r="T702" s="666"/>
      <c r="U702" s="666"/>
      <c r="V702" s="666"/>
      <c r="W702" s="666"/>
      <c r="X702" s="666"/>
      <c r="Y702" s="667"/>
      <c r="Z702" s="667"/>
    </row>
    <row r="703" spans="1:26" ht="15.75" customHeight="1">
      <c r="A703" s="666"/>
      <c r="B703" s="666"/>
      <c r="C703" s="666"/>
      <c r="D703" s="666"/>
      <c r="E703" s="666"/>
      <c r="F703" s="666"/>
      <c r="G703" s="666"/>
      <c r="H703" s="666"/>
      <c r="I703" s="666"/>
      <c r="J703" s="666"/>
      <c r="K703" s="666"/>
      <c r="L703" s="666"/>
      <c r="M703" s="666"/>
      <c r="N703" s="666"/>
      <c r="O703" s="666"/>
      <c r="P703" s="666"/>
      <c r="Q703" s="666"/>
      <c r="R703" s="666"/>
      <c r="S703" s="666"/>
      <c r="T703" s="666"/>
      <c r="U703" s="666"/>
      <c r="V703" s="666"/>
      <c r="W703" s="666"/>
      <c r="X703" s="666"/>
      <c r="Y703" s="667"/>
      <c r="Z703" s="667"/>
    </row>
    <row r="704" spans="1:26" ht="15.75" customHeight="1">
      <c r="A704" s="666"/>
      <c r="B704" s="666"/>
      <c r="C704" s="666"/>
      <c r="D704" s="666"/>
      <c r="E704" s="666"/>
      <c r="F704" s="666"/>
      <c r="G704" s="666"/>
      <c r="H704" s="666"/>
      <c r="I704" s="666"/>
      <c r="J704" s="666"/>
      <c r="K704" s="666"/>
      <c r="L704" s="666"/>
      <c r="M704" s="666"/>
      <c r="N704" s="666"/>
      <c r="O704" s="666"/>
      <c r="P704" s="666"/>
      <c r="Q704" s="666"/>
      <c r="R704" s="666"/>
      <c r="S704" s="666"/>
      <c r="T704" s="666"/>
      <c r="U704" s="666"/>
      <c r="V704" s="666"/>
      <c r="W704" s="666"/>
      <c r="X704" s="666"/>
      <c r="Y704" s="667"/>
      <c r="Z704" s="667"/>
    </row>
    <row r="705" spans="1:26" ht="15.75" customHeight="1">
      <c r="A705" s="666"/>
      <c r="B705" s="666"/>
      <c r="C705" s="666"/>
      <c r="D705" s="666"/>
      <c r="E705" s="666"/>
      <c r="F705" s="666"/>
      <c r="G705" s="666"/>
      <c r="H705" s="666"/>
      <c r="I705" s="666"/>
      <c r="J705" s="666"/>
      <c r="K705" s="666"/>
      <c r="L705" s="666"/>
      <c r="M705" s="666"/>
      <c r="N705" s="666"/>
      <c r="O705" s="666"/>
      <c r="P705" s="666"/>
      <c r="Q705" s="666"/>
      <c r="R705" s="666"/>
      <c r="S705" s="666"/>
      <c r="T705" s="666"/>
      <c r="U705" s="666"/>
      <c r="V705" s="666"/>
      <c r="W705" s="666"/>
      <c r="X705" s="666"/>
      <c r="Y705" s="667"/>
      <c r="Z705" s="667"/>
    </row>
    <row r="706" spans="1:26" ht="15.75" customHeight="1">
      <c r="A706" s="666"/>
      <c r="B706" s="666"/>
      <c r="C706" s="666"/>
      <c r="D706" s="666"/>
      <c r="E706" s="666"/>
      <c r="F706" s="666"/>
      <c r="G706" s="666"/>
      <c r="H706" s="666"/>
      <c r="I706" s="666"/>
      <c r="J706" s="666"/>
      <c r="K706" s="666"/>
      <c r="L706" s="666"/>
      <c r="M706" s="666"/>
      <c r="N706" s="666"/>
      <c r="O706" s="666"/>
      <c r="P706" s="666"/>
      <c r="Q706" s="666"/>
      <c r="R706" s="666"/>
      <c r="S706" s="666"/>
      <c r="T706" s="666"/>
      <c r="U706" s="666"/>
      <c r="V706" s="666"/>
      <c r="W706" s="666"/>
      <c r="X706" s="666"/>
      <c r="Y706" s="667"/>
      <c r="Z706" s="667"/>
    </row>
    <row r="707" spans="1:26" ht="15.75" customHeight="1">
      <c r="A707" s="666"/>
      <c r="B707" s="666"/>
      <c r="C707" s="666"/>
      <c r="D707" s="666"/>
      <c r="E707" s="666"/>
      <c r="F707" s="666"/>
      <c r="G707" s="666"/>
      <c r="H707" s="666"/>
      <c r="I707" s="666"/>
      <c r="J707" s="666"/>
      <c r="K707" s="666"/>
      <c r="L707" s="666"/>
      <c r="M707" s="666"/>
      <c r="N707" s="666"/>
      <c r="O707" s="666"/>
      <c r="P707" s="666"/>
      <c r="Q707" s="666"/>
      <c r="R707" s="666"/>
      <c r="S707" s="666"/>
      <c r="T707" s="666"/>
      <c r="U707" s="666"/>
      <c r="V707" s="666"/>
      <c r="W707" s="666"/>
      <c r="X707" s="666"/>
      <c r="Y707" s="667"/>
      <c r="Z707" s="667"/>
    </row>
    <row r="708" spans="1:26" ht="15.75" customHeight="1">
      <c r="A708" s="666"/>
      <c r="B708" s="666"/>
      <c r="C708" s="666"/>
      <c r="D708" s="666"/>
      <c r="E708" s="666"/>
      <c r="F708" s="666"/>
      <c r="G708" s="666"/>
      <c r="H708" s="666"/>
      <c r="I708" s="666"/>
      <c r="J708" s="666"/>
      <c r="K708" s="666"/>
      <c r="L708" s="666"/>
      <c r="M708" s="666"/>
      <c r="N708" s="666"/>
      <c r="O708" s="666"/>
      <c r="P708" s="666"/>
      <c r="Q708" s="666"/>
      <c r="R708" s="666"/>
      <c r="S708" s="666"/>
      <c r="T708" s="666"/>
      <c r="U708" s="666"/>
      <c r="V708" s="666"/>
      <c r="W708" s="666"/>
      <c r="X708" s="666"/>
      <c r="Y708" s="667"/>
      <c r="Z708" s="667"/>
    </row>
    <row r="709" spans="1:26" ht="15.75" customHeight="1">
      <c r="A709" s="666"/>
      <c r="B709" s="666"/>
      <c r="C709" s="666"/>
      <c r="D709" s="666"/>
      <c r="E709" s="666"/>
      <c r="F709" s="666"/>
      <c r="G709" s="666"/>
      <c r="H709" s="666"/>
      <c r="I709" s="666"/>
      <c r="J709" s="666"/>
      <c r="K709" s="666"/>
      <c r="L709" s="666"/>
      <c r="M709" s="666"/>
      <c r="N709" s="666"/>
      <c r="O709" s="666"/>
      <c r="P709" s="666"/>
      <c r="Q709" s="666"/>
      <c r="R709" s="666"/>
      <c r="S709" s="666"/>
      <c r="T709" s="666"/>
      <c r="U709" s="666"/>
      <c r="V709" s="666"/>
      <c r="W709" s="666"/>
      <c r="X709" s="666"/>
      <c r="Y709" s="667"/>
      <c r="Z709" s="667"/>
    </row>
    <row r="710" spans="1:26" ht="15.75" customHeight="1">
      <c r="A710" s="666"/>
      <c r="B710" s="666"/>
      <c r="C710" s="666"/>
      <c r="D710" s="666"/>
      <c r="E710" s="666"/>
      <c r="F710" s="666"/>
      <c r="G710" s="666"/>
      <c r="H710" s="666"/>
      <c r="I710" s="666"/>
      <c r="J710" s="666"/>
      <c r="K710" s="666"/>
      <c r="L710" s="666"/>
      <c r="M710" s="666"/>
      <c r="N710" s="666"/>
      <c r="O710" s="666"/>
      <c r="P710" s="666"/>
      <c r="Q710" s="666"/>
      <c r="R710" s="666"/>
      <c r="S710" s="666"/>
      <c r="T710" s="666"/>
      <c r="U710" s="666"/>
      <c r="V710" s="666"/>
      <c r="W710" s="666"/>
      <c r="X710" s="666"/>
      <c r="Y710" s="667"/>
      <c r="Z710" s="667"/>
    </row>
    <row r="711" spans="1:26" ht="15.75" customHeight="1">
      <c r="A711" s="666"/>
      <c r="B711" s="666"/>
      <c r="C711" s="666"/>
      <c r="D711" s="666"/>
      <c r="E711" s="666"/>
      <c r="F711" s="666"/>
      <c r="G711" s="666"/>
      <c r="H711" s="666"/>
      <c r="I711" s="666"/>
      <c r="J711" s="666"/>
      <c r="K711" s="666"/>
      <c r="L711" s="666"/>
      <c r="M711" s="666"/>
      <c r="N711" s="666"/>
      <c r="O711" s="666"/>
      <c r="P711" s="666"/>
      <c r="Q711" s="666"/>
      <c r="R711" s="666"/>
      <c r="S711" s="666"/>
      <c r="T711" s="666"/>
      <c r="U711" s="666"/>
      <c r="V711" s="666"/>
      <c r="W711" s="666"/>
      <c r="X711" s="666"/>
      <c r="Y711" s="667"/>
      <c r="Z711" s="667"/>
    </row>
    <row r="712" spans="1:26" ht="15.75" customHeight="1">
      <c r="A712" s="666"/>
      <c r="B712" s="666"/>
      <c r="C712" s="666"/>
      <c r="D712" s="666"/>
      <c r="E712" s="666"/>
      <c r="F712" s="666"/>
      <c r="G712" s="666"/>
      <c r="H712" s="666"/>
      <c r="I712" s="666"/>
      <c r="J712" s="666"/>
      <c r="K712" s="666"/>
      <c r="L712" s="666"/>
      <c r="M712" s="666"/>
      <c r="N712" s="666"/>
      <c r="O712" s="666"/>
      <c r="P712" s="666"/>
      <c r="Q712" s="666"/>
      <c r="R712" s="666"/>
      <c r="S712" s="666"/>
      <c r="T712" s="666"/>
      <c r="U712" s="666"/>
      <c r="V712" s="666"/>
      <c r="W712" s="666"/>
      <c r="X712" s="666"/>
      <c r="Y712" s="667"/>
      <c r="Z712" s="667"/>
    </row>
    <row r="713" spans="1:26" ht="15.75" customHeight="1">
      <c r="A713" s="666"/>
      <c r="B713" s="666"/>
      <c r="C713" s="666"/>
      <c r="D713" s="666"/>
      <c r="E713" s="666"/>
      <c r="F713" s="666"/>
      <c r="G713" s="666"/>
      <c r="H713" s="666"/>
      <c r="I713" s="666"/>
      <c r="J713" s="666"/>
      <c r="K713" s="666"/>
      <c r="L713" s="666"/>
      <c r="M713" s="666"/>
      <c r="N713" s="666"/>
      <c r="O713" s="666"/>
      <c r="P713" s="666"/>
      <c r="Q713" s="666"/>
      <c r="R713" s="666"/>
      <c r="S713" s="666"/>
      <c r="T713" s="666"/>
      <c r="U713" s="666"/>
      <c r="V713" s="666"/>
      <c r="W713" s="666"/>
      <c r="X713" s="666"/>
      <c r="Y713" s="667"/>
      <c r="Z713" s="667"/>
    </row>
    <row r="714" spans="1:26" ht="15.75" customHeight="1">
      <c r="A714" s="666"/>
      <c r="B714" s="666"/>
      <c r="C714" s="666"/>
      <c r="D714" s="666"/>
      <c r="E714" s="666"/>
      <c r="F714" s="666"/>
      <c r="G714" s="666"/>
      <c r="H714" s="666"/>
      <c r="I714" s="666"/>
      <c r="J714" s="666"/>
      <c r="K714" s="666"/>
      <c r="L714" s="666"/>
      <c r="M714" s="666"/>
      <c r="N714" s="666"/>
      <c r="O714" s="666"/>
      <c r="P714" s="666"/>
      <c r="Q714" s="666"/>
      <c r="R714" s="666"/>
      <c r="S714" s="666"/>
      <c r="T714" s="666"/>
      <c r="U714" s="666"/>
      <c r="V714" s="666"/>
      <c r="W714" s="666"/>
      <c r="X714" s="666"/>
      <c r="Y714" s="667"/>
      <c r="Z714" s="667"/>
    </row>
    <row r="715" spans="1:26" ht="15.75" customHeight="1">
      <c r="A715" s="666"/>
      <c r="B715" s="666"/>
      <c r="C715" s="666"/>
      <c r="D715" s="666"/>
      <c r="E715" s="666"/>
      <c r="F715" s="666"/>
      <c r="G715" s="666"/>
      <c r="H715" s="666"/>
      <c r="I715" s="666"/>
      <c r="J715" s="666"/>
      <c r="K715" s="666"/>
      <c r="L715" s="666"/>
      <c r="M715" s="666"/>
      <c r="N715" s="666"/>
      <c r="O715" s="666"/>
      <c r="P715" s="666"/>
      <c r="Q715" s="666"/>
      <c r="R715" s="666"/>
      <c r="S715" s="666"/>
      <c r="T715" s="666"/>
      <c r="U715" s="666"/>
      <c r="V715" s="666"/>
      <c r="W715" s="666"/>
      <c r="X715" s="666"/>
      <c r="Y715" s="667"/>
      <c r="Z715" s="667"/>
    </row>
    <row r="716" spans="1:26" ht="15.75" customHeight="1">
      <c r="A716" s="666"/>
      <c r="B716" s="666"/>
      <c r="C716" s="666"/>
      <c r="D716" s="666"/>
      <c r="E716" s="666"/>
      <c r="F716" s="666"/>
      <c r="G716" s="666"/>
      <c r="H716" s="666"/>
      <c r="I716" s="666"/>
      <c r="J716" s="666"/>
      <c r="K716" s="666"/>
      <c r="L716" s="666"/>
      <c r="M716" s="666"/>
      <c r="N716" s="666"/>
      <c r="O716" s="666"/>
      <c r="P716" s="666"/>
      <c r="Q716" s="666"/>
      <c r="R716" s="666"/>
      <c r="S716" s="666"/>
      <c r="T716" s="666"/>
      <c r="U716" s="666"/>
      <c r="V716" s="666"/>
      <c r="W716" s="666"/>
      <c r="X716" s="666"/>
      <c r="Y716" s="667"/>
      <c r="Z716" s="667"/>
    </row>
    <row r="717" spans="1:26" ht="15.75" customHeight="1">
      <c r="A717" s="666"/>
      <c r="B717" s="666"/>
      <c r="C717" s="666"/>
      <c r="D717" s="666"/>
      <c r="E717" s="666"/>
      <c r="F717" s="666"/>
      <c r="G717" s="666"/>
      <c r="H717" s="666"/>
      <c r="I717" s="666"/>
      <c r="J717" s="666"/>
      <c r="K717" s="666"/>
      <c r="L717" s="666"/>
      <c r="M717" s="666"/>
      <c r="N717" s="666"/>
      <c r="O717" s="666"/>
      <c r="P717" s="666"/>
      <c r="Q717" s="666"/>
      <c r="R717" s="666"/>
      <c r="S717" s="666"/>
      <c r="T717" s="666"/>
      <c r="U717" s="666"/>
      <c r="V717" s="666"/>
      <c r="W717" s="666"/>
      <c r="X717" s="666"/>
      <c r="Y717" s="667"/>
      <c r="Z717" s="667"/>
    </row>
    <row r="718" spans="1:26" ht="15.75" customHeight="1">
      <c r="A718" s="666"/>
      <c r="B718" s="666"/>
      <c r="C718" s="666"/>
      <c r="D718" s="666"/>
      <c r="E718" s="666"/>
      <c r="F718" s="666"/>
      <c r="G718" s="666"/>
      <c r="H718" s="666"/>
      <c r="I718" s="666"/>
      <c r="J718" s="666"/>
      <c r="K718" s="666"/>
      <c r="L718" s="666"/>
      <c r="M718" s="666"/>
      <c r="N718" s="666"/>
      <c r="O718" s="666"/>
      <c r="P718" s="666"/>
      <c r="Q718" s="666"/>
      <c r="R718" s="666"/>
      <c r="S718" s="666"/>
      <c r="T718" s="666"/>
      <c r="U718" s="666"/>
      <c r="V718" s="666"/>
      <c r="W718" s="666"/>
      <c r="X718" s="666"/>
      <c r="Y718" s="667"/>
      <c r="Z718" s="667"/>
    </row>
    <row r="719" spans="1:26" ht="15.75" customHeight="1">
      <c r="A719" s="666"/>
      <c r="B719" s="666"/>
      <c r="C719" s="666"/>
      <c r="D719" s="666"/>
      <c r="E719" s="666"/>
      <c r="F719" s="666"/>
      <c r="G719" s="666"/>
      <c r="H719" s="666"/>
      <c r="I719" s="666"/>
      <c r="J719" s="666"/>
      <c r="K719" s="666"/>
      <c r="L719" s="666"/>
      <c r="M719" s="666"/>
      <c r="N719" s="666"/>
      <c r="O719" s="666"/>
      <c r="P719" s="666"/>
      <c r="Q719" s="666"/>
      <c r="R719" s="666"/>
      <c r="S719" s="666"/>
      <c r="T719" s="666"/>
      <c r="U719" s="666"/>
      <c r="V719" s="666"/>
      <c r="W719" s="666"/>
      <c r="X719" s="666"/>
      <c r="Y719" s="667"/>
      <c r="Z719" s="667"/>
    </row>
    <row r="720" spans="1:26" ht="15.75" customHeight="1">
      <c r="A720" s="666"/>
      <c r="B720" s="666"/>
      <c r="C720" s="666"/>
      <c r="D720" s="666"/>
      <c r="E720" s="666"/>
      <c r="F720" s="666"/>
      <c r="G720" s="666"/>
      <c r="H720" s="666"/>
      <c r="I720" s="666"/>
      <c r="J720" s="666"/>
      <c r="K720" s="666"/>
      <c r="L720" s="666"/>
      <c r="M720" s="666"/>
      <c r="N720" s="666"/>
      <c r="O720" s="666"/>
      <c r="P720" s="666"/>
      <c r="Q720" s="666"/>
      <c r="R720" s="666"/>
      <c r="S720" s="666"/>
      <c r="T720" s="666"/>
      <c r="U720" s="666"/>
      <c r="V720" s="666"/>
      <c r="W720" s="666"/>
      <c r="X720" s="666"/>
      <c r="Y720" s="667"/>
      <c r="Z720" s="667"/>
    </row>
    <row r="721" spans="1:26" ht="15.75" customHeight="1">
      <c r="A721" s="666"/>
      <c r="B721" s="666"/>
      <c r="C721" s="666"/>
      <c r="D721" s="666"/>
      <c r="E721" s="666"/>
      <c r="F721" s="666"/>
      <c r="G721" s="666"/>
      <c r="H721" s="666"/>
      <c r="I721" s="666"/>
      <c r="J721" s="666"/>
      <c r="K721" s="666"/>
      <c r="L721" s="666"/>
      <c r="M721" s="666"/>
      <c r="N721" s="666"/>
      <c r="O721" s="666"/>
      <c r="P721" s="666"/>
      <c r="Q721" s="666"/>
      <c r="R721" s="666"/>
      <c r="S721" s="666"/>
      <c r="T721" s="666"/>
      <c r="U721" s="666"/>
      <c r="V721" s="666"/>
      <c r="W721" s="666"/>
      <c r="X721" s="666"/>
      <c r="Y721" s="667"/>
      <c r="Z721" s="667"/>
    </row>
    <row r="722" spans="1:26" ht="15.75" customHeight="1">
      <c r="A722" s="666"/>
      <c r="B722" s="666"/>
      <c r="C722" s="666"/>
      <c r="D722" s="666"/>
      <c r="E722" s="666"/>
      <c r="F722" s="666"/>
      <c r="G722" s="666"/>
      <c r="H722" s="666"/>
      <c r="I722" s="666"/>
      <c r="J722" s="666"/>
      <c r="K722" s="666"/>
      <c r="L722" s="666"/>
      <c r="M722" s="666"/>
      <c r="N722" s="666"/>
      <c r="O722" s="666"/>
      <c r="P722" s="666"/>
      <c r="Q722" s="666"/>
      <c r="R722" s="666"/>
      <c r="S722" s="666"/>
      <c r="T722" s="666"/>
      <c r="U722" s="666"/>
      <c r="V722" s="666"/>
      <c r="W722" s="666"/>
      <c r="X722" s="666"/>
      <c r="Y722" s="667"/>
      <c r="Z722" s="667"/>
    </row>
    <row r="723" spans="1:26" ht="15.75" customHeight="1">
      <c r="A723" s="666"/>
      <c r="B723" s="666"/>
      <c r="C723" s="666"/>
      <c r="D723" s="666"/>
      <c r="E723" s="666"/>
      <c r="F723" s="666"/>
      <c r="G723" s="666"/>
      <c r="H723" s="666"/>
      <c r="I723" s="666"/>
      <c r="J723" s="666"/>
      <c r="K723" s="666"/>
      <c r="L723" s="666"/>
      <c r="M723" s="666"/>
      <c r="N723" s="666"/>
      <c r="O723" s="666"/>
      <c r="P723" s="666"/>
      <c r="Q723" s="666"/>
      <c r="R723" s="666"/>
      <c r="S723" s="666"/>
      <c r="T723" s="666"/>
      <c r="U723" s="666"/>
      <c r="V723" s="666"/>
      <c r="W723" s="666"/>
      <c r="X723" s="666"/>
      <c r="Y723" s="667"/>
      <c r="Z723" s="667"/>
    </row>
    <row r="724" spans="1:26" ht="15.75" customHeight="1">
      <c r="A724" s="666"/>
      <c r="B724" s="666"/>
      <c r="C724" s="666"/>
      <c r="D724" s="666"/>
      <c r="E724" s="666"/>
      <c r="F724" s="666"/>
      <c r="G724" s="666"/>
      <c r="H724" s="666"/>
      <c r="I724" s="666"/>
      <c r="J724" s="666"/>
      <c r="K724" s="666"/>
      <c r="L724" s="666"/>
      <c r="M724" s="666"/>
      <c r="N724" s="666"/>
      <c r="O724" s="666"/>
      <c r="P724" s="666"/>
      <c r="Q724" s="666"/>
      <c r="R724" s="666"/>
      <c r="S724" s="666"/>
      <c r="T724" s="666"/>
      <c r="U724" s="666"/>
      <c r="V724" s="666"/>
      <c r="W724" s="666"/>
      <c r="X724" s="666"/>
      <c r="Y724" s="667"/>
      <c r="Z724" s="667"/>
    </row>
    <row r="725" spans="1:26" ht="15.75" customHeight="1">
      <c r="A725" s="666"/>
      <c r="B725" s="666"/>
      <c r="C725" s="666"/>
      <c r="D725" s="666"/>
      <c r="E725" s="666"/>
      <c r="F725" s="666"/>
      <c r="G725" s="666"/>
      <c r="H725" s="666"/>
      <c r="I725" s="666"/>
      <c r="J725" s="666"/>
      <c r="K725" s="666"/>
      <c r="L725" s="666"/>
      <c r="M725" s="666"/>
      <c r="N725" s="666"/>
      <c r="O725" s="666"/>
      <c r="P725" s="666"/>
      <c r="Q725" s="666"/>
      <c r="R725" s="666"/>
      <c r="S725" s="666"/>
      <c r="T725" s="666"/>
      <c r="U725" s="666"/>
      <c r="V725" s="666"/>
      <c r="W725" s="666"/>
      <c r="X725" s="666"/>
      <c r="Y725" s="667"/>
      <c r="Z725" s="667"/>
    </row>
    <row r="726" spans="1:26" ht="15.75" customHeight="1">
      <c r="A726" s="666"/>
      <c r="B726" s="666"/>
      <c r="C726" s="666"/>
      <c r="D726" s="666"/>
      <c r="E726" s="666"/>
      <c r="F726" s="666"/>
      <c r="G726" s="666"/>
      <c r="H726" s="666"/>
      <c r="I726" s="666"/>
      <c r="J726" s="666"/>
      <c r="K726" s="666"/>
      <c r="L726" s="666"/>
      <c r="M726" s="666"/>
      <c r="N726" s="666"/>
      <c r="O726" s="666"/>
      <c r="P726" s="666"/>
      <c r="Q726" s="666"/>
      <c r="R726" s="666"/>
      <c r="S726" s="666"/>
      <c r="T726" s="666"/>
      <c r="U726" s="666"/>
      <c r="V726" s="666"/>
      <c r="W726" s="666"/>
      <c r="X726" s="666"/>
      <c r="Y726" s="667"/>
      <c r="Z726" s="667"/>
    </row>
    <row r="727" spans="1:26" ht="15.75" customHeight="1">
      <c r="A727" s="666"/>
      <c r="B727" s="666"/>
      <c r="C727" s="666"/>
      <c r="D727" s="666"/>
      <c r="E727" s="666"/>
      <c r="F727" s="666"/>
      <c r="G727" s="666"/>
      <c r="H727" s="666"/>
      <c r="I727" s="666"/>
      <c r="J727" s="666"/>
      <c r="K727" s="666"/>
      <c r="L727" s="666"/>
      <c r="M727" s="666"/>
      <c r="N727" s="666"/>
      <c r="O727" s="666"/>
      <c r="P727" s="666"/>
      <c r="Q727" s="666"/>
      <c r="R727" s="666"/>
      <c r="S727" s="666"/>
      <c r="T727" s="666"/>
      <c r="U727" s="666"/>
      <c r="V727" s="666"/>
      <c r="W727" s="666"/>
      <c r="X727" s="666"/>
      <c r="Y727" s="667"/>
      <c r="Z727" s="667"/>
    </row>
    <row r="728" spans="1:26" ht="15.75" customHeight="1">
      <c r="A728" s="666"/>
      <c r="B728" s="666"/>
      <c r="C728" s="666"/>
      <c r="D728" s="666"/>
      <c r="E728" s="666"/>
      <c r="F728" s="666"/>
      <c r="G728" s="666"/>
      <c r="H728" s="666"/>
      <c r="I728" s="666"/>
      <c r="J728" s="666"/>
      <c r="K728" s="666"/>
      <c r="L728" s="666"/>
      <c r="M728" s="666"/>
      <c r="N728" s="666"/>
      <c r="O728" s="666"/>
      <c r="P728" s="666"/>
      <c r="Q728" s="666"/>
      <c r="R728" s="666"/>
      <c r="S728" s="666"/>
      <c r="T728" s="666"/>
      <c r="U728" s="666"/>
      <c r="V728" s="666"/>
      <c r="W728" s="666"/>
      <c r="X728" s="666"/>
      <c r="Y728" s="667"/>
      <c r="Z728" s="667"/>
    </row>
    <row r="729" spans="1:26" ht="15.75" customHeight="1">
      <c r="A729" s="666"/>
      <c r="B729" s="666"/>
      <c r="C729" s="666"/>
      <c r="D729" s="666"/>
      <c r="E729" s="666"/>
      <c r="F729" s="666"/>
      <c r="G729" s="666"/>
      <c r="H729" s="666"/>
      <c r="I729" s="666"/>
      <c r="J729" s="666"/>
      <c r="K729" s="666"/>
      <c r="L729" s="666"/>
      <c r="M729" s="666"/>
      <c r="N729" s="666"/>
      <c r="O729" s="666"/>
      <c r="P729" s="666"/>
      <c r="Q729" s="666"/>
      <c r="R729" s="666"/>
      <c r="S729" s="666"/>
      <c r="T729" s="666"/>
      <c r="U729" s="666"/>
      <c r="V729" s="666"/>
      <c r="W729" s="666"/>
      <c r="X729" s="666"/>
      <c r="Y729" s="667"/>
      <c r="Z729" s="667"/>
    </row>
    <row r="730" spans="1:26" ht="15.75" customHeight="1">
      <c r="A730" s="666"/>
      <c r="B730" s="666"/>
      <c r="C730" s="666"/>
      <c r="D730" s="666"/>
      <c r="E730" s="666"/>
      <c r="F730" s="666"/>
      <c r="G730" s="666"/>
      <c r="H730" s="666"/>
      <c r="I730" s="666"/>
      <c r="J730" s="666"/>
      <c r="K730" s="666"/>
      <c r="L730" s="666"/>
      <c r="M730" s="666"/>
      <c r="N730" s="666"/>
      <c r="O730" s="666"/>
      <c r="P730" s="666"/>
      <c r="Q730" s="666"/>
      <c r="R730" s="666"/>
      <c r="S730" s="666"/>
      <c r="T730" s="666"/>
      <c r="U730" s="666"/>
      <c r="V730" s="666"/>
      <c r="W730" s="666"/>
      <c r="X730" s="666"/>
      <c r="Y730" s="667"/>
      <c r="Z730" s="667"/>
    </row>
    <row r="731" spans="1:26" ht="15.75" customHeight="1">
      <c r="A731" s="666"/>
      <c r="B731" s="666"/>
      <c r="C731" s="666"/>
      <c r="D731" s="666"/>
      <c r="E731" s="666"/>
      <c r="F731" s="666"/>
      <c r="G731" s="666"/>
      <c r="H731" s="666"/>
      <c r="I731" s="666"/>
      <c r="J731" s="666"/>
      <c r="K731" s="666"/>
      <c r="L731" s="666"/>
      <c r="M731" s="666"/>
      <c r="N731" s="666"/>
      <c r="O731" s="666"/>
      <c r="P731" s="666"/>
      <c r="Q731" s="666"/>
      <c r="R731" s="666"/>
      <c r="S731" s="666"/>
      <c r="T731" s="666"/>
      <c r="U731" s="666"/>
      <c r="V731" s="666"/>
      <c r="W731" s="666"/>
      <c r="X731" s="666"/>
      <c r="Y731" s="667"/>
      <c r="Z731" s="667"/>
    </row>
    <row r="732" spans="1:26" ht="15.75" customHeight="1">
      <c r="A732" s="666"/>
      <c r="B732" s="666"/>
      <c r="C732" s="666"/>
      <c r="D732" s="666"/>
      <c r="E732" s="666"/>
      <c r="F732" s="666"/>
      <c r="G732" s="666"/>
      <c r="H732" s="666"/>
      <c r="I732" s="666"/>
      <c r="J732" s="666"/>
      <c r="K732" s="666"/>
      <c r="L732" s="666"/>
      <c r="M732" s="666"/>
      <c r="N732" s="666"/>
      <c r="O732" s="666"/>
      <c r="P732" s="666"/>
      <c r="Q732" s="666"/>
      <c r="R732" s="666"/>
      <c r="S732" s="666"/>
      <c r="T732" s="666"/>
      <c r="U732" s="666"/>
      <c r="V732" s="666"/>
      <c r="W732" s="666"/>
      <c r="X732" s="666"/>
      <c r="Y732" s="667"/>
      <c r="Z732" s="667"/>
    </row>
    <row r="733" spans="1:26" ht="15.75" customHeight="1">
      <c r="A733" s="666"/>
      <c r="B733" s="666"/>
      <c r="C733" s="666"/>
      <c r="D733" s="666"/>
      <c r="E733" s="666"/>
      <c r="F733" s="666"/>
      <c r="G733" s="666"/>
      <c r="H733" s="666"/>
      <c r="I733" s="666"/>
      <c r="J733" s="666"/>
      <c r="K733" s="666"/>
      <c r="L733" s="666"/>
      <c r="M733" s="666"/>
      <c r="N733" s="666"/>
      <c r="O733" s="666"/>
      <c r="P733" s="666"/>
      <c r="Q733" s="666"/>
      <c r="R733" s="666"/>
      <c r="S733" s="666"/>
      <c r="T733" s="666"/>
      <c r="U733" s="666"/>
      <c r="V733" s="666"/>
      <c r="W733" s="666"/>
      <c r="X733" s="666"/>
      <c r="Y733" s="667"/>
      <c r="Z733" s="667"/>
    </row>
    <row r="734" spans="1:26" ht="15.75" customHeight="1">
      <c r="A734" s="666"/>
      <c r="B734" s="666"/>
      <c r="C734" s="666"/>
      <c r="D734" s="666"/>
      <c r="E734" s="666"/>
      <c r="F734" s="666"/>
      <c r="G734" s="666"/>
      <c r="H734" s="666"/>
      <c r="I734" s="666"/>
      <c r="J734" s="666"/>
      <c r="K734" s="666"/>
      <c r="L734" s="666"/>
      <c r="M734" s="666"/>
      <c r="N734" s="666"/>
      <c r="O734" s="666"/>
      <c r="P734" s="666"/>
      <c r="Q734" s="666"/>
      <c r="R734" s="666"/>
      <c r="S734" s="666"/>
      <c r="T734" s="666"/>
      <c r="U734" s="666"/>
      <c r="V734" s="666"/>
      <c r="W734" s="666"/>
      <c r="X734" s="666"/>
      <c r="Y734" s="667"/>
      <c r="Z734" s="667"/>
    </row>
    <row r="735" spans="1:26" ht="15.75" customHeight="1">
      <c r="A735" s="666"/>
      <c r="B735" s="666"/>
      <c r="C735" s="666"/>
      <c r="D735" s="666"/>
      <c r="E735" s="666"/>
      <c r="F735" s="666"/>
      <c r="G735" s="666"/>
      <c r="H735" s="666"/>
      <c r="I735" s="666"/>
      <c r="J735" s="666"/>
      <c r="K735" s="666"/>
      <c r="L735" s="666"/>
      <c r="M735" s="666"/>
      <c r="N735" s="666"/>
      <c r="O735" s="666"/>
      <c r="P735" s="666"/>
      <c r="Q735" s="666"/>
      <c r="R735" s="666"/>
      <c r="S735" s="666"/>
      <c r="T735" s="666"/>
      <c r="U735" s="666"/>
      <c r="V735" s="666"/>
      <c r="W735" s="666"/>
      <c r="X735" s="666"/>
      <c r="Y735" s="667"/>
      <c r="Z735" s="667"/>
    </row>
    <row r="736" spans="1:26" ht="15.75" customHeight="1">
      <c r="A736" s="666"/>
      <c r="B736" s="666"/>
      <c r="C736" s="666"/>
      <c r="D736" s="666"/>
      <c r="E736" s="666"/>
      <c r="F736" s="666"/>
      <c r="G736" s="666"/>
      <c r="H736" s="666"/>
      <c r="I736" s="666"/>
      <c r="J736" s="666"/>
      <c r="K736" s="666"/>
      <c r="L736" s="666"/>
      <c r="M736" s="666"/>
      <c r="N736" s="666"/>
      <c r="O736" s="666"/>
      <c r="P736" s="666"/>
      <c r="Q736" s="666"/>
      <c r="R736" s="666"/>
      <c r="S736" s="666"/>
      <c r="T736" s="666"/>
      <c r="U736" s="666"/>
      <c r="V736" s="666"/>
      <c r="W736" s="666"/>
      <c r="X736" s="666"/>
      <c r="Y736" s="667"/>
      <c r="Z736" s="667"/>
    </row>
    <row r="737" spans="1:26" ht="15.75" customHeight="1">
      <c r="A737" s="666"/>
      <c r="B737" s="666"/>
      <c r="C737" s="666"/>
      <c r="D737" s="666"/>
      <c r="E737" s="666"/>
      <c r="F737" s="666"/>
      <c r="G737" s="666"/>
      <c r="H737" s="666"/>
      <c r="I737" s="666"/>
      <c r="J737" s="666"/>
      <c r="K737" s="666"/>
      <c r="L737" s="666"/>
      <c r="M737" s="666"/>
      <c r="N737" s="666"/>
      <c r="O737" s="666"/>
      <c r="P737" s="666"/>
      <c r="Q737" s="666"/>
      <c r="R737" s="666"/>
      <c r="S737" s="666"/>
      <c r="T737" s="666"/>
      <c r="U737" s="666"/>
      <c r="V737" s="666"/>
      <c r="W737" s="666"/>
      <c r="X737" s="666"/>
      <c r="Y737" s="667"/>
      <c r="Z737" s="667"/>
    </row>
    <row r="738" spans="1:26" ht="15.75" customHeight="1">
      <c r="A738" s="666"/>
      <c r="B738" s="666"/>
      <c r="C738" s="666"/>
      <c r="D738" s="666"/>
      <c r="E738" s="666"/>
      <c r="F738" s="666"/>
      <c r="G738" s="666"/>
      <c r="H738" s="666"/>
      <c r="I738" s="666"/>
      <c r="J738" s="666"/>
      <c r="K738" s="666"/>
      <c r="L738" s="666"/>
      <c r="M738" s="666"/>
      <c r="N738" s="666"/>
      <c r="O738" s="666"/>
      <c r="P738" s="666"/>
      <c r="Q738" s="666"/>
      <c r="R738" s="666"/>
      <c r="S738" s="666"/>
      <c r="T738" s="666"/>
      <c r="U738" s="666"/>
      <c r="V738" s="666"/>
      <c r="W738" s="666"/>
      <c r="X738" s="666"/>
      <c r="Y738" s="667"/>
      <c r="Z738" s="667"/>
    </row>
    <row r="739" spans="1:26" ht="15.75" customHeight="1">
      <c r="A739" s="666"/>
      <c r="B739" s="666"/>
      <c r="C739" s="666"/>
      <c r="D739" s="666"/>
      <c r="E739" s="666"/>
      <c r="F739" s="666"/>
      <c r="G739" s="666"/>
      <c r="H739" s="666"/>
      <c r="I739" s="666"/>
      <c r="J739" s="666"/>
      <c r="K739" s="666"/>
      <c r="L739" s="666"/>
      <c r="M739" s="666"/>
      <c r="N739" s="666"/>
      <c r="O739" s="666"/>
      <c r="P739" s="666"/>
      <c r="Q739" s="666"/>
      <c r="R739" s="666"/>
      <c r="S739" s="666"/>
      <c r="T739" s="666"/>
      <c r="U739" s="666"/>
      <c r="V739" s="666"/>
      <c r="W739" s="666"/>
      <c r="X739" s="666"/>
      <c r="Y739" s="667"/>
      <c r="Z739" s="667"/>
    </row>
    <row r="740" spans="1:26" ht="15.75" customHeight="1">
      <c r="A740" s="666"/>
      <c r="B740" s="666"/>
      <c r="C740" s="666"/>
      <c r="D740" s="666"/>
      <c r="E740" s="666"/>
      <c r="F740" s="666"/>
      <c r="G740" s="666"/>
      <c r="H740" s="666"/>
      <c r="I740" s="666"/>
      <c r="J740" s="666"/>
      <c r="K740" s="666"/>
      <c r="L740" s="666"/>
      <c r="M740" s="666"/>
      <c r="N740" s="666"/>
      <c r="O740" s="666"/>
      <c r="P740" s="666"/>
      <c r="Q740" s="666"/>
      <c r="R740" s="666"/>
      <c r="S740" s="666"/>
      <c r="T740" s="666"/>
      <c r="U740" s="666"/>
      <c r="V740" s="666"/>
      <c r="W740" s="666"/>
      <c r="X740" s="666"/>
      <c r="Y740" s="667"/>
      <c r="Z740" s="667"/>
    </row>
    <row r="741" spans="1:26" ht="15.75" customHeight="1">
      <c r="A741" s="666"/>
      <c r="B741" s="666"/>
      <c r="C741" s="666"/>
      <c r="D741" s="666"/>
      <c r="E741" s="666"/>
      <c r="F741" s="666"/>
      <c r="G741" s="666"/>
      <c r="H741" s="666"/>
      <c r="I741" s="666"/>
      <c r="J741" s="666"/>
      <c r="K741" s="666"/>
      <c r="L741" s="666"/>
      <c r="M741" s="666"/>
      <c r="N741" s="666"/>
      <c r="O741" s="666"/>
      <c r="P741" s="666"/>
      <c r="Q741" s="666"/>
      <c r="R741" s="666"/>
      <c r="S741" s="666"/>
      <c r="T741" s="666"/>
      <c r="U741" s="666"/>
      <c r="V741" s="666"/>
      <c r="W741" s="666"/>
      <c r="X741" s="666"/>
      <c r="Y741" s="667"/>
      <c r="Z741" s="667"/>
    </row>
    <row r="742" spans="1:26" ht="15.75" customHeight="1">
      <c r="A742" s="666"/>
      <c r="B742" s="666"/>
      <c r="C742" s="666"/>
      <c r="D742" s="666"/>
      <c r="E742" s="666"/>
      <c r="F742" s="666"/>
      <c r="G742" s="666"/>
      <c r="H742" s="666"/>
      <c r="I742" s="666"/>
      <c r="J742" s="666"/>
      <c r="K742" s="666"/>
      <c r="L742" s="666"/>
      <c r="M742" s="666"/>
      <c r="N742" s="666"/>
      <c r="O742" s="666"/>
      <c r="P742" s="666"/>
      <c r="Q742" s="666"/>
      <c r="R742" s="666"/>
      <c r="S742" s="666"/>
      <c r="T742" s="666"/>
      <c r="U742" s="666"/>
      <c r="V742" s="666"/>
      <c r="W742" s="666"/>
      <c r="X742" s="666"/>
      <c r="Y742" s="667"/>
      <c r="Z742" s="667"/>
    </row>
    <row r="743" spans="1:26" ht="15.75" customHeight="1">
      <c r="A743" s="666"/>
      <c r="B743" s="666"/>
      <c r="C743" s="666"/>
      <c r="D743" s="666"/>
      <c r="E743" s="666"/>
      <c r="F743" s="666"/>
      <c r="G743" s="666"/>
      <c r="H743" s="666"/>
      <c r="I743" s="666"/>
      <c r="J743" s="666"/>
      <c r="K743" s="666"/>
      <c r="L743" s="666"/>
      <c r="M743" s="666"/>
      <c r="N743" s="666"/>
      <c r="O743" s="666"/>
      <c r="P743" s="666"/>
      <c r="Q743" s="666"/>
      <c r="R743" s="666"/>
      <c r="S743" s="666"/>
      <c r="T743" s="666"/>
      <c r="U743" s="666"/>
      <c r="V743" s="666"/>
      <c r="W743" s="666"/>
      <c r="X743" s="666"/>
      <c r="Y743" s="667"/>
      <c r="Z743" s="667"/>
    </row>
    <row r="744" spans="1:26" ht="15.75" customHeight="1">
      <c r="A744" s="666"/>
      <c r="B744" s="666"/>
      <c r="C744" s="666"/>
      <c r="D744" s="666"/>
      <c r="E744" s="666"/>
      <c r="F744" s="666"/>
      <c r="G744" s="666"/>
      <c r="H744" s="666"/>
      <c r="I744" s="666"/>
      <c r="J744" s="666"/>
      <c r="K744" s="666"/>
      <c r="L744" s="666"/>
      <c r="M744" s="666"/>
      <c r="N744" s="666"/>
      <c r="O744" s="666"/>
      <c r="P744" s="666"/>
      <c r="Q744" s="666"/>
      <c r="R744" s="666"/>
      <c r="S744" s="666"/>
      <c r="T744" s="666"/>
      <c r="U744" s="666"/>
      <c r="V744" s="666"/>
      <c r="W744" s="666"/>
      <c r="X744" s="666"/>
      <c r="Y744" s="667"/>
      <c r="Z744" s="667"/>
    </row>
    <row r="745" spans="1:26" ht="15.75" customHeight="1">
      <c r="A745" s="666"/>
      <c r="B745" s="666"/>
      <c r="C745" s="666"/>
      <c r="D745" s="666"/>
      <c r="E745" s="666"/>
      <c r="F745" s="666"/>
      <c r="G745" s="666"/>
      <c r="H745" s="666"/>
      <c r="I745" s="666"/>
      <c r="J745" s="666"/>
      <c r="K745" s="666"/>
      <c r="L745" s="666"/>
      <c r="M745" s="666"/>
      <c r="N745" s="666"/>
      <c r="O745" s="666"/>
      <c r="P745" s="666"/>
      <c r="Q745" s="666"/>
      <c r="R745" s="666"/>
      <c r="S745" s="666"/>
      <c r="T745" s="666"/>
      <c r="U745" s="666"/>
      <c r="V745" s="666"/>
      <c r="W745" s="666"/>
      <c r="X745" s="666"/>
      <c r="Y745" s="667"/>
      <c r="Z745" s="667"/>
    </row>
    <row r="746" spans="1:26" ht="15.75" customHeight="1">
      <c r="A746" s="666"/>
      <c r="B746" s="666"/>
      <c r="C746" s="666"/>
      <c r="D746" s="666"/>
      <c r="E746" s="666"/>
      <c r="F746" s="666"/>
      <c r="G746" s="666"/>
      <c r="H746" s="666"/>
      <c r="I746" s="666"/>
      <c r="J746" s="666"/>
      <c r="K746" s="666"/>
      <c r="L746" s="666"/>
      <c r="M746" s="666"/>
      <c r="N746" s="666"/>
      <c r="O746" s="666"/>
      <c r="P746" s="666"/>
      <c r="Q746" s="666"/>
      <c r="R746" s="666"/>
      <c r="S746" s="666"/>
      <c r="T746" s="666"/>
      <c r="U746" s="666"/>
      <c r="V746" s="666"/>
      <c r="W746" s="666"/>
      <c r="X746" s="666"/>
      <c r="Y746" s="667"/>
      <c r="Z746" s="667"/>
    </row>
    <row r="747" spans="1:26" ht="15.75" customHeight="1">
      <c r="A747" s="666"/>
      <c r="B747" s="666"/>
      <c r="C747" s="666"/>
      <c r="D747" s="666"/>
      <c r="E747" s="666"/>
      <c r="F747" s="666"/>
      <c r="G747" s="666"/>
      <c r="H747" s="666"/>
      <c r="I747" s="666"/>
      <c r="J747" s="666"/>
      <c r="K747" s="666"/>
      <c r="L747" s="666"/>
      <c r="M747" s="666"/>
      <c r="N747" s="666"/>
      <c r="O747" s="666"/>
      <c r="P747" s="666"/>
      <c r="Q747" s="666"/>
      <c r="R747" s="666"/>
      <c r="S747" s="666"/>
      <c r="T747" s="666"/>
      <c r="U747" s="666"/>
      <c r="V747" s="666"/>
      <c r="W747" s="666"/>
      <c r="X747" s="666"/>
      <c r="Y747" s="667"/>
      <c r="Z747" s="667"/>
    </row>
    <row r="748" spans="1:26" ht="15.75" customHeight="1">
      <c r="A748" s="666"/>
      <c r="B748" s="666"/>
      <c r="C748" s="666"/>
      <c r="D748" s="666"/>
      <c r="E748" s="666"/>
      <c r="F748" s="666"/>
      <c r="G748" s="666"/>
      <c r="H748" s="666"/>
      <c r="I748" s="666"/>
      <c r="J748" s="666"/>
      <c r="K748" s="666"/>
      <c r="L748" s="666"/>
      <c r="M748" s="666"/>
      <c r="N748" s="666"/>
      <c r="O748" s="666"/>
      <c r="P748" s="666"/>
      <c r="Q748" s="666"/>
      <c r="R748" s="666"/>
      <c r="S748" s="666"/>
      <c r="T748" s="666"/>
      <c r="U748" s="666"/>
      <c r="V748" s="666"/>
      <c r="W748" s="666"/>
      <c r="X748" s="666"/>
      <c r="Y748" s="667"/>
      <c r="Z748" s="667"/>
    </row>
    <row r="749" spans="1:26" ht="15.75" customHeight="1">
      <c r="A749" s="666"/>
      <c r="B749" s="666"/>
      <c r="C749" s="666"/>
      <c r="D749" s="666"/>
      <c r="E749" s="666"/>
      <c r="F749" s="666"/>
      <c r="G749" s="666"/>
      <c r="H749" s="666"/>
      <c r="I749" s="666"/>
      <c r="J749" s="666"/>
      <c r="K749" s="666"/>
      <c r="L749" s="666"/>
      <c r="M749" s="666"/>
      <c r="N749" s="666"/>
      <c r="O749" s="666"/>
      <c r="P749" s="666"/>
      <c r="Q749" s="666"/>
      <c r="R749" s="666"/>
      <c r="S749" s="666"/>
      <c r="T749" s="666"/>
      <c r="U749" s="666"/>
      <c r="V749" s="666"/>
      <c r="W749" s="666"/>
      <c r="X749" s="666"/>
      <c r="Y749" s="667"/>
      <c r="Z749" s="667"/>
    </row>
    <row r="750" spans="1:26" ht="15.75" customHeight="1">
      <c r="A750" s="666"/>
      <c r="B750" s="666"/>
      <c r="C750" s="666"/>
      <c r="D750" s="666"/>
      <c r="E750" s="666"/>
      <c r="F750" s="666"/>
      <c r="G750" s="666"/>
      <c r="H750" s="666"/>
      <c r="I750" s="666"/>
      <c r="J750" s="666"/>
      <c r="K750" s="666"/>
      <c r="L750" s="666"/>
      <c r="M750" s="666"/>
      <c r="N750" s="666"/>
      <c r="O750" s="666"/>
      <c r="P750" s="666"/>
      <c r="Q750" s="666"/>
      <c r="R750" s="666"/>
      <c r="S750" s="666"/>
      <c r="T750" s="666"/>
      <c r="U750" s="666"/>
      <c r="V750" s="666"/>
      <c r="W750" s="666"/>
      <c r="X750" s="666"/>
      <c r="Y750" s="667"/>
      <c r="Z750" s="667"/>
    </row>
    <row r="751" spans="1:26" ht="15.75" customHeight="1">
      <c r="A751" s="666"/>
      <c r="B751" s="666"/>
      <c r="C751" s="666"/>
      <c r="D751" s="666"/>
      <c r="E751" s="666"/>
      <c r="F751" s="666"/>
      <c r="G751" s="666"/>
      <c r="H751" s="666"/>
      <c r="I751" s="666"/>
      <c r="J751" s="666"/>
      <c r="K751" s="666"/>
      <c r="L751" s="666"/>
      <c r="M751" s="666"/>
      <c r="N751" s="666"/>
      <c r="O751" s="666"/>
      <c r="P751" s="666"/>
      <c r="Q751" s="666"/>
      <c r="R751" s="666"/>
      <c r="S751" s="666"/>
      <c r="T751" s="666"/>
      <c r="U751" s="666"/>
      <c r="V751" s="666"/>
      <c r="W751" s="666"/>
      <c r="X751" s="666"/>
      <c r="Y751" s="667"/>
      <c r="Z751" s="667"/>
    </row>
    <row r="752" spans="1:26" ht="15.75" customHeight="1">
      <c r="A752" s="666"/>
      <c r="B752" s="666"/>
      <c r="C752" s="666"/>
      <c r="D752" s="666"/>
      <c r="E752" s="666"/>
      <c r="F752" s="666"/>
      <c r="G752" s="666"/>
      <c r="H752" s="666"/>
      <c r="I752" s="666"/>
      <c r="J752" s="666"/>
      <c r="K752" s="666"/>
      <c r="L752" s="666"/>
      <c r="M752" s="666"/>
      <c r="N752" s="666"/>
      <c r="O752" s="666"/>
      <c r="P752" s="666"/>
      <c r="Q752" s="666"/>
      <c r="R752" s="666"/>
      <c r="S752" s="666"/>
      <c r="T752" s="666"/>
      <c r="U752" s="666"/>
      <c r="V752" s="666"/>
      <c r="W752" s="666"/>
      <c r="X752" s="666"/>
      <c r="Y752" s="667"/>
      <c r="Z752" s="667"/>
    </row>
    <row r="753" spans="1:26" ht="15.75" customHeight="1">
      <c r="A753" s="666"/>
      <c r="B753" s="666"/>
      <c r="C753" s="666"/>
      <c r="D753" s="666"/>
      <c r="E753" s="666"/>
      <c r="F753" s="666"/>
      <c r="G753" s="666"/>
      <c r="H753" s="666"/>
      <c r="I753" s="666"/>
      <c r="J753" s="666"/>
      <c r="K753" s="666"/>
      <c r="L753" s="666"/>
      <c r="M753" s="666"/>
      <c r="N753" s="666"/>
      <c r="O753" s="666"/>
      <c r="P753" s="666"/>
      <c r="Q753" s="666"/>
      <c r="R753" s="666"/>
      <c r="S753" s="666"/>
      <c r="T753" s="666"/>
      <c r="U753" s="666"/>
      <c r="V753" s="666"/>
      <c r="W753" s="666"/>
      <c r="X753" s="666"/>
      <c r="Y753" s="667"/>
      <c r="Z753" s="667"/>
    </row>
    <row r="754" spans="1:26" ht="15.75" customHeight="1">
      <c r="A754" s="666"/>
      <c r="B754" s="666"/>
      <c r="C754" s="666"/>
      <c r="D754" s="666"/>
      <c r="E754" s="666"/>
      <c r="F754" s="666"/>
      <c r="G754" s="666"/>
      <c r="H754" s="666"/>
      <c r="I754" s="666"/>
      <c r="J754" s="666"/>
      <c r="K754" s="666"/>
      <c r="L754" s="666"/>
      <c r="M754" s="666"/>
      <c r="N754" s="666"/>
      <c r="O754" s="666"/>
      <c r="P754" s="666"/>
      <c r="Q754" s="666"/>
      <c r="R754" s="666"/>
      <c r="S754" s="666"/>
      <c r="T754" s="666"/>
      <c r="U754" s="666"/>
      <c r="V754" s="666"/>
      <c r="W754" s="666"/>
      <c r="X754" s="666"/>
      <c r="Y754" s="667"/>
      <c r="Z754" s="667"/>
    </row>
    <row r="755" spans="1:26" ht="15.75" customHeight="1">
      <c r="A755" s="666"/>
      <c r="B755" s="666"/>
      <c r="C755" s="666"/>
      <c r="D755" s="666"/>
      <c r="E755" s="666"/>
      <c r="F755" s="666"/>
      <c r="G755" s="666"/>
      <c r="H755" s="666"/>
      <c r="I755" s="666"/>
      <c r="J755" s="666"/>
      <c r="K755" s="666"/>
      <c r="L755" s="666"/>
      <c r="M755" s="666"/>
      <c r="N755" s="666"/>
      <c r="O755" s="666"/>
      <c r="P755" s="666"/>
      <c r="Q755" s="666"/>
      <c r="R755" s="666"/>
      <c r="S755" s="666"/>
      <c r="T755" s="666"/>
      <c r="U755" s="666"/>
      <c r="V755" s="666"/>
      <c r="W755" s="666"/>
      <c r="X755" s="666"/>
      <c r="Y755" s="667"/>
      <c r="Z755" s="667"/>
    </row>
    <row r="756" spans="1:26" ht="15.75" customHeight="1">
      <c r="A756" s="666"/>
      <c r="B756" s="666"/>
      <c r="C756" s="666"/>
      <c r="D756" s="666"/>
      <c r="E756" s="666"/>
      <c r="F756" s="666"/>
      <c r="G756" s="666"/>
      <c r="H756" s="666"/>
      <c r="I756" s="666"/>
      <c r="J756" s="666"/>
      <c r="K756" s="666"/>
      <c r="L756" s="666"/>
      <c r="M756" s="666"/>
      <c r="N756" s="666"/>
      <c r="O756" s="666"/>
      <c r="P756" s="666"/>
      <c r="Q756" s="666"/>
      <c r="R756" s="666"/>
      <c r="S756" s="666"/>
      <c r="T756" s="666"/>
      <c r="U756" s="666"/>
      <c r="V756" s="666"/>
      <c r="W756" s="666"/>
      <c r="X756" s="666"/>
      <c r="Y756" s="667"/>
      <c r="Z756" s="667"/>
    </row>
    <row r="757" spans="1:26" ht="15.75" customHeight="1">
      <c r="A757" s="666"/>
      <c r="B757" s="666"/>
      <c r="C757" s="666"/>
      <c r="D757" s="666"/>
      <c r="E757" s="666"/>
      <c r="F757" s="666"/>
      <c r="G757" s="666"/>
      <c r="H757" s="666"/>
      <c r="I757" s="666"/>
      <c r="J757" s="666"/>
      <c r="K757" s="666"/>
      <c r="L757" s="666"/>
      <c r="M757" s="666"/>
      <c r="N757" s="666"/>
      <c r="O757" s="666"/>
      <c r="P757" s="666"/>
      <c r="Q757" s="666"/>
      <c r="R757" s="666"/>
      <c r="S757" s="666"/>
      <c r="T757" s="666"/>
      <c r="U757" s="666"/>
      <c r="V757" s="666"/>
      <c r="W757" s="666"/>
      <c r="X757" s="666"/>
      <c r="Y757" s="667"/>
      <c r="Z757" s="667"/>
    </row>
    <row r="758" spans="1:26" ht="15.75" customHeight="1">
      <c r="A758" s="666"/>
      <c r="B758" s="666"/>
      <c r="C758" s="666"/>
      <c r="D758" s="666"/>
      <c r="E758" s="666"/>
      <c r="F758" s="666"/>
      <c r="G758" s="666"/>
      <c r="H758" s="666"/>
      <c r="I758" s="666"/>
      <c r="J758" s="666"/>
      <c r="K758" s="666"/>
      <c r="L758" s="666"/>
      <c r="M758" s="666"/>
      <c r="N758" s="666"/>
      <c r="O758" s="666"/>
      <c r="P758" s="666"/>
      <c r="Q758" s="666"/>
      <c r="R758" s="666"/>
      <c r="S758" s="666"/>
      <c r="T758" s="666"/>
      <c r="U758" s="666"/>
      <c r="V758" s="666"/>
      <c r="W758" s="666"/>
      <c r="X758" s="666"/>
      <c r="Y758" s="667"/>
      <c r="Z758" s="667"/>
    </row>
    <row r="759" spans="1:26" ht="15.75" customHeight="1">
      <c r="A759" s="666"/>
      <c r="B759" s="666"/>
      <c r="C759" s="666"/>
      <c r="D759" s="666"/>
      <c r="E759" s="666"/>
      <c r="F759" s="666"/>
      <c r="G759" s="666"/>
      <c r="H759" s="666"/>
      <c r="I759" s="666"/>
      <c r="J759" s="666"/>
      <c r="K759" s="666"/>
      <c r="L759" s="666"/>
      <c r="M759" s="666"/>
      <c r="N759" s="666"/>
      <c r="O759" s="666"/>
      <c r="P759" s="666"/>
      <c r="Q759" s="666"/>
      <c r="R759" s="666"/>
      <c r="S759" s="666"/>
      <c r="T759" s="666"/>
      <c r="U759" s="666"/>
      <c r="V759" s="666"/>
      <c r="W759" s="666"/>
      <c r="X759" s="666"/>
      <c r="Y759" s="667"/>
      <c r="Z759" s="667"/>
    </row>
    <row r="760" spans="1:26" ht="15.75" customHeight="1">
      <c r="A760" s="666"/>
      <c r="B760" s="666"/>
      <c r="C760" s="666"/>
      <c r="D760" s="666"/>
      <c r="E760" s="666"/>
      <c r="F760" s="666"/>
      <c r="G760" s="666"/>
      <c r="H760" s="666"/>
      <c r="I760" s="666"/>
      <c r="J760" s="666"/>
      <c r="K760" s="666"/>
      <c r="L760" s="666"/>
      <c r="M760" s="666"/>
      <c r="N760" s="666"/>
      <c r="O760" s="666"/>
      <c r="P760" s="666"/>
      <c r="Q760" s="666"/>
      <c r="R760" s="666"/>
      <c r="S760" s="666"/>
      <c r="T760" s="666"/>
      <c r="U760" s="666"/>
      <c r="V760" s="666"/>
      <c r="W760" s="666"/>
      <c r="X760" s="666"/>
      <c r="Y760" s="667"/>
      <c r="Z760" s="667"/>
    </row>
    <row r="761" spans="1:26" ht="15.75" customHeight="1">
      <c r="A761" s="666"/>
      <c r="B761" s="666"/>
      <c r="C761" s="666"/>
      <c r="D761" s="666"/>
      <c r="E761" s="666"/>
      <c r="F761" s="666"/>
      <c r="G761" s="666"/>
      <c r="H761" s="666"/>
      <c r="I761" s="666"/>
      <c r="J761" s="666"/>
      <c r="K761" s="666"/>
      <c r="L761" s="666"/>
      <c r="M761" s="666"/>
      <c r="N761" s="666"/>
      <c r="O761" s="666"/>
      <c r="P761" s="666"/>
      <c r="Q761" s="666"/>
      <c r="R761" s="666"/>
      <c r="S761" s="666"/>
      <c r="T761" s="666"/>
      <c r="U761" s="666"/>
      <c r="V761" s="666"/>
      <c r="W761" s="666"/>
      <c r="X761" s="666"/>
      <c r="Y761" s="667"/>
      <c r="Z761" s="667"/>
    </row>
    <row r="762" spans="1:26" ht="15.75" customHeight="1">
      <c r="A762" s="666"/>
      <c r="B762" s="666"/>
      <c r="C762" s="666"/>
      <c r="D762" s="666"/>
      <c r="E762" s="666"/>
      <c r="F762" s="666"/>
      <c r="G762" s="666"/>
      <c r="H762" s="666"/>
      <c r="I762" s="666"/>
      <c r="J762" s="666"/>
      <c r="K762" s="666"/>
      <c r="L762" s="666"/>
      <c r="M762" s="666"/>
      <c r="N762" s="666"/>
      <c r="O762" s="666"/>
      <c r="P762" s="666"/>
      <c r="Q762" s="666"/>
      <c r="R762" s="666"/>
      <c r="S762" s="666"/>
      <c r="T762" s="666"/>
      <c r="U762" s="666"/>
      <c r="V762" s="666"/>
      <c r="W762" s="666"/>
      <c r="X762" s="666"/>
      <c r="Y762" s="667"/>
      <c r="Z762" s="667"/>
    </row>
    <row r="763" spans="1:26" ht="15.75" customHeight="1">
      <c r="A763" s="666"/>
      <c r="B763" s="666"/>
      <c r="C763" s="666"/>
      <c r="D763" s="666"/>
      <c r="E763" s="666"/>
      <c r="F763" s="666"/>
      <c r="G763" s="666"/>
      <c r="H763" s="666"/>
      <c r="I763" s="666"/>
      <c r="J763" s="666"/>
      <c r="K763" s="666"/>
      <c r="L763" s="666"/>
      <c r="M763" s="666"/>
      <c r="N763" s="666"/>
      <c r="O763" s="666"/>
      <c r="P763" s="666"/>
      <c r="Q763" s="666"/>
      <c r="R763" s="666"/>
      <c r="S763" s="666"/>
      <c r="T763" s="666"/>
      <c r="U763" s="666"/>
      <c r="V763" s="666"/>
      <c r="W763" s="666"/>
      <c r="X763" s="666"/>
      <c r="Y763" s="667"/>
      <c r="Z763" s="667"/>
    </row>
    <row r="764" spans="1:26" ht="15.75" customHeight="1">
      <c r="A764" s="666"/>
      <c r="B764" s="666"/>
      <c r="C764" s="666"/>
      <c r="D764" s="666"/>
      <c r="E764" s="666"/>
      <c r="F764" s="666"/>
      <c r="G764" s="666"/>
      <c r="H764" s="666"/>
      <c r="I764" s="666"/>
      <c r="J764" s="666"/>
      <c r="K764" s="666"/>
      <c r="L764" s="666"/>
      <c r="M764" s="666"/>
      <c r="N764" s="666"/>
      <c r="O764" s="666"/>
      <c r="P764" s="666"/>
      <c r="Q764" s="666"/>
      <c r="R764" s="666"/>
      <c r="S764" s="666"/>
      <c r="T764" s="666"/>
      <c r="U764" s="666"/>
      <c r="V764" s="666"/>
      <c r="W764" s="666"/>
      <c r="X764" s="666"/>
      <c r="Y764" s="667"/>
      <c r="Z764" s="667"/>
    </row>
    <row r="765" spans="1:26" ht="15.75" customHeight="1">
      <c r="A765" s="666"/>
      <c r="B765" s="666"/>
      <c r="C765" s="666"/>
      <c r="D765" s="666"/>
      <c r="E765" s="666"/>
      <c r="F765" s="666"/>
      <c r="G765" s="666"/>
      <c r="H765" s="666"/>
      <c r="I765" s="666"/>
      <c r="J765" s="666"/>
      <c r="K765" s="666"/>
      <c r="L765" s="666"/>
      <c r="M765" s="666"/>
      <c r="N765" s="666"/>
      <c r="O765" s="666"/>
      <c r="P765" s="666"/>
      <c r="Q765" s="666"/>
      <c r="R765" s="666"/>
      <c r="S765" s="666"/>
      <c r="T765" s="666"/>
      <c r="U765" s="666"/>
      <c r="V765" s="666"/>
      <c r="W765" s="666"/>
      <c r="X765" s="666"/>
      <c r="Y765" s="667"/>
      <c r="Z765" s="667"/>
    </row>
    <row r="766" spans="1:26" ht="15.75" customHeight="1">
      <c r="A766" s="666"/>
      <c r="B766" s="666"/>
      <c r="C766" s="666"/>
      <c r="D766" s="666"/>
      <c r="E766" s="666"/>
      <c r="F766" s="666"/>
      <c r="G766" s="666"/>
      <c r="H766" s="666"/>
      <c r="I766" s="666"/>
      <c r="J766" s="666"/>
      <c r="K766" s="666"/>
      <c r="L766" s="666"/>
      <c r="M766" s="666"/>
      <c r="N766" s="666"/>
      <c r="O766" s="666"/>
      <c r="P766" s="666"/>
      <c r="Q766" s="666"/>
      <c r="R766" s="666"/>
      <c r="S766" s="666"/>
      <c r="T766" s="666"/>
      <c r="U766" s="666"/>
      <c r="V766" s="666"/>
      <c r="W766" s="666"/>
      <c r="X766" s="666"/>
      <c r="Y766" s="667"/>
      <c r="Z766" s="667"/>
    </row>
    <row r="767" spans="1:26" ht="15.75" customHeight="1">
      <c r="A767" s="666"/>
      <c r="B767" s="666"/>
      <c r="C767" s="666"/>
      <c r="D767" s="666"/>
      <c r="E767" s="666"/>
      <c r="F767" s="666"/>
      <c r="G767" s="666"/>
      <c r="H767" s="666"/>
      <c r="I767" s="666"/>
      <c r="J767" s="666"/>
      <c r="K767" s="666"/>
      <c r="L767" s="666"/>
      <c r="M767" s="666"/>
      <c r="N767" s="666"/>
      <c r="O767" s="666"/>
      <c r="P767" s="666"/>
      <c r="Q767" s="666"/>
      <c r="R767" s="666"/>
      <c r="S767" s="666"/>
      <c r="T767" s="666"/>
      <c r="U767" s="666"/>
      <c r="V767" s="666"/>
      <c r="W767" s="666"/>
      <c r="X767" s="666"/>
      <c r="Y767" s="667"/>
      <c r="Z767" s="667"/>
    </row>
    <row r="768" spans="1:26" ht="15.75" customHeight="1">
      <c r="A768" s="666"/>
      <c r="B768" s="666"/>
      <c r="C768" s="666"/>
      <c r="D768" s="666"/>
      <c r="E768" s="666"/>
      <c r="F768" s="666"/>
      <c r="G768" s="666"/>
      <c r="H768" s="666"/>
      <c r="I768" s="666"/>
      <c r="J768" s="666"/>
      <c r="K768" s="666"/>
      <c r="L768" s="666"/>
      <c r="M768" s="666"/>
      <c r="N768" s="666"/>
      <c r="O768" s="666"/>
      <c r="P768" s="666"/>
      <c r="Q768" s="666"/>
      <c r="R768" s="666"/>
      <c r="S768" s="666"/>
      <c r="T768" s="666"/>
      <c r="U768" s="666"/>
      <c r="V768" s="666"/>
      <c r="W768" s="666"/>
      <c r="X768" s="666"/>
      <c r="Y768" s="667"/>
      <c r="Z768" s="667"/>
    </row>
    <row r="769" spans="1:26" ht="15.75" customHeight="1">
      <c r="A769" s="666"/>
      <c r="B769" s="666"/>
      <c r="C769" s="666"/>
      <c r="D769" s="666"/>
      <c r="E769" s="666"/>
      <c r="F769" s="666"/>
      <c r="G769" s="666"/>
      <c r="H769" s="666"/>
      <c r="I769" s="666"/>
      <c r="J769" s="666"/>
      <c r="K769" s="666"/>
      <c r="L769" s="666"/>
      <c r="M769" s="666"/>
      <c r="N769" s="666"/>
      <c r="O769" s="666"/>
      <c r="P769" s="666"/>
      <c r="Q769" s="666"/>
      <c r="R769" s="666"/>
      <c r="S769" s="666"/>
      <c r="T769" s="666"/>
      <c r="U769" s="666"/>
      <c r="V769" s="666"/>
      <c r="W769" s="666"/>
      <c r="X769" s="666"/>
      <c r="Y769" s="667"/>
      <c r="Z769" s="667"/>
    </row>
    <row r="770" spans="1:26" ht="15.75" customHeight="1">
      <c r="A770" s="666"/>
      <c r="B770" s="666"/>
      <c r="C770" s="666"/>
      <c r="D770" s="666"/>
      <c r="E770" s="666"/>
      <c r="F770" s="666"/>
      <c r="G770" s="666"/>
      <c r="H770" s="666"/>
      <c r="I770" s="666"/>
      <c r="J770" s="666"/>
      <c r="K770" s="666"/>
      <c r="L770" s="666"/>
      <c r="M770" s="666"/>
      <c r="N770" s="666"/>
      <c r="O770" s="666"/>
      <c r="P770" s="666"/>
      <c r="Q770" s="666"/>
      <c r="R770" s="666"/>
      <c r="S770" s="666"/>
      <c r="T770" s="666"/>
      <c r="U770" s="666"/>
      <c r="V770" s="666"/>
      <c r="W770" s="666"/>
      <c r="X770" s="666"/>
      <c r="Y770" s="667"/>
      <c r="Z770" s="667"/>
    </row>
    <row r="771" spans="1:26" ht="15.75" customHeight="1">
      <c r="A771" s="666"/>
      <c r="B771" s="666"/>
      <c r="C771" s="666"/>
      <c r="D771" s="666"/>
      <c r="E771" s="666"/>
      <c r="F771" s="666"/>
      <c r="G771" s="666"/>
      <c r="H771" s="666"/>
      <c r="I771" s="666"/>
      <c r="J771" s="666"/>
      <c r="K771" s="666"/>
      <c r="L771" s="666"/>
      <c r="M771" s="666"/>
      <c r="N771" s="666"/>
      <c r="O771" s="666"/>
      <c r="P771" s="666"/>
      <c r="Q771" s="666"/>
      <c r="R771" s="666"/>
      <c r="S771" s="666"/>
      <c r="T771" s="666"/>
      <c r="U771" s="666"/>
      <c r="V771" s="666"/>
      <c r="W771" s="666"/>
      <c r="X771" s="666"/>
      <c r="Y771" s="667"/>
      <c r="Z771" s="667"/>
    </row>
    <row r="772" spans="1:26" ht="15.75" customHeight="1">
      <c r="A772" s="666"/>
      <c r="B772" s="666"/>
      <c r="C772" s="666"/>
      <c r="D772" s="666"/>
      <c r="E772" s="666"/>
      <c r="F772" s="666"/>
      <c r="G772" s="666"/>
      <c r="H772" s="666"/>
      <c r="I772" s="666"/>
      <c r="J772" s="666"/>
      <c r="K772" s="666"/>
      <c r="L772" s="666"/>
      <c r="M772" s="666"/>
      <c r="N772" s="666"/>
      <c r="O772" s="666"/>
      <c r="P772" s="666"/>
      <c r="Q772" s="666"/>
      <c r="R772" s="666"/>
      <c r="S772" s="666"/>
      <c r="T772" s="666"/>
      <c r="U772" s="666"/>
      <c r="V772" s="666"/>
      <c r="W772" s="666"/>
      <c r="X772" s="666"/>
      <c r="Y772" s="667"/>
      <c r="Z772" s="667"/>
    </row>
    <row r="773" spans="1:26" ht="15.75" customHeight="1">
      <c r="A773" s="666"/>
      <c r="B773" s="666"/>
      <c r="C773" s="666"/>
      <c r="D773" s="666"/>
      <c r="E773" s="666"/>
      <c r="F773" s="666"/>
      <c r="G773" s="666"/>
      <c r="H773" s="666"/>
      <c r="I773" s="666"/>
      <c r="J773" s="666"/>
      <c r="K773" s="666"/>
      <c r="L773" s="666"/>
      <c r="M773" s="666"/>
      <c r="N773" s="666"/>
      <c r="O773" s="666"/>
      <c r="P773" s="666"/>
      <c r="Q773" s="666"/>
      <c r="R773" s="666"/>
      <c r="S773" s="666"/>
      <c r="T773" s="666"/>
      <c r="U773" s="666"/>
      <c r="V773" s="666"/>
      <c r="W773" s="666"/>
      <c r="X773" s="666"/>
      <c r="Y773" s="667"/>
      <c r="Z773" s="667"/>
    </row>
    <row r="774" spans="1:26" ht="15.75" customHeight="1">
      <c r="A774" s="666"/>
      <c r="B774" s="666"/>
      <c r="C774" s="666"/>
      <c r="D774" s="666"/>
      <c r="E774" s="666"/>
      <c r="F774" s="666"/>
      <c r="G774" s="666"/>
      <c r="H774" s="666"/>
      <c r="I774" s="666"/>
      <c r="J774" s="666"/>
      <c r="K774" s="666"/>
      <c r="L774" s="666"/>
      <c r="M774" s="666"/>
      <c r="N774" s="666"/>
      <c r="O774" s="666"/>
      <c r="P774" s="666"/>
      <c r="Q774" s="666"/>
      <c r="R774" s="666"/>
      <c r="S774" s="666"/>
      <c r="T774" s="666"/>
      <c r="U774" s="666"/>
      <c r="V774" s="666"/>
      <c r="W774" s="666"/>
      <c r="X774" s="666"/>
      <c r="Y774" s="667"/>
      <c r="Z774" s="667"/>
    </row>
    <row r="775" spans="1:26" ht="15.75" customHeight="1">
      <c r="A775" s="666"/>
      <c r="B775" s="666"/>
      <c r="C775" s="666"/>
      <c r="D775" s="666"/>
      <c r="E775" s="666"/>
      <c r="F775" s="666"/>
      <c r="G775" s="666"/>
      <c r="H775" s="666"/>
      <c r="I775" s="666"/>
      <c r="J775" s="666"/>
      <c r="K775" s="666"/>
      <c r="L775" s="666"/>
      <c r="M775" s="666"/>
      <c r="N775" s="666"/>
      <c r="O775" s="666"/>
      <c r="P775" s="666"/>
      <c r="Q775" s="666"/>
      <c r="R775" s="666"/>
      <c r="S775" s="666"/>
      <c r="T775" s="666"/>
      <c r="U775" s="666"/>
      <c r="V775" s="666"/>
      <c r="W775" s="666"/>
      <c r="X775" s="666"/>
      <c r="Y775" s="667"/>
      <c r="Z775" s="667"/>
    </row>
    <row r="776" spans="1:26" ht="15.75" customHeight="1">
      <c r="A776" s="666"/>
      <c r="B776" s="666"/>
      <c r="C776" s="666"/>
      <c r="D776" s="666"/>
      <c r="E776" s="666"/>
      <c r="F776" s="666"/>
      <c r="G776" s="666"/>
      <c r="H776" s="666"/>
      <c r="I776" s="666"/>
      <c r="J776" s="666"/>
      <c r="K776" s="666"/>
      <c r="L776" s="666"/>
      <c r="M776" s="666"/>
      <c r="N776" s="666"/>
      <c r="O776" s="666"/>
      <c r="P776" s="666"/>
      <c r="Q776" s="666"/>
      <c r="R776" s="666"/>
      <c r="S776" s="666"/>
      <c r="T776" s="666"/>
      <c r="U776" s="666"/>
      <c r="V776" s="666"/>
      <c r="W776" s="666"/>
      <c r="X776" s="666"/>
      <c r="Y776" s="667"/>
      <c r="Z776" s="667"/>
    </row>
    <row r="777" spans="1:26" ht="15.75" customHeight="1">
      <c r="A777" s="666"/>
      <c r="B777" s="666"/>
      <c r="C777" s="666"/>
      <c r="D777" s="666"/>
      <c r="E777" s="666"/>
      <c r="F777" s="666"/>
      <c r="G777" s="666"/>
      <c r="H777" s="666"/>
      <c r="I777" s="666"/>
      <c r="J777" s="666"/>
      <c r="K777" s="666"/>
      <c r="L777" s="666"/>
      <c r="M777" s="666"/>
      <c r="N777" s="666"/>
      <c r="O777" s="666"/>
      <c r="P777" s="666"/>
      <c r="Q777" s="666"/>
      <c r="R777" s="666"/>
      <c r="S777" s="666"/>
      <c r="T777" s="666"/>
      <c r="U777" s="666"/>
      <c r="V777" s="666"/>
      <c r="W777" s="666"/>
      <c r="X777" s="666"/>
      <c r="Y777" s="667"/>
      <c r="Z777" s="667"/>
    </row>
    <row r="778" spans="1:26" ht="15.75" customHeight="1">
      <c r="A778" s="666"/>
      <c r="B778" s="666"/>
      <c r="C778" s="666"/>
      <c r="D778" s="666"/>
      <c r="E778" s="666"/>
      <c r="F778" s="666"/>
      <c r="G778" s="666"/>
      <c r="H778" s="666"/>
      <c r="I778" s="666"/>
      <c r="J778" s="666"/>
      <c r="K778" s="666"/>
      <c r="L778" s="666"/>
      <c r="M778" s="666"/>
      <c r="N778" s="666"/>
      <c r="O778" s="666"/>
      <c r="P778" s="666"/>
      <c r="Q778" s="666"/>
      <c r="R778" s="666"/>
      <c r="S778" s="666"/>
      <c r="T778" s="666"/>
      <c r="U778" s="666"/>
      <c r="V778" s="666"/>
      <c r="W778" s="666"/>
      <c r="X778" s="666"/>
      <c r="Y778" s="667"/>
      <c r="Z778" s="667"/>
    </row>
    <row r="779" spans="1:26" ht="15.75" customHeight="1">
      <c r="A779" s="666"/>
      <c r="B779" s="666"/>
      <c r="C779" s="666"/>
      <c r="D779" s="666"/>
      <c r="E779" s="666"/>
      <c r="F779" s="666"/>
      <c r="G779" s="666"/>
      <c r="H779" s="666"/>
      <c r="I779" s="666"/>
      <c r="J779" s="666"/>
      <c r="K779" s="666"/>
      <c r="L779" s="666"/>
      <c r="M779" s="666"/>
      <c r="N779" s="666"/>
      <c r="O779" s="666"/>
      <c r="P779" s="666"/>
      <c r="Q779" s="666"/>
      <c r="R779" s="666"/>
      <c r="S779" s="666"/>
      <c r="T779" s="666"/>
      <c r="U779" s="666"/>
      <c r="V779" s="666"/>
      <c r="W779" s="666"/>
      <c r="X779" s="666"/>
      <c r="Y779" s="667"/>
      <c r="Z779" s="667"/>
    </row>
    <row r="780" spans="1:26" ht="15.75" customHeight="1">
      <c r="A780" s="666"/>
      <c r="B780" s="666"/>
      <c r="C780" s="666"/>
      <c r="D780" s="666"/>
      <c r="E780" s="666"/>
      <c r="F780" s="666"/>
      <c r="G780" s="666"/>
      <c r="H780" s="666"/>
      <c r="I780" s="666"/>
      <c r="J780" s="666"/>
      <c r="K780" s="666"/>
      <c r="L780" s="666"/>
      <c r="M780" s="666"/>
      <c r="N780" s="666"/>
      <c r="O780" s="666"/>
      <c r="P780" s="666"/>
      <c r="Q780" s="666"/>
      <c r="R780" s="666"/>
      <c r="S780" s="666"/>
      <c r="T780" s="666"/>
      <c r="U780" s="666"/>
      <c r="V780" s="666"/>
      <c r="W780" s="666"/>
      <c r="X780" s="666"/>
      <c r="Y780" s="667"/>
      <c r="Z780" s="667"/>
    </row>
    <row r="781" spans="1:26" ht="15.75" customHeight="1">
      <c r="A781" s="666"/>
      <c r="B781" s="666"/>
      <c r="C781" s="666"/>
      <c r="D781" s="666"/>
      <c r="E781" s="666"/>
      <c r="F781" s="666"/>
      <c r="G781" s="666"/>
      <c r="H781" s="666"/>
      <c r="I781" s="666"/>
      <c r="J781" s="666"/>
      <c r="K781" s="666"/>
      <c r="L781" s="666"/>
      <c r="M781" s="666"/>
      <c r="N781" s="666"/>
      <c r="O781" s="666"/>
      <c r="P781" s="666"/>
      <c r="Q781" s="666"/>
      <c r="R781" s="666"/>
      <c r="S781" s="666"/>
      <c r="T781" s="666"/>
      <c r="U781" s="666"/>
      <c r="V781" s="666"/>
      <c r="W781" s="666"/>
      <c r="X781" s="666"/>
      <c r="Y781" s="667"/>
      <c r="Z781" s="667"/>
    </row>
    <row r="782" spans="1:26" ht="15.75" customHeight="1">
      <c r="A782" s="666"/>
      <c r="B782" s="666"/>
      <c r="C782" s="666"/>
      <c r="D782" s="666"/>
      <c r="E782" s="666"/>
      <c r="F782" s="666"/>
      <c r="G782" s="666"/>
      <c r="H782" s="666"/>
      <c r="I782" s="666"/>
      <c r="J782" s="666"/>
      <c r="K782" s="666"/>
      <c r="L782" s="666"/>
      <c r="M782" s="666"/>
      <c r="N782" s="666"/>
      <c r="O782" s="666"/>
      <c r="P782" s="666"/>
      <c r="Q782" s="666"/>
      <c r="R782" s="666"/>
      <c r="S782" s="666"/>
      <c r="T782" s="666"/>
      <c r="U782" s="666"/>
      <c r="V782" s="666"/>
      <c r="W782" s="666"/>
      <c r="X782" s="666"/>
      <c r="Y782" s="667"/>
      <c r="Z782" s="667"/>
    </row>
    <row r="783" spans="1:26" ht="15.75" customHeight="1">
      <c r="A783" s="666"/>
      <c r="B783" s="666"/>
      <c r="C783" s="666"/>
      <c r="D783" s="666"/>
      <c r="E783" s="666"/>
      <c r="F783" s="666"/>
      <c r="G783" s="666"/>
      <c r="H783" s="666"/>
      <c r="I783" s="666"/>
      <c r="J783" s="666"/>
      <c r="K783" s="666"/>
      <c r="L783" s="666"/>
      <c r="M783" s="666"/>
      <c r="N783" s="666"/>
      <c r="O783" s="666"/>
      <c r="P783" s="666"/>
      <c r="Q783" s="666"/>
      <c r="R783" s="666"/>
      <c r="S783" s="666"/>
      <c r="T783" s="666"/>
      <c r="U783" s="666"/>
      <c r="V783" s="666"/>
      <c r="W783" s="666"/>
      <c r="X783" s="666"/>
      <c r="Y783" s="667"/>
      <c r="Z783" s="667"/>
    </row>
    <row r="784" spans="1:26" ht="15.75" customHeight="1">
      <c r="A784" s="666"/>
      <c r="B784" s="666"/>
      <c r="C784" s="666"/>
      <c r="D784" s="666"/>
      <c r="E784" s="666"/>
      <c r="F784" s="666"/>
      <c r="G784" s="666"/>
      <c r="H784" s="666"/>
      <c r="I784" s="666"/>
      <c r="J784" s="666"/>
      <c r="K784" s="666"/>
      <c r="L784" s="666"/>
      <c r="M784" s="666"/>
      <c r="N784" s="666"/>
      <c r="O784" s="666"/>
      <c r="P784" s="666"/>
      <c r="Q784" s="666"/>
      <c r="R784" s="666"/>
      <c r="S784" s="666"/>
      <c r="T784" s="666"/>
      <c r="U784" s="666"/>
      <c r="V784" s="666"/>
      <c r="W784" s="666"/>
      <c r="X784" s="666"/>
      <c r="Y784" s="667"/>
      <c r="Z784" s="667"/>
    </row>
    <row r="785" spans="1:26" ht="15.75" customHeight="1">
      <c r="A785" s="666"/>
      <c r="B785" s="666"/>
      <c r="C785" s="666"/>
      <c r="D785" s="666"/>
      <c r="E785" s="666"/>
      <c r="F785" s="666"/>
      <c r="G785" s="666"/>
      <c r="H785" s="666"/>
      <c r="I785" s="666"/>
      <c r="J785" s="666"/>
      <c r="K785" s="666"/>
      <c r="L785" s="666"/>
      <c r="M785" s="666"/>
      <c r="N785" s="666"/>
      <c r="O785" s="666"/>
      <c r="P785" s="666"/>
      <c r="Q785" s="666"/>
      <c r="R785" s="666"/>
      <c r="S785" s="666"/>
      <c r="T785" s="666"/>
      <c r="U785" s="666"/>
      <c r="V785" s="666"/>
      <c r="W785" s="666"/>
      <c r="X785" s="666"/>
      <c r="Y785" s="667"/>
      <c r="Z785" s="667"/>
    </row>
    <row r="786" spans="1:26" ht="15.75" customHeight="1">
      <c r="A786" s="666"/>
      <c r="B786" s="666"/>
      <c r="C786" s="666"/>
      <c r="D786" s="666"/>
      <c r="E786" s="666"/>
      <c r="F786" s="666"/>
      <c r="G786" s="666"/>
      <c r="H786" s="666"/>
      <c r="I786" s="666"/>
      <c r="J786" s="666"/>
      <c r="K786" s="666"/>
      <c r="L786" s="666"/>
      <c r="M786" s="666"/>
      <c r="N786" s="666"/>
      <c r="O786" s="666"/>
      <c r="P786" s="666"/>
      <c r="Q786" s="666"/>
      <c r="R786" s="666"/>
      <c r="S786" s="666"/>
      <c r="T786" s="666"/>
      <c r="U786" s="666"/>
      <c r="V786" s="666"/>
      <c r="W786" s="666"/>
      <c r="X786" s="666"/>
      <c r="Y786" s="667"/>
      <c r="Z786" s="667"/>
    </row>
    <row r="787" spans="1:26" ht="15.75" customHeight="1">
      <c r="A787" s="666"/>
      <c r="B787" s="666"/>
      <c r="C787" s="666"/>
      <c r="D787" s="666"/>
      <c r="E787" s="666"/>
      <c r="F787" s="666"/>
      <c r="G787" s="666"/>
      <c r="H787" s="666"/>
      <c r="I787" s="666"/>
      <c r="J787" s="666"/>
      <c r="K787" s="666"/>
      <c r="L787" s="666"/>
      <c r="M787" s="666"/>
      <c r="N787" s="666"/>
      <c r="O787" s="666"/>
      <c r="P787" s="666"/>
      <c r="Q787" s="666"/>
      <c r="R787" s="666"/>
      <c r="S787" s="666"/>
      <c r="T787" s="666"/>
      <c r="U787" s="666"/>
      <c r="V787" s="666"/>
      <c r="W787" s="666"/>
      <c r="X787" s="666"/>
      <c r="Y787" s="667"/>
      <c r="Z787" s="667"/>
    </row>
    <row r="788" spans="1:26" ht="15.75" customHeight="1">
      <c r="A788" s="666"/>
      <c r="B788" s="666"/>
      <c r="C788" s="666"/>
      <c r="D788" s="666"/>
      <c r="E788" s="666"/>
      <c r="F788" s="666"/>
      <c r="G788" s="666"/>
      <c r="H788" s="666"/>
      <c r="I788" s="666"/>
      <c r="J788" s="666"/>
      <c r="K788" s="666"/>
      <c r="L788" s="666"/>
      <c r="M788" s="666"/>
      <c r="N788" s="666"/>
      <c r="O788" s="666"/>
      <c r="P788" s="666"/>
      <c r="Q788" s="666"/>
      <c r="R788" s="666"/>
      <c r="S788" s="666"/>
      <c r="T788" s="666"/>
      <c r="U788" s="666"/>
      <c r="V788" s="666"/>
      <c r="W788" s="666"/>
      <c r="X788" s="666"/>
      <c r="Y788" s="667"/>
      <c r="Z788" s="667"/>
    </row>
    <row r="789" spans="1:26" ht="15.75" customHeight="1">
      <c r="A789" s="666"/>
      <c r="B789" s="666"/>
      <c r="C789" s="666"/>
      <c r="D789" s="666"/>
      <c r="E789" s="666"/>
      <c r="F789" s="666"/>
      <c r="G789" s="666"/>
      <c r="H789" s="666"/>
      <c r="I789" s="666"/>
      <c r="J789" s="666"/>
      <c r="K789" s="666"/>
      <c r="L789" s="666"/>
      <c r="M789" s="666"/>
      <c r="N789" s="666"/>
      <c r="O789" s="666"/>
      <c r="P789" s="666"/>
      <c r="Q789" s="666"/>
      <c r="R789" s="666"/>
      <c r="S789" s="666"/>
      <c r="T789" s="666"/>
      <c r="U789" s="666"/>
      <c r="V789" s="666"/>
      <c r="W789" s="666"/>
      <c r="X789" s="666"/>
      <c r="Y789" s="667"/>
      <c r="Z789" s="667"/>
    </row>
    <row r="790" spans="1:26" ht="15.75" customHeight="1">
      <c r="A790" s="666"/>
      <c r="B790" s="666"/>
      <c r="C790" s="666"/>
      <c r="D790" s="666"/>
      <c r="E790" s="666"/>
      <c r="F790" s="666"/>
      <c r="G790" s="666"/>
      <c r="H790" s="666"/>
      <c r="I790" s="666"/>
      <c r="J790" s="666"/>
      <c r="K790" s="666"/>
      <c r="L790" s="666"/>
      <c r="M790" s="666"/>
      <c r="N790" s="666"/>
      <c r="O790" s="666"/>
      <c r="P790" s="666"/>
      <c r="Q790" s="666"/>
      <c r="R790" s="666"/>
      <c r="S790" s="666"/>
      <c r="T790" s="666"/>
      <c r="U790" s="666"/>
      <c r="V790" s="666"/>
      <c r="W790" s="666"/>
      <c r="X790" s="666"/>
      <c r="Y790" s="667"/>
      <c r="Z790" s="667"/>
    </row>
    <row r="791" spans="1:26" ht="15.75" customHeight="1">
      <c r="A791" s="666"/>
      <c r="B791" s="666"/>
      <c r="C791" s="666"/>
      <c r="D791" s="666"/>
      <c r="E791" s="666"/>
      <c r="F791" s="666"/>
      <c r="G791" s="666"/>
      <c r="H791" s="666"/>
      <c r="I791" s="666"/>
      <c r="J791" s="666"/>
      <c r="K791" s="666"/>
      <c r="L791" s="666"/>
      <c r="M791" s="666"/>
      <c r="N791" s="666"/>
      <c r="O791" s="666"/>
      <c r="P791" s="666"/>
      <c r="Q791" s="666"/>
      <c r="R791" s="666"/>
      <c r="S791" s="666"/>
      <c r="T791" s="666"/>
      <c r="U791" s="666"/>
      <c r="V791" s="666"/>
      <c r="W791" s="666"/>
      <c r="X791" s="666"/>
      <c r="Y791" s="667"/>
      <c r="Z791" s="667"/>
    </row>
    <row r="792" spans="1:26" ht="15.75" customHeight="1">
      <c r="A792" s="666"/>
      <c r="B792" s="666"/>
      <c r="C792" s="666"/>
      <c r="D792" s="666"/>
      <c r="E792" s="666"/>
      <c r="F792" s="666"/>
      <c r="G792" s="666"/>
      <c r="H792" s="666"/>
      <c r="I792" s="666"/>
      <c r="J792" s="666"/>
      <c r="K792" s="666"/>
      <c r="L792" s="666"/>
      <c r="M792" s="666"/>
      <c r="N792" s="666"/>
      <c r="O792" s="666"/>
      <c r="P792" s="666"/>
      <c r="Q792" s="666"/>
      <c r="R792" s="666"/>
      <c r="S792" s="666"/>
      <c r="T792" s="666"/>
      <c r="U792" s="666"/>
      <c r="V792" s="666"/>
      <c r="W792" s="666"/>
      <c r="X792" s="666"/>
      <c r="Y792" s="667"/>
      <c r="Z792" s="667"/>
    </row>
    <row r="793" spans="1:26" ht="15.75" customHeight="1">
      <c r="A793" s="666"/>
      <c r="B793" s="666"/>
      <c r="C793" s="666"/>
      <c r="D793" s="666"/>
      <c r="E793" s="666"/>
      <c r="F793" s="666"/>
      <c r="G793" s="666"/>
      <c r="H793" s="666"/>
      <c r="I793" s="666"/>
      <c r="J793" s="666"/>
      <c r="K793" s="666"/>
      <c r="L793" s="666"/>
      <c r="M793" s="666"/>
      <c r="N793" s="666"/>
      <c r="O793" s="666"/>
      <c r="P793" s="666"/>
      <c r="Q793" s="666"/>
      <c r="R793" s="666"/>
      <c r="S793" s="666"/>
      <c r="T793" s="666"/>
      <c r="U793" s="666"/>
      <c r="V793" s="666"/>
      <c r="W793" s="666"/>
      <c r="X793" s="666"/>
      <c r="Y793" s="667"/>
      <c r="Z793" s="667"/>
    </row>
    <row r="794" spans="1:26" ht="15.75" customHeight="1">
      <c r="A794" s="666"/>
      <c r="B794" s="666"/>
      <c r="C794" s="666"/>
      <c r="D794" s="666"/>
      <c r="E794" s="666"/>
      <c r="F794" s="666"/>
      <c r="G794" s="666"/>
      <c r="H794" s="666"/>
      <c r="I794" s="666"/>
      <c r="J794" s="666"/>
      <c r="K794" s="666"/>
      <c r="L794" s="666"/>
      <c r="M794" s="666"/>
      <c r="N794" s="666"/>
      <c r="O794" s="666"/>
      <c r="P794" s="666"/>
      <c r="Q794" s="666"/>
      <c r="R794" s="666"/>
      <c r="S794" s="666"/>
      <c r="T794" s="666"/>
      <c r="U794" s="666"/>
      <c r="V794" s="666"/>
      <c r="W794" s="666"/>
      <c r="X794" s="666"/>
      <c r="Y794" s="667"/>
      <c r="Z794" s="667"/>
    </row>
    <row r="795" spans="1:26" ht="15.75" customHeight="1">
      <c r="A795" s="666"/>
      <c r="B795" s="666"/>
      <c r="C795" s="666"/>
      <c r="D795" s="666"/>
      <c r="E795" s="666"/>
      <c r="F795" s="666"/>
      <c r="G795" s="666"/>
      <c r="H795" s="666"/>
      <c r="I795" s="666"/>
      <c r="J795" s="666"/>
      <c r="K795" s="666"/>
      <c r="L795" s="666"/>
      <c r="M795" s="666"/>
      <c r="N795" s="666"/>
      <c r="O795" s="666"/>
      <c r="P795" s="666"/>
      <c r="Q795" s="666"/>
      <c r="R795" s="666"/>
      <c r="S795" s="666"/>
      <c r="T795" s="666"/>
      <c r="U795" s="666"/>
      <c r="V795" s="666"/>
      <c r="W795" s="666"/>
      <c r="X795" s="666"/>
      <c r="Y795" s="667"/>
      <c r="Z795" s="667"/>
    </row>
    <row r="796" spans="1:26" ht="15.75" customHeight="1">
      <c r="A796" s="666"/>
      <c r="B796" s="666"/>
      <c r="C796" s="666"/>
      <c r="D796" s="666"/>
      <c r="E796" s="666"/>
      <c r="F796" s="666"/>
      <c r="G796" s="666"/>
      <c r="H796" s="666"/>
      <c r="I796" s="666"/>
      <c r="J796" s="666"/>
      <c r="K796" s="666"/>
      <c r="L796" s="666"/>
      <c r="M796" s="666"/>
      <c r="N796" s="666"/>
      <c r="O796" s="666"/>
      <c r="P796" s="666"/>
      <c r="Q796" s="666"/>
      <c r="R796" s="666"/>
      <c r="S796" s="666"/>
      <c r="T796" s="666"/>
      <c r="U796" s="666"/>
      <c r="V796" s="666"/>
      <c r="W796" s="666"/>
      <c r="X796" s="666"/>
      <c r="Y796" s="667"/>
      <c r="Z796" s="667"/>
    </row>
    <row r="797" spans="1:26" ht="15.75" customHeight="1">
      <c r="A797" s="666"/>
      <c r="B797" s="666"/>
      <c r="C797" s="666"/>
      <c r="D797" s="666"/>
      <c r="E797" s="666"/>
      <c r="F797" s="666"/>
      <c r="G797" s="666"/>
      <c r="H797" s="666"/>
      <c r="I797" s="666"/>
      <c r="J797" s="666"/>
      <c r="K797" s="666"/>
      <c r="L797" s="666"/>
      <c r="M797" s="666"/>
      <c r="N797" s="666"/>
      <c r="O797" s="666"/>
      <c r="P797" s="666"/>
      <c r="Q797" s="666"/>
      <c r="R797" s="666"/>
      <c r="S797" s="666"/>
      <c r="T797" s="666"/>
      <c r="U797" s="666"/>
      <c r="V797" s="666"/>
      <c r="W797" s="666"/>
      <c r="X797" s="666"/>
      <c r="Y797" s="667"/>
      <c r="Z797" s="667"/>
    </row>
    <row r="798" spans="1:26" ht="15.75" customHeight="1">
      <c r="A798" s="666"/>
      <c r="B798" s="666"/>
      <c r="C798" s="666"/>
      <c r="D798" s="666"/>
      <c r="E798" s="666"/>
      <c r="F798" s="666"/>
      <c r="G798" s="666"/>
      <c r="H798" s="666"/>
      <c r="I798" s="666"/>
      <c r="J798" s="666"/>
      <c r="K798" s="666"/>
      <c r="L798" s="666"/>
      <c r="M798" s="666"/>
      <c r="N798" s="666"/>
      <c r="O798" s="666"/>
      <c r="P798" s="666"/>
      <c r="Q798" s="666"/>
      <c r="R798" s="666"/>
      <c r="S798" s="666"/>
      <c r="T798" s="666"/>
      <c r="U798" s="666"/>
      <c r="V798" s="666"/>
      <c r="W798" s="666"/>
      <c r="X798" s="666"/>
      <c r="Y798" s="667"/>
      <c r="Z798" s="667"/>
    </row>
    <row r="799" spans="1:26" ht="15.75" customHeight="1">
      <c r="A799" s="666"/>
      <c r="B799" s="666"/>
      <c r="C799" s="666"/>
      <c r="D799" s="666"/>
      <c r="E799" s="666"/>
      <c r="F799" s="666"/>
      <c r="G799" s="666"/>
      <c r="H799" s="666"/>
      <c r="I799" s="666"/>
      <c r="J799" s="666"/>
      <c r="K799" s="666"/>
      <c r="L799" s="666"/>
      <c r="M799" s="666"/>
      <c r="N799" s="666"/>
      <c r="O799" s="666"/>
      <c r="P799" s="666"/>
      <c r="Q799" s="666"/>
      <c r="R799" s="666"/>
      <c r="S799" s="666"/>
      <c r="T799" s="666"/>
      <c r="U799" s="666"/>
      <c r="V799" s="666"/>
      <c r="W799" s="666"/>
      <c r="X799" s="666"/>
      <c r="Y799" s="667"/>
      <c r="Z799" s="667"/>
    </row>
    <row r="800" spans="1:26" ht="15.75" customHeight="1">
      <c r="A800" s="666"/>
      <c r="B800" s="666"/>
      <c r="C800" s="666"/>
      <c r="D800" s="666"/>
      <c r="E800" s="666"/>
      <c r="F800" s="666"/>
      <c r="G800" s="666"/>
      <c r="H800" s="666"/>
      <c r="I800" s="666"/>
      <c r="J800" s="666"/>
      <c r="K800" s="666"/>
      <c r="L800" s="666"/>
      <c r="M800" s="666"/>
      <c r="N800" s="666"/>
      <c r="O800" s="666"/>
      <c r="P800" s="666"/>
      <c r="Q800" s="666"/>
      <c r="R800" s="666"/>
      <c r="S800" s="666"/>
      <c r="T800" s="666"/>
      <c r="U800" s="666"/>
      <c r="V800" s="666"/>
      <c r="W800" s="666"/>
      <c r="X800" s="666"/>
      <c r="Y800" s="667"/>
      <c r="Z800" s="667"/>
    </row>
    <row r="801" spans="1:26" ht="15.75" customHeight="1">
      <c r="A801" s="666"/>
      <c r="B801" s="666"/>
      <c r="C801" s="666"/>
      <c r="D801" s="666"/>
      <c r="E801" s="666"/>
      <c r="F801" s="666"/>
      <c r="G801" s="666"/>
      <c r="H801" s="666"/>
      <c r="I801" s="666"/>
      <c r="J801" s="666"/>
      <c r="K801" s="666"/>
      <c r="L801" s="666"/>
      <c r="M801" s="666"/>
      <c r="N801" s="666"/>
      <c r="O801" s="666"/>
      <c r="P801" s="666"/>
      <c r="Q801" s="666"/>
      <c r="R801" s="666"/>
      <c r="S801" s="666"/>
      <c r="T801" s="666"/>
      <c r="U801" s="666"/>
      <c r="V801" s="666"/>
      <c r="W801" s="666"/>
      <c r="X801" s="666"/>
      <c r="Y801" s="667"/>
      <c r="Z801" s="667"/>
    </row>
    <row r="802" spans="1:26" ht="15.75" customHeight="1">
      <c r="A802" s="666"/>
      <c r="B802" s="666"/>
      <c r="C802" s="666"/>
      <c r="D802" s="666"/>
      <c r="E802" s="666"/>
      <c r="F802" s="666"/>
      <c r="G802" s="666"/>
      <c r="H802" s="666"/>
      <c r="I802" s="666"/>
      <c r="J802" s="666"/>
      <c r="K802" s="666"/>
      <c r="L802" s="666"/>
      <c r="M802" s="666"/>
      <c r="N802" s="666"/>
      <c r="O802" s="666"/>
      <c r="P802" s="666"/>
      <c r="Q802" s="666"/>
      <c r="R802" s="666"/>
      <c r="S802" s="666"/>
      <c r="T802" s="666"/>
      <c r="U802" s="666"/>
      <c r="V802" s="666"/>
      <c r="W802" s="666"/>
      <c r="X802" s="666"/>
      <c r="Y802" s="667"/>
      <c r="Z802" s="667"/>
    </row>
    <row r="803" spans="1:26" ht="15.75" customHeight="1">
      <c r="A803" s="666"/>
      <c r="B803" s="666"/>
      <c r="C803" s="666"/>
      <c r="D803" s="666"/>
      <c r="E803" s="666"/>
      <c r="F803" s="666"/>
      <c r="G803" s="666"/>
      <c r="H803" s="666"/>
      <c r="I803" s="666"/>
      <c r="J803" s="666"/>
      <c r="K803" s="666"/>
      <c r="L803" s="666"/>
      <c r="M803" s="666"/>
      <c r="N803" s="666"/>
      <c r="O803" s="666"/>
      <c r="P803" s="666"/>
      <c r="Q803" s="666"/>
      <c r="R803" s="666"/>
      <c r="S803" s="666"/>
      <c r="T803" s="666"/>
      <c r="U803" s="666"/>
      <c r="V803" s="666"/>
      <c r="W803" s="666"/>
      <c r="X803" s="666"/>
      <c r="Y803" s="667"/>
      <c r="Z803" s="667"/>
    </row>
    <row r="804" spans="1:26" ht="15.75" customHeight="1">
      <c r="A804" s="666"/>
      <c r="B804" s="666"/>
      <c r="C804" s="666"/>
      <c r="D804" s="666"/>
      <c r="E804" s="666"/>
      <c r="F804" s="666"/>
      <c r="G804" s="666"/>
      <c r="H804" s="666"/>
      <c r="I804" s="666"/>
      <c r="J804" s="666"/>
      <c r="K804" s="666"/>
      <c r="L804" s="666"/>
      <c r="M804" s="666"/>
      <c r="N804" s="666"/>
      <c r="O804" s="666"/>
      <c r="P804" s="666"/>
      <c r="Q804" s="666"/>
      <c r="R804" s="666"/>
      <c r="S804" s="666"/>
      <c r="T804" s="666"/>
      <c r="U804" s="666"/>
      <c r="V804" s="666"/>
      <c r="W804" s="666"/>
      <c r="X804" s="666"/>
      <c r="Y804" s="667"/>
      <c r="Z804" s="667"/>
    </row>
    <row r="805" spans="1:26" ht="15.75" customHeight="1">
      <c r="A805" s="666"/>
      <c r="B805" s="666"/>
      <c r="C805" s="666"/>
      <c r="D805" s="666"/>
      <c r="E805" s="666"/>
      <c r="F805" s="666"/>
      <c r="G805" s="666"/>
      <c r="H805" s="666"/>
      <c r="I805" s="666"/>
      <c r="J805" s="666"/>
      <c r="K805" s="666"/>
      <c r="L805" s="666"/>
      <c r="M805" s="666"/>
      <c r="N805" s="666"/>
      <c r="O805" s="666"/>
      <c r="P805" s="666"/>
      <c r="Q805" s="666"/>
      <c r="R805" s="666"/>
      <c r="S805" s="666"/>
      <c r="T805" s="666"/>
      <c r="U805" s="666"/>
      <c r="V805" s="666"/>
      <c r="W805" s="666"/>
      <c r="X805" s="666"/>
      <c r="Y805" s="667"/>
      <c r="Z805" s="667"/>
    </row>
    <row r="806" spans="1:26" ht="15.75" customHeight="1">
      <c r="A806" s="666"/>
      <c r="B806" s="666"/>
      <c r="C806" s="666"/>
      <c r="D806" s="666"/>
      <c r="E806" s="666"/>
      <c r="F806" s="666"/>
      <c r="G806" s="666"/>
      <c r="H806" s="666"/>
      <c r="I806" s="666"/>
      <c r="J806" s="666"/>
      <c r="K806" s="666"/>
      <c r="L806" s="666"/>
      <c r="M806" s="666"/>
      <c r="N806" s="666"/>
      <c r="O806" s="666"/>
      <c r="P806" s="666"/>
      <c r="Q806" s="666"/>
      <c r="R806" s="666"/>
      <c r="S806" s="666"/>
      <c r="T806" s="666"/>
      <c r="U806" s="666"/>
      <c r="V806" s="666"/>
      <c r="W806" s="666"/>
      <c r="X806" s="666"/>
      <c r="Y806" s="667"/>
      <c r="Z806" s="667"/>
    </row>
    <row r="807" spans="1:26" ht="15.75" customHeight="1">
      <c r="A807" s="666"/>
      <c r="B807" s="666"/>
      <c r="C807" s="666"/>
      <c r="D807" s="666"/>
      <c r="E807" s="666"/>
      <c r="F807" s="666"/>
      <c r="G807" s="666"/>
      <c r="H807" s="666"/>
      <c r="I807" s="666"/>
      <c r="J807" s="666"/>
      <c r="K807" s="666"/>
      <c r="L807" s="666"/>
      <c r="M807" s="666"/>
      <c r="N807" s="666"/>
      <c r="O807" s="666"/>
      <c r="P807" s="666"/>
      <c r="Q807" s="666"/>
      <c r="R807" s="666"/>
      <c r="S807" s="666"/>
      <c r="T807" s="666"/>
      <c r="U807" s="666"/>
      <c r="V807" s="666"/>
      <c r="W807" s="666"/>
      <c r="X807" s="666"/>
      <c r="Y807" s="667"/>
      <c r="Z807" s="667"/>
    </row>
    <row r="808" spans="1:26" ht="15.75" customHeight="1">
      <c r="A808" s="666"/>
      <c r="B808" s="666"/>
      <c r="C808" s="666"/>
      <c r="D808" s="666"/>
      <c r="E808" s="666"/>
      <c r="F808" s="666"/>
      <c r="G808" s="666"/>
      <c r="H808" s="666"/>
      <c r="I808" s="666"/>
      <c r="J808" s="666"/>
      <c r="K808" s="666"/>
      <c r="L808" s="666"/>
      <c r="M808" s="666"/>
      <c r="N808" s="666"/>
      <c r="O808" s="666"/>
      <c r="P808" s="666"/>
      <c r="Q808" s="666"/>
      <c r="R808" s="666"/>
      <c r="S808" s="666"/>
      <c r="T808" s="666"/>
      <c r="U808" s="666"/>
      <c r="V808" s="666"/>
      <c r="W808" s="666"/>
      <c r="X808" s="666"/>
      <c r="Y808" s="667"/>
      <c r="Z808" s="667"/>
    </row>
    <row r="809" spans="1:26" ht="15.75" customHeight="1">
      <c r="A809" s="666"/>
      <c r="B809" s="666"/>
      <c r="C809" s="666"/>
      <c r="D809" s="666"/>
      <c r="E809" s="666"/>
      <c r="F809" s="666"/>
      <c r="G809" s="666"/>
      <c r="H809" s="666"/>
      <c r="I809" s="666"/>
      <c r="J809" s="666"/>
      <c r="K809" s="666"/>
      <c r="L809" s="666"/>
      <c r="M809" s="666"/>
      <c r="N809" s="666"/>
      <c r="O809" s="666"/>
      <c r="P809" s="666"/>
      <c r="Q809" s="666"/>
      <c r="R809" s="666"/>
      <c r="S809" s="666"/>
      <c r="T809" s="666"/>
      <c r="U809" s="666"/>
      <c r="V809" s="666"/>
      <c r="W809" s="666"/>
      <c r="X809" s="666"/>
      <c r="Y809" s="667"/>
      <c r="Z809" s="667"/>
    </row>
    <row r="810" spans="1:26" ht="15.75" customHeight="1">
      <c r="A810" s="666"/>
      <c r="B810" s="666"/>
      <c r="C810" s="666"/>
      <c r="D810" s="666"/>
      <c r="E810" s="666"/>
      <c r="F810" s="666"/>
      <c r="G810" s="666"/>
      <c r="H810" s="666"/>
      <c r="I810" s="666"/>
      <c r="J810" s="666"/>
      <c r="K810" s="666"/>
      <c r="L810" s="666"/>
      <c r="M810" s="666"/>
      <c r="N810" s="666"/>
      <c r="O810" s="666"/>
      <c r="P810" s="666"/>
      <c r="Q810" s="666"/>
      <c r="R810" s="666"/>
      <c r="S810" s="666"/>
      <c r="T810" s="666"/>
      <c r="U810" s="666"/>
      <c r="V810" s="666"/>
      <c r="W810" s="666"/>
      <c r="X810" s="666"/>
      <c r="Y810" s="667"/>
      <c r="Z810" s="667"/>
    </row>
    <row r="811" spans="1:26" ht="15.75" customHeight="1">
      <c r="A811" s="666"/>
      <c r="B811" s="666"/>
      <c r="C811" s="666"/>
      <c r="D811" s="666"/>
      <c r="E811" s="666"/>
      <c r="F811" s="666"/>
      <c r="G811" s="666"/>
      <c r="H811" s="666"/>
      <c r="I811" s="666"/>
      <c r="J811" s="666"/>
      <c r="K811" s="666"/>
      <c r="L811" s="666"/>
      <c r="M811" s="666"/>
      <c r="N811" s="666"/>
      <c r="O811" s="666"/>
      <c r="P811" s="666"/>
      <c r="Q811" s="666"/>
      <c r="R811" s="666"/>
      <c r="S811" s="666"/>
      <c r="T811" s="666"/>
      <c r="U811" s="666"/>
      <c r="V811" s="666"/>
      <c r="W811" s="666"/>
      <c r="X811" s="666"/>
      <c r="Y811" s="667"/>
      <c r="Z811" s="667"/>
    </row>
    <row r="812" spans="1:26" ht="15.75" customHeight="1">
      <c r="A812" s="666"/>
      <c r="B812" s="666"/>
      <c r="C812" s="666"/>
      <c r="D812" s="666"/>
      <c r="E812" s="666"/>
      <c r="F812" s="666"/>
      <c r="G812" s="666"/>
      <c r="H812" s="666"/>
      <c r="I812" s="666"/>
      <c r="J812" s="666"/>
      <c r="K812" s="666"/>
      <c r="L812" s="666"/>
      <c r="M812" s="666"/>
      <c r="N812" s="666"/>
      <c r="O812" s="666"/>
      <c r="P812" s="666"/>
      <c r="Q812" s="666"/>
      <c r="R812" s="666"/>
      <c r="S812" s="666"/>
      <c r="T812" s="666"/>
      <c r="U812" s="666"/>
      <c r="V812" s="666"/>
      <c r="W812" s="666"/>
      <c r="X812" s="666"/>
      <c r="Y812" s="667"/>
      <c r="Z812" s="667"/>
    </row>
    <row r="813" spans="1:26" ht="15.75" customHeight="1">
      <c r="A813" s="666"/>
      <c r="B813" s="666"/>
      <c r="C813" s="666"/>
      <c r="D813" s="666"/>
      <c r="E813" s="666"/>
      <c r="F813" s="666"/>
      <c r="G813" s="666"/>
      <c r="H813" s="666"/>
      <c r="I813" s="666"/>
      <c r="J813" s="666"/>
      <c r="K813" s="666"/>
      <c r="L813" s="666"/>
      <c r="M813" s="666"/>
      <c r="N813" s="666"/>
      <c r="O813" s="666"/>
      <c r="P813" s="666"/>
      <c r="Q813" s="666"/>
      <c r="R813" s="666"/>
      <c r="S813" s="666"/>
      <c r="T813" s="666"/>
      <c r="U813" s="666"/>
      <c r="V813" s="666"/>
      <c r="W813" s="666"/>
      <c r="X813" s="666"/>
      <c r="Y813" s="667"/>
      <c r="Z813" s="667"/>
    </row>
    <row r="814" spans="1:26" ht="15.75" customHeight="1">
      <c r="A814" s="666"/>
      <c r="B814" s="666"/>
      <c r="C814" s="666"/>
      <c r="D814" s="666"/>
      <c r="E814" s="666"/>
      <c r="F814" s="666"/>
      <c r="G814" s="666"/>
      <c r="H814" s="666"/>
      <c r="I814" s="666"/>
      <c r="J814" s="666"/>
      <c r="K814" s="666"/>
      <c r="L814" s="666"/>
      <c r="M814" s="666"/>
      <c r="N814" s="666"/>
      <c r="O814" s="666"/>
      <c r="P814" s="666"/>
      <c r="Q814" s="666"/>
      <c r="R814" s="666"/>
      <c r="S814" s="666"/>
      <c r="T814" s="666"/>
      <c r="U814" s="666"/>
      <c r="V814" s="666"/>
      <c r="W814" s="666"/>
      <c r="X814" s="666"/>
      <c r="Y814" s="667"/>
      <c r="Z814" s="667"/>
    </row>
    <row r="815" spans="1:26" ht="15.75" customHeight="1">
      <c r="A815" s="666"/>
      <c r="B815" s="666"/>
      <c r="C815" s="666"/>
      <c r="D815" s="666"/>
      <c r="E815" s="666"/>
      <c r="F815" s="666"/>
      <c r="G815" s="666"/>
      <c r="H815" s="666"/>
      <c r="I815" s="666"/>
      <c r="J815" s="666"/>
      <c r="K815" s="666"/>
      <c r="L815" s="666"/>
      <c r="M815" s="666"/>
      <c r="N815" s="666"/>
      <c r="O815" s="666"/>
      <c r="P815" s="666"/>
      <c r="Q815" s="666"/>
      <c r="R815" s="666"/>
      <c r="S815" s="666"/>
      <c r="T815" s="666"/>
      <c r="U815" s="666"/>
      <c r="V815" s="666"/>
      <c r="W815" s="666"/>
      <c r="X815" s="666"/>
      <c r="Y815" s="667"/>
      <c r="Z815" s="667"/>
    </row>
    <row r="816" spans="1:26" ht="15.75" customHeight="1">
      <c r="A816" s="666"/>
      <c r="B816" s="666"/>
      <c r="C816" s="666"/>
      <c r="D816" s="666"/>
      <c r="E816" s="666"/>
      <c r="F816" s="666"/>
      <c r="G816" s="666"/>
      <c r="H816" s="666"/>
      <c r="I816" s="666"/>
      <c r="J816" s="666"/>
      <c r="K816" s="666"/>
      <c r="L816" s="666"/>
      <c r="M816" s="666"/>
      <c r="N816" s="666"/>
      <c r="O816" s="666"/>
      <c r="P816" s="666"/>
      <c r="Q816" s="666"/>
      <c r="R816" s="666"/>
      <c r="S816" s="666"/>
      <c r="T816" s="666"/>
      <c r="U816" s="666"/>
      <c r="V816" s="666"/>
      <c r="W816" s="666"/>
      <c r="X816" s="666"/>
      <c r="Y816" s="667"/>
      <c r="Z816" s="667"/>
    </row>
    <row r="817" spans="1:26" ht="15.75" customHeight="1">
      <c r="A817" s="666"/>
      <c r="B817" s="666"/>
      <c r="C817" s="666"/>
      <c r="D817" s="666"/>
      <c r="E817" s="666"/>
      <c r="F817" s="666"/>
      <c r="G817" s="666"/>
      <c r="H817" s="666"/>
      <c r="I817" s="666"/>
      <c r="J817" s="666"/>
      <c r="K817" s="666"/>
      <c r="L817" s="666"/>
      <c r="M817" s="666"/>
      <c r="N817" s="666"/>
      <c r="O817" s="666"/>
      <c r="P817" s="666"/>
      <c r="Q817" s="666"/>
      <c r="R817" s="666"/>
      <c r="S817" s="666"/>
      <c r="T817" s="666"/>
      <c r="U817" s="666"/>
      <c r="V817" s="666"/>
      <c r="W817" s="666"/>
      <c r="X817" s="666"/>
      <c r="Y817" s="667"/>
      <c r="Z817" s="667"/>
    </row>
    <row r="818" spans="1:26" ht="15.75" customHeight="1">
      <c r="A818" s="666"/>
      <c r="B818" s="666"/>
      <c r="C818" s="666"/>
      <c r="D818" s="666"/>
      <c r="E818" s="666"/>
      <c r="F818" s="666"/>
      <c r="G818" s="666"/>
      <c r="H818" s="666"/>
      <c r="I818" s="666"/>
      <c r="J818" s="666"/>
      <c r="K818" s="666"/>
      <c r="L818" s="666"/>
      <c r="M818" s="666"/>
      <c r="N818" s="666"/>
      <c r="O818" s="666"/>
      <c r="P818" s="666"/>
      <c r="Q818" s="666"/>
      <c r="R818" s="666"/>
      <c r="S818" s="666"/>
      <c r="T818" s="666"/>
      <c r="U818" s="666"/>
      <c r="V818" s="666"/>
      <c r="W818" s="666"/>
      <c r="X818" s="666"/>
      <c r="Y818" s="667"/>
      <c r="Z818" s="667"/>
    </row>
    <row r="819" spans="1:26" ht="15.75" customHeight="1">
      <c r="A819" s="666"/>
      <c r="B819" s="666"/>
      <c r="C819" s="666"/>
      <c r="D819" s="666"/>
      <c r="E819" s="666"/>
      <c r="F819" s="666"/>
      <c r="G819" s="666"/>
      <c r="H819" s="666"/>
      <c r="I819" s="666"/>
      <c r="J819" s="666"/>
      <c r="K819" s="666"/>
      <c r="L819" s="666"/>
      <c r="M819" s="666"/>
      <c r="N819" s="666"/>
      <c r="O819" s="666"/>
      <c r="P819" s="666"/>
      <c r="Q819" s="666"/>
      <c r="R819" s="666"/>
      <c r="S819" s="666"/>
      <c r="T819" s="666"/>
      <c r="U819" s="666"/>
      <c r="V819" s="666"/>
      <c r="W819" s="666"/>
      <c r="X819" s="666"/>
      <c r="Y819" s="667"/>
      <c r="Z819" s="667"/>
    </row>
    <row r="820" spans="1:26" ht="15.75" customHeight="1">
      <c r="A820" s="666"/>
      <c r="B820" s="666"/>
      <c r="C820" s="666"/>
      <c r="D820" s="666"/>
      <c r="E820" s="666"/>
      <c r="F820" s="666"/>
      <c r="G820" s="666"/>
      <c r="H820" s="666"/>
      <c r="I820" s="666"/>
      <c r="J820" s="666"/>
      <c r="K820" s="666"/>
      <c r="L820" s="666"/>
      <c r="M820" s="666"/>
      <c r="N820" s="666"/>
      <c r="O820" s="666"/>
      <c r="P820" s="666"/>
      <c r="Q820" s="666"/>
      <c r="R820" s="666"/>
      <c r="S820" s="666"/>
      <c r="T820" s="666"/>
      <c r="U820" s="666"/>
      <c r="V820" s="666"/>
      <c r="W820" s="666"/>
      <c r="X820" s="666"/>
      <c r="Y820" s="667"/>
      <c r="Z820" s="667"/>
    </row>
    <row r="821" spans="1:26" ht="15.75" customHeight="1">
      <c r="A821" s="666"/>
      <c r="B821" s="666"/>
      <c r="C821" s="666"/>
      <c r="D821" s="666"/>
      <c r="E821" s="666"/>
      <c r="F821" s="666"/>
      <c r="G821" s="666"/>
      <c r="H821" s="666"/>
      <c r="I821" s="666"/>
      <c r="J821" s="666"/>
      <c r="K821" s="666"/>
      <c r="L821" s="666"/>
      <c r="M821" s="666"/>
      <c r="N821" s="666"/>
      <c r="O821" s="666"/>
      <c r="P821" s="666"/>
      <c r="Q821" s="666"/>
      <c r="R821" s="666"/>
      <c r="S821" s="666"/>
      <c r="T821" s="666"/>
      <c r="U821" s="666"/>
      <c r="V821" s="666"/>
      <c r="W821" s="666"/>
      <c r="X821" s="666"/>
      <c r="Y821" s="667"/>
      <c r="Z821" s="667"/>
    </row>
    <row r="822" spans="1:26" ht="15.75" customHeight="1">
      <c r="A822" s="666"/>
      <c r="B822" s="666"/>
      <c r="C822" s="666"/>
      <c r="D822" s="666"/>
      <c r="E822" s="666"/>
      <c r="F822" s="666"/>
      <c r="G822" s="666"/>
      <c r="H822" s="666"/>
      <c r="I822" s="666"/>
      <c r="J822" s="666"/>
      <c r="K822" s="666"/>
      <c r="L822" s="666"/>
      <c r="M822" s="666"/>
      <c r="N822" s="666"/>
      <c r="O822" s="666"/>
      <c r="P822" s="666"/>
      <c r="Q822" s="666"/>
      <c r="R822" s="666"/>
      <c r="S822" s="666"/>
      <c r="T822" s="666"/>
      <c r="U822" s="666"/>
      <c r="V822" s="666"/>
      <c r="W822" s="666"/>
      <c r="X822" s="666"/>
      <c r="Y822" s="667"/>
      <c r="Z822" s="667"/>
    </row>
    <row r="823" spans="1:26" ht="15.75" customHeight="1">
      <c r="A823" s="666"/>
      <c r="B823" s="666"/>
      <c r="C823" s="666"/>
      <c r="D823" s="666"/>
      <c r="E823" s="666"/>
      <c r="F823" s="666"/>
      <c r="G823" s="666"/>
      <c r="H823" s="666"/>
      <c r="I823" s="666"/>
      <c r="J823" s="666"/>
      <c r="K823" s="666"/>
      <c r="L823" s="666"/>
      <c r="M823" s="666"/>
      <c r="N823" s="666"/>
      <c r="O823" s="666"/>
      <c r="P823" s="666"/>
      <c r="Q823" s="666"/>
      <c r="R823" s="666"/>
      <c r="S823" s="666"/>
      <c r="T823" s="666"/>
      <c r="U823" s="666"/>
      <c r="V823" s="666"/>
      <c r="W823" s="666"/>
      <c r="X823" s="666"/>
      <c r="Y823" s="667"/>
      <c r="Z823" s="667"/>
    </row>
    <row r="824" spans="1:26" ht="15.75" customHeight="1">
      <c r="A824" s="666"/>
      <c r="B824" s="666"/>
      <c r="C824" s="666"/>
      <c r="D824" s="666"/>
      <c r="E824" s="666"/>
      <c r="F824" s="666"/>
      <c r="G824" s="666"/>
      <c r="H824" s="666"/>
      <c r="I824" s="666"/>
      <c r="J824" s="666"/>
      <c r="K824" s="666"/>
      <c r="L824" s="666"/>
      <c r="M824" s="666"/>
      <c r="N824" s="666"/>
      <c r="O824" s="666"/>
      <c r="P824" s="666"/>
      <c r="Q824" s="666"/>
      <c r="R824" s="666"/>
      <c r="S824" s="666"/>
      <c r="T824" s="666"/>
      <c r="U824" s="666"/>
      <c r="V824" s="666"/>
      <c r="W824" s="666"/>
      <c r="X824" s="666"/>
      <c r="Y824" s="667"/>
      <c r="Z824" s="667"/>
    </row>
    <row r="825" spans="1:26" ht="15.75" customHeight="1">
      <c r="A825" s="666"/>
      <c r="B825" s="666"/>
      <c r="C825" s="666"/>
      <c r="D825" s="666"/>
      <c r="E825" s="666"/>
      <c r="F825" s="666"/>
      <c r="G825" s="666"/>
      <c r="H825" s="666"/>
      <c r="I825" s="666"/>
      <c r="J825" s="666"/>
      <c r="K825" s="666"/>
      <c r="L825" s="666"/>
      <c r="M825" s="666"/>
      <c r="N825" s="666"/>
      <c r="O825" s="666"/>
      <c r="P825" s="666"/>
      <c r="Q825" s="666"/>
      <c r="R825" s="666"/>
      <c r="S825" s="666"/>
      <c r="T825" s="666"/>
      <c r="U825" s="666"/>
      <c r="V825" s="666"/>
      <c r="W825" s="666"/>
      <c r="X825" s="666"/>
      <c r="Y825" s="667"/>
      <c r="Z825" s="667"/>
    </row>
    <row r="826" spans="1:26" ht="15.75" customHeight="1">
      <c r="A826" s="666"/>
      <c r="B826" s="666"/>
      <c r="C826" s="666"/>
      <c r="D826" s="666"/>
      <c r="E826" s="666"/>
      <c r="F826" s="666"/>
      <c r="G826" s="666"/>
      <c r="H826" s="666"/>
      <c r="I826" s="666"/>
      <c r="J826" s="666"/>
      <c r="K826" s="666"/>
      <c r="L826" s="666"/>
      <c r="M826" s="666"/>
      <c r="N826" s="666"/>
      <c r="O826" s="666"/>
      <c r="P826" s="666"/>
      <c r="Q826" s="666"/>
      <c r="R826" s="666"/>
      <c r="S826" s="666"/>
      <c r="T826" s="666"/>
      <c r="U826" s="666"/>
      <c r="V826" s="666"/>
      <c r="W826" s="666"/>
      <c r="X826" s="666"/>
      <c r="Y826" s="667"/>
      <c r="Z826" s="667"/>
    </row>
    <row r="827" spans="1:26" ht="15.75" customHeight="1">
      <c r="A827" s="666"/>
      <c r="B827" s="666"/>
      <c r="C827" s="666"/>
      <c r="D827" s="666"/>
      <c r="E827" s="666"/>
      <c r="F827" s="666"/>
      <c r="G827" s="666"/>
      <c r="H827" s="666"/>
      <c r="I827" s="666"/>
      <c r="J827" s="666"/>
      <c r="K827" s="666"/>
      <c r="L827" s="666"/>
      <c r="M827" s="666"/>
      <c r="N827" s="666"/>
      <c r="O827" s="666"/>
      <c r="P827" s="666"/>
      <c r="Q827" s="666"/>
      <c r="R827" s="666"/>
      <c r="S827" s="666"/>
      <c r="T827" s="666"/>
      <c r="U827" s="666"/>
      <c r="V827" s="666"/>
      <c r="W827" s="666"/>
      <c r="X827" s="666"/>
      <c r="Y827" s="667"/>
      <c r="Z827" s="667"/>
    </row>
    <row r="828" spans="1:26" ht="15.75" customHeight="1">
      <c r="A828" s="666"/>
      <c r="B828" s="666"/>
      <c r="C828" s="666"/>
      <c r="D828" s="666"/>
      <c r="E828" s="666"/>
      <c r="F828" s="666"/>
      <c r="G828" s="666"/>
      <c r="H828" s="666"/>
      <c r="I828" s="666"/>
      <c r="J828" s="666"/>
      <c r="K828" s="666"/>
      <c r="L828" s="666"/>
      <c r="M828" s="666"/>
      <c r="N828" s="666"/>
      <c r="O828" s="666"/>
      <c r="P828" s="666"/>
      <c r="Q828" s="666"/>
      <c r="R828" s="666"/>
      <c r="S828" s="666"/>
      <c r="T828" s="666"/>
      <c r="U828" s="666"/>
      <c r="V828" s="666"/>
      <c r="W828" s="666"/>
      <c r="X828" s="666"/>
      <c r="Y828" s="667"/>
      <c r="Z828" s="667"/>
    </row>
    <row r="829" spans="1:26" ht="15.75" customHeight="1">
      <c r="A829" s="666"/>
      <c r="B829" s="666"/>
      <c r="C829" s="666"/>
      <c r="D829" s="666"/>
      <c r="E829" s="666"/>
      <c r="F829" s="666"/>
      <c r="G829" s="666"/>
      <c r="H829" s="666"/>
      <c r="I829" s="666"/>
      <c r="J829" s="666"/>
      <c r="K829" s="666"/>
      <c r="L829" s="666"/>
      <c r="M829" s="666"/>
      <c r="N829" s="666"/>
      <c r="O829" s="666"/>
      <c r="P829" s="666"/>
      <c r="Q829" s="666"/>
      <c r="R829" s="666"/>
      <c r="S829" s="666"/>
      <c r="T829" s="666"/>
      <c r="U829" s="666"/>
      <c r="V829" s="666"/>
      <c r="W829" s="666"/>
      <c r="X829" s="666"/>
      <c r="Y829" s="667"/>
      <c r="Z829" s="667"/>
    </row>
    <row r="830" spans="1:26" ht="15.75" customHeight="1">
      <c r="A830" s="666"/>
      <c r="B830" s="666"/>
      <c r="C830" s="666"/>
      <c r="D830" s="666"/>
      <c r="E830" s="666"/>
      <c r="F830" s="666"/>
      <c r="G830" s="666"/>
      <c r="H830" s="666"/>
      <c r="I830" s="666"/>
      <c r="J830" s="666"/>
      <c r="K830" s="666"/>
      <c r="L830" s="666"/>
      <c r="M830" s="666"/>
      <c r="N830" s="666"/>
      <c r="O830" s="666"/>
      <c r="P830" s="666"/>
      <c r="Q830" s="666"/>
      <c r="R830" s="666"/>
      <c r="S830" s="666"/>
      <c r="T830" s="666"/>
      <c r="U830" s="666"/>
      <c r="V830" s="666"/>
      <c r="W830" s="666"/>
      <c r="X830" s="666"/>
      <c r="Y830" s="667"/>
      <c r="Z830" s="667"/>
    </row>
    <row r="831" spans="1:26" ht="15.75" customHeight="1">
      <c r="A831" s="666"/>
      <c r="B831" s="666"/>
      <c r="C831" s="666"/>
      <c r="D831" s="666"/>
      <c r="E831" s="666"/>
      <c r="F831" s="666"/>
      <c r="G831" s="666"/>
      <c r="H831" s="666"/>
      <c r="I831" s="666"/>
      <c r="J831" s="666"/>
      <c r="K831" s="666"/>
      <c r="L831" s="666"/>
      <c r="M831" s="666"/>
      <c r="N831" s="666"/>
      <c r="O831" s="666"/>
      <c r="P831" s="666"/>
      <c r="Q831" s="666"/>
      <c r="R831" s="666"/>
      <c r="S831" s="666"/>
      <c r="T831" s="666"/>
      <c r="U831" s="666"/>
      <c r="V831" s="666"/>
      <c r="W831" s="666"/>
      <c r="X831" s="666"/>
      <c r="Y831" s="667"/>
      <c r="Z831" s="667"/>
    </row>
    <row r="832" spans="1:26" ht="15.75" customHeight="1">
      <c r="A832" s="666"/>
      <c r="B832" s="666"/>
      <c r="C832" s="666"/>
      <c r="D832" s="666"/>
      <c r="E832" s="666"/>
      <c r="F832" s="666"/>
      <c r="G832" s="666"/>
      <c r="H832" s="666"/>
      <c r="I832" s="666"/>
      <c r="J832" s="666"/>
      <c r="K832" s="666"/>
      <c r="L832" s="666"/>
      <c r="M832" s="666"/>
      <c r="N832" s="666"/>
      <c r="O832" s="666"/>
      <c r="P832" s="666"/>
      <c r="Q832" s="666"/>
      <c r="R832" s="666"/>
      <c r="S832" s="666"/>
      <c r="T832" s="666"/>
      <c r="U832" s="666"/>
      <c r="V832" s="666"/>
      <c r="W832" s="666"/>
      <c r="X832" s="666"/>
      <c r="Y832" s="667"/>
      <c r="Z832" s="667"/>
    </row>
    <row r="833" spans="1:26" ht="15.75" customHeight="1">
      <c r="A833" s="666"/>
      <c r="B833" s="666"/>
      <c r="C833" s="666"/>
      <c r="D833" s="666"/>
      <c r="E833" s="666"/>
      <c r="F833" s="666"/>
      <c r="G833" s="666"/>
      <c r="H833" s="666"/>
      <c r="I833" s="666"/>
      <c r="J833" s="666"/>
      <c r="K833" s="666"/>
      <c r="L833" s="666"/>
      <c r="M833" s="666"/>
      <c r="N833" s="666"/>
      <c r="O833" s="666"/>
      <c r="P833" s="666"/>
      <c r="Q833" s="666"/>
      <c r="R833" s="666"/>
      <c r="S833" s="666"/>
      <c r="T833" s="666"/>
      <c r="U833" s="666"/>
      <c r="V833" s="666"/>
      <c r="W833" s="666"/>
      <c r="X833" s="666"/>
      <c r="Y833" s="667"/>
      <c r="Z833" s="667"/>
    </row>
    <row r="834" spans="1:26" ht="15.75" customHeight="1">
      <c r="A834" s="666"/>
      <c r="B834" s="666"/>
      <c r="C834" s="666"/>
      <c r="D834" s="666"/>
      <c r="E834" s="666"/>
      <c r="F834" s="666"/>
      <c r="G834" s="666"/>
      <c r="H834" s="666"/>
      <c r="I834" s="666"/>
      <c r="J834" s="666"/>
      <c r="K834" s="666"/>
      <c r="L834" s="666"/>
      <c r="M834" s="666"/>
      <c r="N834" s="666"/>
      <c r="O834" s="666"/>
      <c r="P834" s="666"/>
      <c r="Q834" s="666"/>
      <c r="R834" s="666"/>
      <c r="S834" s="666"/>
      <c r="T834" s="666"/>
      <c r="U834" s="666"/>
      <c r="V834" s="666"/>
      <c r="W834" s="666"/>
      <c r="X834" s="666"/>
      <c r="Y834" s="667"/>
      <c r="Z834" s="667"/>
    </row>
    <row r="835" spans="1:26" ht="15.75" customHeight="1">
      <c r="A835" s="666"/>
      <c r="B835" s="666"/>
      <c r="C835" s="666"/>
      <c r="D835" s="666"/>
      <c r="E835" s="666"/>
      <c r="F835" s="666"/>
      <c r="G835" s="666"/>
      <c r="H835" s="666"/>
      <c r="I835" s="666"/>
      <c r="J835" s="666"/>
      <c r="K835" s="666"/>
      <c r="L835" s="666"/>
      <c r="M835" s="666"/>
      <c r="N835" s="666"/>
      <c r="O835" s="666"/>
      <c r="P835" s="666"/>
      <c r="Q835" s="666"/>
      <c r="R835" s="666"/>
      <c r="S835" s="666"/>
      <c r="T835" s="666"/>
      <c r="U835" s="666"/>
      <c r="V835" s="666"/>
      <c r="W835" s="666"/>
      <c r="X835" s="666"/>
      <c r="Y835" s="667"/>
      <c r="Z835" s="667"/>
    </row>
    <row r="836" spans="1:26" ht="15.75" customHeight="1">
      <c r="A836" s="666"/>
      <c r="B836" s="666"/>
      <c r="C836" s="666"/>
      <c r="D836" s="666"/>
      <c r="E836" s="666"/>
      <c r="F836" s="666"/>
      <c r="G836" s="666"/>
      <c r="H836" s="666"/>
      <c r="I836" s="666"/>
      <c r="J836" s="666"/>
      <c r="K836" s="666"/>
      <c r="L836" s="666"/>
      <c r="M836" s="666"/>
      <c r="N836" s="666"/>
      <c r="O836" s="666"/>
      <c r="P836" s="666"/>
      <c r="Q836" s="666"/>
      <c r="R836" s="666"/>
      <c r="S836" s="666"/>
      <c r="T836" s="666"/>
      <c r="U836" s="666"/>
      <c r="V836" s="666"/>
      <c r="W836" s="666"/>
      <c r="X836" s="666"/>
      <c r="Y836" s="667"/>
      <c r="Z836" s="667"/>
    </row>
    <row r="837" spans="1:26" ht="15.75" customHeight="1">
      <c r="A837" s="666"/>
      <c r="B837" s="666"/>
      <c r="C837" s="666"/>
      <c r="D837" s="666"/>
      <c r="E837" s="666"/>
      <c r="F837" s="666"/>
      <c r="G837" s="666"/>
      <c r="H837" s="666"/>
      <c r="I837" s="666"/>
      <c r="J837" s="666"/>
      <c r="K837" s="666"/>
      <c r="L837" s="666"/>
      <c r="M837" s="666"/>
      <c r="N837" s="666"/>
      <c r="O837" s="666"/>
      <c r="P837" s="666"/>
      <c r="Q837" s="666"/>
      <c r="R837" s="666"/>
      <c r="S837" s="666"/>
      <c r="T837" s="666"/>
      <c r="U837" s="666"/>
      <c r="V837" s="666"/>
      <c r="W837" s="666"/>
      <c r="X837" s="666"/>
      <c r="Y837" s="667"/>
      <c r="Z837" s="667"/>
    </row>
    <row r="838" spans="1:26" ht="15.75" customHeight="1">
      <c r="A838" s="666"/>
      <c r="B838" s="666"/>
      <c r="C838" s="666"/>
      <c r="D838" s="666"/>
      <c r="E838" s="666"/>
      <c r="F838" s="666"/>
      <c r="G838" s="666"/>
      <c r="H838" s="666"/>
      <c r="I838" s="666"/>
      <c r="J838" s="666"/>
      <c r="K838" s="666"/>
      <c r="L838" s="666"/>
      <c r="M838" s="666"/>
      <c r="N838" s="666"/>
      <c r="O838" s="666"/>
      <c r="P838" s="666"/>
      <c r="Q838" s="666"/>
      <c r="R838" s="666"/>
      <c r="S838" s="666"/>
      <c r="T838" s="666"/>
      <c r="U838" s="666"/>
      <c r="V838" s="666"/>
      <c r="W838" s="666"/>
      <c r="X838" s="666"/>
      <c r="Y838" s="667"/>
      <c r="Z838" s="667"/>
    </row>
    <row r="839" spans="1:26" ht="15.75" customHeight="1">
      <c r="A839" s="666"/>
      <c r="B839" s="666"/>
      <c r="C839" s="666"/>
      <c r="D839" s="666"/>
      <c r="E839" s="666"/>
      <c r="F839" s="666"/>
      <c r="G839" s="666"/>
      <c r="H839" s="666"/>
      <c r="I839" s="666"/>
      <c r="J839" s="666"/>
      <c r="K839" s="666"/>
      <c r="L839" s="666"/>
      <c r="M839" s="666"/>
      <c r="N839" s="666"/>
      <c r="O839" s="666"/>
      <c r="P839" s="666"/>
      <c r="Q839" s="666"/>
      <c r="R839" s="666"/>
      <c r="S839" s="666"/>
      <c r="T839" s="666"/>
      <c r="U839" s="666"/>
      <c r="V839" s="666"/>
      <c r="W839" s="666"/>
      <c r="X839" s="666"/>
      <c r="Y839" s="667"/>
      <c r="Z839" s="667"/>
    </row>
    <row r="840" spans="1:26" ht="15.75" customHeight="1">
      <c r="A840" s="666"/>
      <c r="B840" s="666"/>
      <c r="C840" s="666"/>
      <c r="D840" s="666"/>
      <c r="E840" s="666"/>
      <c r="F840" s="666"/>
      <c r="G840" s="666"/>
      <c r="H840" s="666"/>
      <c r="I840" s="666"/>
      <c r="J840" s="666"/>
      <c r="K840" s="666"/>
      <c r="L840" s="666"/>
      <c r="M840" s="666"/>
      <c r="N840" s="666"/>
      <c r="O840" s="666"/>
      <c r="P840" s="666"/>
      <c r="Q840" s="666"/>
      <c r="R840" s="666"/>
      <c r="S840" s="666"/>
      <c r="T840" s="666"/>
      <c r="U840" s="666"/>
      <c r="V840" s="666"/>
      <c r="W840" s="666"/>
      <c r="X840" s="666"/>
      <c r="Y840" s="667"/>
      <c r="Z840" s="667"/>
    </row>
    <row r="841" spans="1:26" ht="15.75" customHeight="1">
      <c r="A841" s="666"/>
      <c r="B841" s="666"/>
      <c r="C841" s="666"/>
      <c r="D841" s="666"/>
      <c r="E841" s="666"/>
      <c r="F841" s="666"/>
      <c r="G841" s="666"/>
      <c r="H841" s="666"/>
      <c r="I841" s="666"/>
      <c r="J841" s="666"/>
      <c r="K841" s="666"/>
      <c r="L841" s="666"/>
      <c r="M841" s="666"/>
      <c r="N841" s="666"/>
      <c r="O841" s="666"/>
      <c r="P841" s="666"/>
      <c r="Q841" s="666"/>
      <c r="R841" s="666"/>
      <c r="S841" s="666"/>
      <c r="T841" s="666"/>
      <c r="U841" s="666"/>
      <c r="V841" s="666"/>
      <c r="W841" s="666"/>
      <c r="X841" s="666"/>
      <c r="Y841" s="667"/>
      <c r="Z841" s="667"/>
    </row>
    <row r="842" spans="1:26" ht="15.75" customHeight="1">
      <c r="A842" s="666"/>
      <c r="B842" s="666"/>
      <c r="C842" s="666"/>
      <c r="D842" s="666"/>
      <c r="E842" s="666"/>
      <c r="F842" s="666"/>
      <c r="G842" s="666"/>
      <c r="H842" s="666"/>
      <c r="I842" s="666"/>
      <c r="J842" s="666"/>
      <c r="K842" s="666"/>
      <c r="L842" s="666"/>
      <c r="M842" s="666"/>
      <c r="N842" s="666"/>
      <c r="O842" s="666"/>
      <c r="P842" s="666"/>
      <c r="Q842" s="666"/>
      <c r="R842" s="666"/>
      <c r="S842" s="666"/>
      <c r="T842" s="666"/>
      <c r="U842" s="666"/>
      <c r="V842" s="666"/>
      <c r="W842" s="666"/>
      <c r="X842" s="666"/>
      <c r="Y842" s="667"/>
      <c r="Z842" s="667"/>
    </row>
    <row r="843" spans="1:26" ht="15.75" customHeight="1">
      <c r="A843" s="666"/>
      <c r="B843" s="666"/>
      <c r="C843" s="666"/>
      <c r="D843" s="666"/>
      <c r="E843" s="666"/>
      <c r="F843" s="666"/>
      <c r="G843" s="666"/>
      <c r="H843" s="666"/>
      <c r="I843" s="666"/>
      <c r="J843" s="666"/>
      <c r="K843" s="666"/>
      <c r="L843" s="666"/>
      <c r="M843" s="666"/>
      <c r="N843" s="666"/>
      <c r="O843" s="666"/>
      <c r="P843" s="666"/>
      <c r="Q843" s="666"/>
      <c r="R843" s="666"/>
      <c r="S843" s="666"/>
      <c r="T843" s="666"/>
      <c r="U843" s="666"/>
      <c r="V843" s="666"/>
      <c r="W843" s="666"/>
      <c r="X843" s="666"/>
      <c r="Y843" s="667"/>
      <c r="Z843" s="667"/>
    </row>
    <row r="844" spans="1:26" ht="15.75" customHeight="1">
      <c r="A844" s="666"/>
      <c r="B844" s="666"/>
      <c r="C844" s="666"/>
      <c r="D844" s="666"/>
      <c r="E844" s="666"/>
      <c r="F844" s="666"/>
      <c r="G844" s="666"/>
      <c r="H844" s="666"/>
      <c r="I844" s="666"/>
      <c r="J844" s="666"/>
      <c r="K844" s="666"/>
      <c r="L844" s="666"/>
      <c r="M844" s="666"/>
      <c r="N844" s="666"/>
      <c r="O844" s="666"/>
      <c r="P844" s="666"/>
      <c r="Q844" s="666"/>
      <c r="R844" s="666"/>
      <c r="S844" s="666"/>
      <c r="T844" s="666"/>
      <c r="U844" s="666"/>
      <c r="V844" s="666"/>
      <c r="W844" s="666"/>
      <c r="X844" s="666"/>
      <c r="Y844" s="667"/>
      <c r="Z844" s="667"/>
    </row>
    <row r="845" spans="1:26" ht="15.75" customHeight="1">
      <c r="A845" s="666"/>
      <c r="B845" s="666"/>
      <c r="C845" s="666"/>
      <c r="D845" s="666"/>
      <c r="E845" s="666"/>
      <c r="F845" s="666"/>
      <c r="G845" s="666"/>
      <c r="H845" s="666"/>
      <c r="I845" s="666"/>
      <c r="J845" s="666"/>
      <c r="K845" s="666"/>
      <c r="L845" s="666"/>
      <c r="M845" s="666"/>
      <c r="N845" s="666"/>
      <c r="O845" s="666"/>
      <c r="P845" s="666"/>
      <c r="Q845" s="666"/>
      <c r="R845" s="666"/>
      <c r="S845" s="666"/>
      <c r="T845" s="666"/>
      <c r="U845" s="666"/>
      <c r="V845" s="666"/>
      <c r="W845" s="666"/>
      <c r="X845" s="666"/>
      <c r="Y845" s="667"/>
      <c r="Z845" s="667"/>
    </row>
    <row r="846" spans="1:26" ht="15.75" customHeight="1">
      <c r="A846" s="666"/>
      <c r="B846" s="666"/>
      <c r="C846" s="666"/>
      <c r="D846" s="666"/>
      <c r="E846" s="666"/>
      <c r="F846" s="666"/>
      <c r="G846" s="666"/>
      <c r="H846" s="666"/>
      <c r="I846" s="666"/>
      <c r="J846" s="666"/>
      <c r="K846" s="666"/>
      <c r="L846" s="666"/>
      <c r="M846" s="666"/>
      <c r="N846" s="666"/>
      <c r="O846" s="666"/>
      <c r="P846" s="666"/>
      <c r="Q846" s="666"/>
      <c r="R846" s="666"/>
      <c r="S846" s="666"/>
      <c r="T846" s="666"/>
      <c r="U846" s="666"/>
      <c r="V846" s="666"/>
      <c r="W846" s="666"/>
      <c r="X846" s="666"/>
      <c r="Y846" s="667"/>
      <c r="Z846" s="667"/>
    </row>
    <row r="847" spans="1:26" ht="15.75" customHeight="1">
      <c r="A847" s="666"/>
      <c r="B847" s="666"/>
      <c r="C847" s="666"/>
      <c r="D847" s="666"/>
      <c r="E847" s="666"/>
      <c r="F847" s="666"/>
      <c r="G847" s="666"/>
      <c r="H847" s="666"/>
      <c r="I847" s="666"/>
      <c r="J847" s="666"/>
      <c r="K847" s="666"/>
      <c r="L847" s="666"/>
      <c r="M847" s="666"/>
      <c r="N847" s="666"/>
      <c r="O847" s="666"/>
      <c r="P847" s="666"/>
      <c r="Q847" s="666"/>
      <c r="R847" s="666"/>
      <c r="S847" s="666"/>
      <c r="T847" s="666"/>
      <c r="U847" s="666"/>
      <c r="V847" s="666"/>
      <c r="W847" s="666"/>
      <c r="X847" s="666"/>
      <c r="Y847" s="667"/>
      <c r="Z847" s="667"/>
    </row>
    <row r="848" spans="1:26" ht="15.75" customHeight="1">
      <c r="A848" s="666"/>
      <c r="B848" s="666"/>
      <c r="C848" s="666"/>
      <c r="D848" s="666"/>
      <c r="E848" s="666"/>
      <c r="F848" s="666"/>
      <c r="G848" s="666"/>
      <c r="H848" s="666"/>
      <c r="I848" s="666"/>
      <c r="J848" s="666"/>
      <c r="K848" s="666"/>
      <c r="L848" s="666"/>
      <c r="M848" s="666"/>
      <c r="N848" s="666"/>
      <c r="O848" s="666"/>
      <c r="P848" s="666"/>
      <c r="Q848" s="666"/>
      <c r="R848" s="666"/>
      <c r="S848" s="666"/>
      <c r="T848" s="666"/>
      <c r="U848" s="666"/>
      <c r="V848" s="666"/>
      <c r="W848" s="666"/>
      <c r="X848" s="666"/>
      <c r="Y848" s="667"/>
      <c r="Z848" s="667"/>
    </row>
    <row r="849" spans="1:26" ht="15.75" customHeight="1">
      <c r="A849" s="666"/>
      <c r="B849" s="666"/>
      <c r="C849" s="666"/>
      <c r="D849" s="666"/>
      <c r="E849" s="666"/>
      <c r="F849" s="666"/>
      <c r="G849" s="666"/>
      <c r="H849" s="666"/>
      <c r="I849" s="666"/>
      <c r="J849" s="666"/>
      <c r="K849" s="666"/>
      <c r="L849" s="666"/>
      <c r="M849" s="666"/>
      <c r="N849" s="666"/>
      <c r="O849" s="666"/>
      <c r="P849" s="666"/>
      <c r="Q849" s="666"/>
      <c r="R849" s="666"/>
      <c r="S849" s="666"/>
      <c r="T849" s="666"/>
      <c r="U849" s="666"/>
      <c r="V849" s="666"/>
      <c r="W849" s="666"/>
      <c r="X849" s="666"/>
      <c r="Y849" s="667"/>
      <c r="Z849" s="667"/>
    </row>
    <row r="850" spans="1:26" ht="15.75" customHeight="1">
      <c r="A850" s="666"/>
      <c r="B850" s="666"/>
      <c r="C850" s="666"/>
      <c r="D850" s="666"/>
      <c r="E850" s="666"/>
      <c r="F850" s="666"/>
      <c r="G850" s="666"/>
      <c r="H850" s="666"/>
      <c r="I850" s="666"/>
      <c r="J850" s="666"/>
      <c r="K850" s="666"/>
      <c r="L850" s="666"/>
      <c r="M850" s="666"/>
      <c r="N850" s="666"/>
      <c r="O850" s="666"/>
      <c r="P850" s="666"/>
      <c r="Q850" s="666"/>
      <c r="R850" s="666"/>
      <c r="S850" s="666"/>
      <c r="T850" s="666"/>
      <c r="U850" s="666"/>
      <c r="V850" s="666"/>
      <c r="W850" s="666"/>
      <c r="X850" s="666"/>
      <c r="Y850" s="667"/>
      <c r="Z850" s="667"/>
    </row>
    <row r="851" spans="1:26" ht="15.75" customHeight="1">
      <c r="A851" s="666"/>
      <c r="B851" s="666"/>
      <c r="C851" s="666"/>
      <c r="D851" s="666"/>
      <c r="E851" s="666"/>
      <c r="F851" s="666"/>
      <c r="G851" s="666"/>
      <c r="H851" s="666"/>
      <c r="I851" s="666"/>
      <c r="J851" s="666"/>
      <c r="K851" s="666"/>
      <c r="L851" s="666"/>
      <c r="M851" s="666"/>
      <c r="N851" s="666"/>
      <c r="O851" s="666"/>
      <c r="P851" s="666"/>
      <c r="Q851" s="666"/>
      <c r="R851" s="666"/>
      <c r="S851" s="666"/>
      <c r="T851" s="666"/>
      <c r="U851" s="666"/>
      <c r="V851" s="666"/>
      <c r="W851" s="666"/>
      <c r="X851" s="666"/>
      <c r="Y851" s="667"/>
      <c r="Z851" s="667"/>
    </row>
    <row r="852" spans="1:26" ht="15.75" customHeight="1">
      <c r="A852" s="666"/>
      <c r="B852" s="666"/>
      <c r="C852" s="666"/>
      <c r="D852" s="666"/>
      <c r="E852" s="666"/>
      <c r="F852" s="666"/>
      <c r="G852" s="666"/>
      <c r="H852" s="666"/>
      <c r="I852" s="666"/>
      <c r="J852" s="666"/>
      <c r="K852" s="666"/>
      <c r="L852" s="666"/>
      <c r="M852" s="666"/>
      <c r="N852" s="666"/>
      <c r="O852" s="666"/>
      <c r="P852" s="666"/>
      <c r="Q852" s="666"/>
      <c r="R852" s="666"/>
      <c r="S852" s="666"/>
      <c r="T852" s="666"/>
      <c r="U852" s="666"/>
      <c r="V852" s="666"/>
      <c r="W852" s="666"/>
      <c r="X852" s="666"/>
      <c r="Y852" s="667"/>
      <c r="Z852" s="667"/>
    </row>
    <row r="853" spans="1:26" ht="15.75" customHeight="1">
      <c r="A853" s="666"/>
      <c r="B853" s="666"/>
      <c r="C853" s="666"/>
      <c r="D853" s="666"/>
      <c r="E853" s="666"/>
      <c r="F853" s="666"/>
      <c r="G853" s="666"/>
      <c r="H853" s="666"/>
      <c r="I853" s="666"/>
      <c r="J853" s="666"/>
      <c r="K853" s="666"/>
      <c r="L853" s="666"/>
      <c r="M853" s="666"/>
      <c r="N853" s="666"/>
      <c r="O853" s="666"/>
      <c r="P853" s="666"/>
      <c r="Q853" s="666"/>
      <c r="R853" s="666"/>
      <c r="S853" s="666"/>
      <c r="T853" s="666"/>
      <c r="U853" s="666"/>
      <c r="V853" s="666"/>
      <c r="W853" s="666"/>
      <c r="X853" s="666"/>
      <c r="Y853" s="667"/>
      <c r="Z853" s="667"/>
    </row>
    <row r="854" spans="1:26" ht="15.75" customHeight="1">
      <c r="A854" s="666"/>
      <c r="B854" s="666"/>
      <c r="C854" s="666"/>
      <c r="D854" s="666"/>
      <c r="E854" s="666"/>
      <c r="F854" s="666"/>
      <c r="G854" s="666"/>
      <c r="H854" s="666"/>
      <c r="I854" s="666"/>
      <c r="J854" s="666"/>
      <c r="K854" s="666"/>
      <c r="L854" s="666"/>
      <c r="M854" s="666"/>
      <c r="N854" s="666"/>
      <c r="O854" s="666"/>
      <c r="P854" s="666"/>
      <c r="Q854" s="666"/>
      <c r="R854" s="666"/>
      <c r="S854" s="666"/>
      <c r="T854" s="666"/>
      <c r="U854" s="666"/>
      <c r="V854" s="666"/>
      <c r="W854" s="666"/>
      <c r="X854" s="666"/>
      <c r="Y854" s="667"/>
      <c r="Z854" s="667"/>
    </row>
    <row r="855" spans="1:26" ht="15.75" customHeight="1">
      <c r="A855" s="666"/>
      <c r="B855" s="666"/>
      <c r="C855" s="666"/>
      <c r="D855" s="666"/>
      <c r="E855" s="666"/>
      <c r="F855" s="666"/>
      <c r="G855" s="666"/>
      <c r="H855" s="666"/>
      <c r="I855" s="666"/>
      <c r="J855" s="666"/>
      <c r="K855" s="666"/>
      <c r="L855" s="666"/>
      <c r="M855" s="666"/>
      <c r="N855" s="666"/>
      <c r="O855" s="666"/>
      <c r="P855" s="666"/>
      <c r="Q855" s="666"/>
      <c r="R855" s="666"/>
      <c r="S855" s="666"/>
      <c r="T855" s="666"/>
      <c r="U855" s="666"/>
      <c r="V855" s="666"/>
      <c r="W855" s="666"/>
      <c r="X855" s="666"/>
      <c r="Y855" s="667"/>
      <c r="Z855" s="667"/>
    </row>
    <row r="856" spans="1:26" ht="15.75" customHeight="1">
      <c r="A856" s="666"/>
      <c r="B856" s="666"/>
      <c r="C856" s="666"/>
      <c r="D856" s="666"/>
      <c r="E856" s="666"/>
      <c r="F856" s="666"/>
      <c r="G856" s="666"/>
      <c r="H856" s="666"/>
      <c r="I856" s="666"/>
      <c r="J856" s="666"/>
      <c r="K856" s="666"/>
      <c r="L856" s="666"/>
      <c r="M856" s="666"/>
      <c r="N856" s="666"/>
      <c r="O856" s="666"/>
      <c r="P856" s="666"/>
      <c r="Q856" s="666"/>
      <c r="R856" s="666"/>
      <c r="S856" s="666"/>
      <c r="T856" s="666"/>
      <c r="U856" s="666"/>
      <c r="V856" s="666"/>
      <c r="W856" s="666"/>
      <c r="X856" s="666"/>
      <c r="Y856" s="667"/>
      <c r="Z856" s="667"/>
    </row>
    <row r="857" spans="1:26" ht="15.75" customHeight="1">
      <c r="A857" s="666"/>
      <c r="B857" s="666"/>
      <c r="C857" s="666"/>
      <c r="D857" s="666"/>
      <c r="E857" s="666"/>
      <c r="F857" s="666"/>
      <c r="G857" s="666"/>
      <c r="H857" s="666"/>
      <c r="I857" s="666"/>
      <c r="J857" s="666"/>
      <c r="K857" s="666"/>
      <c r="L857" s="666"/>
      <c r="M857" s="666"/>
      <c r="N857" s="666"/>
      <c r="O857" s="666"/>
      <c r="P857" s="666"/>
      <c r="Q857" s="666"/>
      <c r="R857" s="666"/>
      <c r="S857" s="666"/>
      <c r="T857" s="666"/>
      <c r="U857" s="666"/>
      <c r="V857" s="666"/>
      <c r="W857" s="666"/>
      <c r="X857" s="666"/>
      <c r="Y857" s="667"/>
      <c r="Z857" s="667"/>
    </row>
    <row r="858" spans="1:26" ht="15.75" customHeight="1">
      <c r="A858" s="666"/>
      <c r="B858" s="666"/>
      <c r="C858" s="666"/>
      <c r="D858" s="666"/>
      <c r="E858" s="666"/>
      <c r="F858" s="666"/>
      <c r="G858" s="666"/>
      <c r="H858" s="666"/>
      <c r="I858" s="666"/>
      <c r="J858" s="666"/>
      <c r="K858" s="666"/>
      <c r="L858" s="666"/>
      <c r="M858" s="666"/>
      <c r="N858" s="666"/>
      <c r="O858" s="666"/>
      <c r="P858" s="666"/>
      <c r="Q858" s="666"/>
      <c r="R858" s="666"/>
      <c r="S858" s="666"/>
      <c r="T858" s="666"/>
      <c r="U858" s="666"/>
      <c r="V858" s="666"/>
      <c r="W858" s="666"/>
      <c r="X858" s="666"/>
      <c r="Y858" s="667"/>
      <c r="Z858" s="667"/>
    </row>
    <row r="859" spans="1:26" ht="15.75" customHeight="1">
      <c r="A859" s="666"/>
      <c r="B859" s="666"/>
      <c r="C859" s="666"/>
      <c r="D859" s="666"/>
      <c r="E859" s="666"/>
      <c r="F859" s="666"/>
      <c r="G859" s="666"/>
      <c r="H859" s="666"/>
      <c r="I859" s="666"/>
      <c r="J859" s="666"/>
      <c r="K859" s="666"/>
      <c r="L859" s="666"/>
      <c r="M859" s="666"/>
      <c r="N859" s="666"/>
      <c r="O859" s="666"/>
      <c r="P859" s="666"/>
      <c r="Q859" s="666"/>
      <c r="R859" s="666"/>
      <c r="S859" s="666"/>
      <c r="T859" s="666"/>
      <c r="U859" s="666"/>
      <c r="V859" s="666"/>
      <c r="W859" s="666"/>
      <c r="X859" s="666"/>
      <c r="Y859" s="667"/>
      <c r="Z859" s="667"/>
    </row>
    <row r="860" spans="1:26" ht="15.75" customHeight="1">
      <c r="A860" s="666"/>
      <c r="B860" s="666"/>
      <c r="C860" s="666"/>
      <c r="D860" s="666"/>
      <c r="E860" s="666"/>
      <c r="F860" s="666"/>
      <c r="G860" s="666"/>
      <c r="H860" s="666"/>
      <c r="I860" s="666"/>
      <c r="J860" s="666"/>
      <c r="K860" s="666"/>
      <c r="L860" s="666"/>
      <c r="M860" s="666"/>
      <c r="N860" s="666"/>
      <c r="O860" s="666"/>
      <c r="P860" s="666"/>
      <c r="Q860" s="666"/>
      <c r="R860" s="666"/>
      <c r="S860" s="666"/>
      <c r="T860" s="666"/>
      <c r="U860" s="666"/>
      <c r="V860" s="666"/>
      <c r="W860" s="666"/>
      <c r="X860" s="666"/>
      <c r="Y860" s="667"/>
      <c r="Z860" s="667"/>
    </row>
    <row r="861" spans="1:26" ht="15.75" customHeight="1">
      <c r="A861" s="666"/>
      <c r="B861" s="666"/>
      <c r="C861" s="666"/>
      <c r="D861" s="666"/>
      <c r="E861" s="666"/>
      <c r="F861" s="666"/>
      <c r="G861" s="666"/>
      <c r="H861" s="666"/>
      <c r="I861" s="666"/>
      <c r="J861" s="666"/>
      <c r="K861" s="666"/>
      <c r="L861" s="666"/>
      <c r="M861" s="666"/>
      <c r="N861" s="666"/>
      <c r="O861" s="666"/>
      <c r="P861" s="666"/>
      <c r="Q861" s="666"/>
      <c r="R861" s="666"/>
      <c r="S861" s="666"/>
      <c r="T861" s="666"/>
      <c r="U861" s="666"/>
      <c r="V861" s="666"/>
      <c r="W861" s="666"/>
      <c r="X861" s="666"/>
      <c r="Y861" s="667"/>
      <c r="Z861" s="667"/>
    </row>
    <row r="862" spans="1:26" ht="15.75" customHeight="1">
      <c r="A862" s="666"/>
      <c r="B862" s="666"/>
      <c r="C862" s="666"/>
      <c r="D862" s="666"/>
      <c r="E862" s="666"/>
      <c r="F862" s="666"/>
      <c r="G862" s="666"/>
      <c r="H862" s="666"/>
      <c r="I862" s="666"/>
      <c r="J862" s="666"/>
      <c r="K862" s="666"/>
      <c r="L862" s="666"/>
      <c r="M862" s="666"/>
      <c r="N862" s="666"/>
      <c r="O862" s="666"/>
      <c r="P862" s="666"/>
      <c r="Q862" s="666"/>
      <c r="R862" s="666"/>
      <c r="S862" s="666"/>
      <c r="T862" s="666"/>
      <c r="U862" s="666"/>
      <c r="V862" s="666"/>
      <c r="W862" s="666"/>
      <c r="X862" s="666"/>
      <c r="Y862" s="667"/>
      <c r="Z862" s="667"/>
    </row>
    <row r="863" spans="1:26" ht="15.75" customHeight="1">
      <c r="A863" s="666"/>
      <c r="B863" s="666"/>
      <c r="C863" s="666"/>
      <c r="D863" s="666"/>
      <c r="E863" s="666"/>
      <c r="F863" s="666"/>
      <c r="G863" s="666"/>
      <c r="H863" s="666"/>
      <c r="I863" s="666"/>
      <c r="J863" s="666"/>
      <c r="K863" s="666"/>
      <c r="L863" s="666"/>
      <c r="M863" s="666"/>
      <c r="N863" s="666"/>
      <c r="O863" s="666"/>
      <c r="P863" s="666"/>
      <c r="Q863" s="666"/>
      <c r="R863" s="666"/>
      <c r="S863" s="666"/>
      <c r="T863" s="666"/>
      <c r="U863" s="666"/>
      <c r="V863" s="666"/>
      <c r="W863" s="666"/>
      <c r="X863" s="666"/>
      <c r="Y863" s="667"/>
      <c r="Z863" s="667"/>
    </row>
    <row r="864" spans="1:26" ht="15.75" customHeight="1">
      <c r="A864" s="666"/>
      <c r="B864" s="666"/>
      <c r="C864" s="666"/>
      <c r="D864" s="666"/>
      <c r="E864" s="666"/>
      <c r="F864" s="666"/>
      <c r="G864" s="666"/>
      <c r="H864" s="666"/>
      <c r="I864" s="666"/>
      <c r="J864" s="666"/>
      <c r="K864" s="666"/>
      <c r="L864" s="666"/>
      <c r="M864" s="666"/>
      <c r="N864" s="666"/>
      <c r="O864" s="666"/>
      <c r="P864" s="666"/>
      <c r="Q864" s="666"/>
      <c r="R864" s="666"/>
      <c r="S864" s="666"/>
      <c r="T864" s="666"/>
      <c r="U864" s="666"/>
      <c r="V864" s="666"/>
      <c r="W864" s="666"/>
      <c r="X864" s="666"/>
      <c r="Y864" s="667"/>
      <c r="Z864" s="667"/>
    </row>
    <row r="865" spans="1:26" ht="15.75" customHeight="1">
      <c r="A865" s="666"/>
      <c r="B865" s="666"/>
      <c r="C865" s="666"/>
      <c r="D865" s="666"/>
      <c r="E865" s="666"/>
      <c r="F865" s="666"/>
      <c r="G865" s="666"/>
      <c r="H865" s="666"/>
      <c r="I865" s="666"/>
      <c r="J865" s="666"/>
      <c r="K865" s="666"/>
      <c r="L865" s="666"/>
      <c r="M865" s="666"/>
      <c r="N865" s="666"/>
      <c r="O865" s="666"/>
      <c r="P865" s="666"/>
      <c r="Q865" s="666"/>
      <c r="R865" s="666"/>
      <c r="S865" s="666"/>
      <c r="T865" s="666"/>
      <c r="U865" s="666"/>
      <c r="V865" s="666"/>
      <c r="W865" s="666"/>
      <c r="X865" s="666"/>
      <c r="Y865" s="667"/>
      <c r="Z865" s="667"/>
    </row>
    <row r="866" spans="1:26" ht="15.75" customHeight="1">
      <c r="A866" s="666"/>
      <c r="B866" s="666"/>
      <c r="C866" s="666"/>
      <c r="D866" s="666"/>
      <c r="E866" s="666"/>
      <c r="F866" s="666"/>
      <c r="G866" s="666"/>
      <c r="H866" s="666"/>
      <c r="I866" s="666"/>
      <c r="J866" s="666"/>
      <c r="K866" s="666"/>
      <c r="L866" s="666"/>
      <c r="M866" s="666"/>
      <c r="N866" s="666"/>
      <c r="O866" s="666"/>
      <c r="P866" s="666"/>
      <c r="Q866" s="666"/>
      <c r="R866" s="666"/>
      <c r="S866" s="666"/>
      <c r="T866" s="666"/>
      <c r="U866" s="666"/>
      <c r="V866" s="666"/>
      <c r="W866" s="666"/>
      <c r="X866" s="666"/>
      <c r="Y866" s="667"/>
      <c r="Z866" s="667"/>
    </row>
    <row r="867" spans="1:26" ht="15.75" customHeight="1">
      <c r="A867" s="666"/>
      <c r="B867" s="666"/>
      <c r="C867" s="666"/>
      <c r="D867" s="666"/>
      <c r="E867" s="666"/>
      <c r="F867" s="666"/>
      <c r="G867" s="666"/>
      <c r="H867" s="666"/>
      <c r="I867" s="666"/>
      <c r="J867" s="666"/>
      <c r="K867" s="666"/>
      <c r="L867" s="666"/>
      <c r="M867" s="666"/>
      <c r="N867" s="666"/>
      <c r="O867" s="666"/>
      <c r="P867" s="666"/>
      <c r="Q867" s="666"/>
      <c r="R867" s="666"/>
      <c r="S867" s="666"/>
      <c r="T867" s="666"/>
      <c r="U867" s="666"/>
      <c r="V867" s="666"/>
      <c r="W867" s="666"/>
      <c r="X867" s="666"/>
      <c r="Y867" s="667"/>
      <c r="Z867" s="667"/>
    </row>
    <row r="868" spans="1:26" ht="15.75" customHeight="1">
      <c r="A868" s="666"/>
      <c r="B868" s="666"/>
      <c r="C868" s="666"/>
      <c r="D868" s="666"/>
      <c r="E868" s="666"/>
      <c r="F868" s="666"/>
      <c r="G868" s="666"/>
      <c r="H868" s="666"/>
      <c r="I868" s="666"/>
      <c r="J868" s="666"/>
      <c r="K868" s="666"/>
      <c r="L868" s="666"/>
      <c r="M868" s="666"/>
      <c r="N868" s="666"/>
      <c r="O868" s="666"/>
      <c r="P868" s="666"/>
      <c r="Q868" s="666"/>
      <c r="R868" s="666"/>
      <c r="S868" s="666"/>
      <c r="T868" s="666"/>
      <c r="U868" s="666"/>
      <c r="V868" s="666"/>
      <c r="W868" s="666"/>
      <c r="X868" s="666"/>
      <c r="Y868" s="667"/>
      <c r="Z868" s="667"/>
    </row>
    <row r="869" spans="1:26" ht="15.75" customHeight="1">
      <c r="A869" s="666"/>
      <c r="B869" s="666"/>
      <c r="C869" s="666"/>
      <c r="D869" s="666"/>
      <c r="E869" s="666"/>
      <c r="F869" s="666"/>
      <c r="G869" s="666"/>
      <c r="H869" s="666"/>
      <c r="I869" s="666"/>
      <c r="J869" s="666"/>
      <c r="K869" s="666"/>
      <c r="L869" s="666"/>
      <c r="M869" s="666"/>
      <c r="N869" s="666"/>
      <c r="O869" s="666"/>
      <c r="P869" s="666"/>
      <c r="Q869" s="666"/>
      <c r="R869" s="666"/>
      <c r="S869" s="666"/>
      <c r="T869" s="666"/>
      <c r="U869" s="666"/>
      <c r="V869" s="666"/>
      <c r="W869" s="666"/>
      <c r="X869" s="666"/>
      <c r="Y869" s="667"/>
      <c r="Z869" s="667"/>
    </row>
    <row r="870" spans="1:26" ht="15.75" customHeight="1">
      <c r="A870" s="666"/>
      <c r="B870" s="666"/>
      <c r="C870" s="666"/>
      <c r="D870" s="666"/>
      <c r="E870" s="666"/>
      <c r="F870" s="666"/>
      <c r="G870" s="666"/>
      <c r="H870" s="666"/>
      <c r="I870" s="666"/>
      <c r="J870" s="666"/>
      <c r="K870" s="666"/>
      <c r="L870" s="666"/>
      <c r="M870" s="666"/>
      <c r="N870" s="666"/>
      <c r="O870" s="666"/>
      <c r="P870" s="666"/>
      <c r="Q870" s="666"/>
      <c r="R870" s="666"/>
      <c r="S870" s="666"/>
      <c r="T870" s="666"/>
      <c r="U870" s="666"/>
      <c r="V870" s="666"/>
      <c r="W870" s="666"/>
      <c r="X870" s="666"/>
      <c r="Y870" s="667"/>
      <c r="Z870" s="667"/>
    </row>
    <row r="871" spans="1:26" ht="15.75" customHeight="1">
      <c r="A871" s="666"/>
      <c r="B871" s="666"/>
      <c r="C871" s="666"/>
      <c r="D871" s="666"/>
      <c r="E871" s="666"/>
      <c r="F871" s="666"/>
      <c r="G871" s="666"/>
      <c r="H871" s="666"/>
      <c r="I871" s="666"/>
      <c r="J871" s="666"/>
      <c r="K871" s="666"/>
      <c r="L871" s="666"/>
      <c r="M871" s="666"/>
      <c r="N871" s="666"/>
      <c r="O871" s="666"/>
      <c r="P871" s="666"/>
      <c r="Q871" s="666"/>
      <c r="R871" s="666"/>
      <c r="S871" s="666"/>
      <c r="T871" s="666"/>
      <c r="U871" s="666"/>
      <c r="V871" s="666"/>
      <c r="W871" s="666"/>
      <c r="X871" s="666"/>
      <c r="Y871" s="667"/>
      <c r="Z871" s="667"/>
    </row>
    <row r="872" spans="1:26" ht="15.75" customHeight="1">
      <c r="A872" s="666"/>
      <c r="B872" s="666"/>
      <c r="C872" s="666"/>
      <c r="D872" s="666"/>
      <c r="E872" s="666"/>
      <c r="F872" s="666"/>
      <c r="G872" s="666"/>
      <c r="H872" s="666"/>
      <c r="I872" s="666"/>
      <c r="J872" s="666"/>
      <c r="K872" s="666"/>
      <c r="L872" s="666"/>
      <c r="M872" s="666"/>
      <c r="N872" s="666"/>
      <c r="O872" s="666"/>
      <c r="P872" s="666"/>
      <c r="Q872" s="666"/>
      <c r="R872" s="666"/>
      <c r="S872" s="666"/>
      <c r="T872" s="666"/>
      <c r="U872" s="666"/>
      <c r="V872" s="666"/>
      <c r="W872" s="666"/>
      <c r="X872" s="666"/>
      <c r="Y872" s="667"/>
      <c r="Z872" s="667"/>
    </row>
    <row r="873" spans="1:26" ht="15.75" customHeight="1">
      <c r="A873" s="666"/>
      <c r="B873" s="666"/>
      <c r="C873" s="666"/>
      <c r="D873" s="666"/>
      <c r="E873" s="666"/>
      <c r="F873" s="666"/>
      <c r="G873" s="666"/>
      <c r="H873" s="666"/>
      <c r="I873" s="666"/>
      <c r="J873" s="666"/>
      <c r="K873" s="666"/>
      <c r="L873" s="666"/>
      <c r="M873" s="666"/>
      <c r="N873" s="666"/>
      <c r="O873" s="666"/>
      <c r="P873" s="666"/>
      <c r="Q873" s="666"/>
      <c r="R873" s="666"/>
      <c r="S873" s="666"/>
      <c r="T873" s="666"/>
      <c r="U873" s="666"/>
      <c r="V873" s="666"/>
      <c r="W873" s="666"/>
      <c r="X873" s="666"/>
      <c r="Y873" s="667"/>
      <c r="Z873" s="667"/>
    </row>
    <row r="874" spans="1:26" ht="15.75" customHeight="1">
      <c r="A874" s="666"/>
      <c r="B874" s="666"/>
      <c r="C874" s="666"/>
      <c r="D874" s="666"/>
      <c r="E874" s="666"/>
      <c r="F874" s="666"/>
      <c r="G874" s="666"/>
      <c r="H874" s="666"/>
      <c r="I874" s="666"/>
      <c r="J874" s="666"/>
      <c r="K874" s="666"/>
      <c r="L874" s="666"/>
      <c r="M874" s="666"/>
      <c r="N874" s="666"/>
      <c r="O874" s="666"/>
      <c r="P874" s="666"/>
      <c r="Q874" s="666"/>
      <c r="R874" s="666"/>
      <c r="S874" s="666"/>
      <c r="T874" s="666"/>
      <c r="U874" s="666"/>
      <c r="V874" s="666"/>
      <c r="W874" s="666"/>
      <c r="X874" s="666"/>
      <c r="Y874" s="667"/>
      <c r="Z874" s="667"/>
    </row>
    <row r="875" spans="1:26" ht="15.75" customHeight="1">
      <c r="A875" s="666"/>
      <c r="B875" s="666"/>
      <c r="C875" s="666"/>
      <c r="D875" s="666"/>
      <c r="E875" s="666"/>
      <c r="F875" s="666"/>
      <c r="G875" s="666"/>
      <c r="H875" s="666"/>
      <c r="I875" s="666"/>
      <c r="J875" s="666"/>
      <c r="K875" s="666"/>
      <c r="L875" s="666"/>
      <c r="M875" s="666"/>
      <c r="N875" s="666"/>
      <c r="O875" s="666"/>
      <c r="P875" s="666"/>
      <c r="Q875" s="666"/>
      <c r="R875" s="666"/>
      <c r="S875" s="666"/>
      <c r="T875" s="666"/>
      <c r="U875" s="666"/>
      <c r="V875" s="666"/>
      <c r="W875" s="666"/>
      <c r="X875" s="666"/>
      <c r="Y875" s="667"/>
      <c r="Z875" s="667"/>
    </row>
    <row r="876" spans="1:26" ht="15.75" customHeight="1">
      <c r="A876" s="666"/>
      <c r="B876" s="666"/>
      <c r="C876" s="666"/>
      <c r="D876" s="666"/>
      <c r="E876" s="666"/>
      <c r="F876" s="666"/>
      <c r="G876" s="666"/>
      <c r="H876" s="666"/>
      <c r="I876" s="666"/>
      <c r="J876" s="666"/>
      <c r="K876" s="666"/>
      <c r="L876" s="666"/>
      <c r="M876" s="666"/>
      <c r="N876" s="666"/>
      <c r="O876" s="666"/>
      <c r="P876" s="666"/>
      <c r="Q876" s="666"/>
      <c r="R876" s="666"/>
      <c r="S876" s="666"/>
      <c r="T876" s="666"/>
      <c r="U876" s="666"/>
      <c r="V876" s="666"/>
      <c r="W876" s="666"/>
      <c r="X876" s="666"/>
      <c r="Y876" s="667"/>
      <c r="Z876" s="667"/>
    </row>
    <row r="877" spans="1:26" ht="15.75" customHeight="1">
      <c r="A877" s="666"/>
      <c r="B877" s="666"/>
      <c r="C877" s="666"/>
      <c r="D877" s="666"/>
      <c r="E877" s="666"/>
      <c r="F877" s="666"/>
      <c r="G877" s="666"/>
      <c r="H877" s="666"/>
      <c r="I877" s="666"/>
      <c r="J877" s="666"/>
      <c r="K877" s="666"/>
      <c r="L877" s="666"/>
      <c r="M877" s="666"/>
      <c r="N877" s="666"/>
      <c r="O877" s="666"/>
      <c r="P877" s="666"/>
      <c r="Q877" s="666"/>
      <c r="R877" s="666"/>
      <c r="S877" s="666"/>
      <c r="T877" s="666"/>
      <c r="U877" s="666"/>
      <c r="V877" s="666"/>
      <c r="W877" s="666"/>
      <c r="X877" s="666"/>
      <c r="Y877" s="667"/>
      <c r="Z877" s="667"/>
    </row>
    <row r="878" spans="1:26" ht="15.75" customHeight="1">
      <c r="A878" s="666"/>
      <c r="B878" s="666"/>
      <c r="C878" s="666"/>
      <c r="D878" s="666"/>
      <c r="E878" s="666"/>
      <c r="F878" s="666"/>
      <c r="G878" s="666"/>
      <c r="H878" s="666"/>
      <c r="I878" s="666"/>
      <c r="J878" s="666"/>
      <c r="K878" s="666"/>
      <c r="L878" s="666"/>
      <c r="M878" s="666"/>
      <c r="N878" s="666"/>
      <c r="O878" s="666"/>
      <c r="P878" s="666"/>
      <c r="Q878" s="666"/>
      <c r="R878" s="666"/>
      <c r="S878" s="666"/>
      <c r="T878" s="666"/>
      <c r="U878" s="666"/>
      <c r="V878" s="666"/>
      <c r="W878" s="666"/>
      <c r="X878" s="666"/>
      <c r="Y878" s="667"/>
      <c r="Z878" s="667"/>
    </row>
    <row r="879" spans="1:26" ht="15.75" customHeight="1">
      <c r="A879" s="666"/>
      <c r="B879" s="666"/>
      <c r="C879" s="666"/>
      <c r="D879" s="666"/>
      <c r="E879" s="666"/>
      <c r="F879" s="666"/>
      <c r="G879" s="666"/>
      <c r="H879" s="666"/>
      <c r="I879" s="666"/>
      <c r="J879" s="666"/>
      <c r="K879" s="666"/>
      <c r="L879" s="666"/>
      <c r="M879" s="666"/>
      <c r="N879" s="666"/>
      <c r="O879" s="666"/>
      <c r="P879" s="666"/>
      <c r="Q879" s="666"/>
      <c r="R879" s="666"/>
      <c r="S879" s="666"/>
      <c r="T879" s="666"/>
      <c r="U879" s="666"/>
      <c r="V879" s="666"/>
      <c r="W879" s="666"/>
      <c r="X879" s="666"/>
      <c r="Y879" s="667"/>
      <c r="Z879" s="667"/>
    </row>
    <row r="880" spans="1:26" ht="15.75" customHeight="1">
      <c r="A880" s="666"/>
      <c r="B880" s="666"/>
      <c r="C880" s="666"/>
      <c r="D880" s="666"/>
      <c r="E880" s="666"/>
      <c r="F880" s="666"/>
      <c r="G880" s="666"/>
      <c r="H880" s="666"/>
      <c r="I880" s="666"/>
      <c r="J880" s="666"/>
      <c r="K880" s="666"/>
      <c r="L880" s="666"/>
      <c r="M880" s="666"/>
      <c r="N880" s="666"/>
      <c r="O880" s="666"/>
      <c r="P880" s="666"/>
      <c r="Q880" s="666"/>
      <c r="R880" s="666"/>
      <c r="S880" s="666"/>
      <c r="T880" s="666"/>
      <c r="U880" s="666"/>
      <c r="V880" s="666"/>
      <c r="W880" s="666"/>
      <c r="X880" s="666"/>
      <c r="Y880" s="667"/>
      <c r="Z880" s="667"/>
    </row>
    <row r="881" spans="1:26" ht="15.75" customHeight="1">
      <c r="A881" s="666"/>
      <c r="B881" s="666"/>
      <c r="C881" s="666"/>
      <c r="D881" s="666"/>
      <c r="E881" s="666"/>
      <c r="F881" s="666"/>
      <c r="G881" s="666"/>
      <c r="H881" s="666"/>
      <c r="I881" s="666"/>
      <c r="J881" s="666"/>
      <c r="K881" s="666"/>
      <c r="L881" s="666"/>
      <c r="M881" s="666"/>
      <c r="N881" s="666"/>
      <c r="O881" s="666"/>
      <c r="P881" s="666"/>
      <c r="Q881" s="666"/>
      <c r="R881" s="666"/>
      <c r="S881" s="666"/>
      <c r="T881" s="666"/>
      <c r="U881" s="666"/>
      <c r="V881" s="666"/>
      <c r="W881" s="666"/>
      <c r="X881" s="666"/>
      <c r="Y881" s="667"/>
      <c r="Z881" s="667"/>
    </row>
    <row r="882" spans="1:26" ht="15.75" customHeight="1">
      <c r="A882" s="666"/>
      <c r="B882" s="666"/>
      <c r="C882" s="666"/>
      <c r="D882" s="666"/>
      <c r="E882" s="666"/>
      <c r="F882" s="666"/>
      <c r="G882" s="666"/>
      <c r="H882" s="666"/>
      <c r="I882" s="666"/>
      <c r="J882" s="666"/>
      <c r="K882" s="666"/>
      <c r="L882" s="666"/>
      <c r="M882" s="666"/>
      <c r="N882" s="666"/>
      <c r="O882" s="666"/>
      <c r="P882" s="666"/>
      <c r="Q882" s="666"/>
      <c r="R882" s="666"/>
      <c r="S882" s="666"/>
      <c r="T882" s="666"/>
      <c r="U882" s="666"/>
      <c r="V882" s="666"/>
      <c r="W882" s="666"/>
      <c r="X882" s="666"/>
      <c r="Y882" s="667"/>
      <c r="Z882" s="667"/>
    </row>
    <row r="883" spans="1:26" ht="15.75" customHeight="1">
      <c r="A883" s="666"/>
      <c r="B883" s="666"/>
      <c r="C883" s="666"/>
      <c r="D883" s="666"/>
      <c r="E883" s="666"/>
      <c r="F883" s="666"/>
      <c r="G883" s="666"/>
      <c r="H883" s="666"/>
      <c r="I883" s="666"/>
      <c r="J883" s="666"/>
      <c r="K883" s="666"/>
      <c r="L883" s="666"/>
      <c r="M883" s="666"/>
      <c r="N883" s="666"/>
      <c r="O883" s="666"/>
      <c r="P883" s="666"/>
      <c r="Q883" s="666"/>
      <c r="R883" s="666"/>
      <c r="S883" s="666"/>
      <c r="T883" s="666"/>
      <c r="U883" s="666"/>
      <c r="V883" s="666"/>
      <c r="W883" s="666"/>
      <c r="X883" s="666"/>
      <c r="Y883" s="667"/>
      <c r="Z883" s="667"/>
    </row>
    <row r="884" spans="1:26" ht="15.75" customHeight="1">
      <c r="A884" s="666"/>
      <c r="B884" s="666"/>
      <c r="C884" s="666"/>
      <c r="D884" s="666"/>
      <c r="E884" s="666"/>
      <c r="F884" s="666"/>
      <c r="G884" s="666"/>
      <c r="H884" s="666"/>
      <c r="I884" s="666"/>
      <c r="J884" s="666"/>
      <c r="K884" s="666"/>
      <c r="L884" s="666"/>
      <c r="M884" s="666"/>
      <c r="N884" s="666"/>
      <c r="O884" s="666"/>
      <c r="P884" s="666"/>
      <c r="Q884" s="666"/>
      <c r="R884" s="666"/>
      <c r="S884" s="666"/>
      <c r="T884" s="666"/>
      <c r="U884" s="666"/>
      <c r="V884" s="666"/>
      <c r="W884" s="666"/>
      <c r="X884" s="666"/>
      <c r="Y884" s="667"/>
      <c r="Z884" s="667"/>
    </row>
    <row r="885" spans="1:26" ht="15.75" customHeight="1">
      <c r="A885" s="666"/>
      <c r="B885" s="666"/>
      <c r="C885" s="666"/>
      <c r="D885" s="666"/>
      <c r="E885" s="666"/>
      <c r="F885" s="666"/>
      <c r="G885" s="666"/>
      <c r="H885" s="666"/>
      <c r="I885" s="666"/>
      <c r="J885" s="666"/>
      <c r="K885" s="666"/>
      <c r="L885" s="666"/>
      <c r="M885" s="666"/>
      <c r="N885" s="666"/>
      <c r="O885" s="666"/>
      <c r="P885" s="666"/>
      <c r="Q885" s="666"/>
      <c r="R885" s="666"/>
      <c r="S885" s="666"/>
      <c r="T885" s="666"/>
      <c r="U885" s="666"/>
      <c r="V885" s="666"/>
      <c r="W885" s="666"/>
      <c r="X885" s="666"/>
      <c r="Y885" s="667"/>
      <c r="Z885" s="667"/>
    </row>
    <row r="886" spans="1:26" ht="15.75" customHeight="1">
      <c r="A886" s="666"/>
      <c r="B886" s="666"/>
      <c r="C886" s="666"/>
      <c r="D886" s="666"/>
      <c r="E886" s="666"/>
      <c r="F886" s="666"/>
      <c r="G886" s="666"/>
      <c r="H886" s="666"/>
      <c r="I886" s="666"/>
      <c r="J886" s="666"/>
      <c r="K886" s="666"/>
      <c r="L886" s="666"/>
      <c r="M886" s="666"/>
      <c r="N886" s="666"/>
      <c r="O886" s="666"/>
      <c r="P886" s="666"/>
      <c r="Q886" s="666"/>
      <c r="R886" s="666"/>
      <c r="S886" s="666"/>
      <c r="T886" s="666"/>
      <c r="U886" s="666"/>
      <c r="V886" s="666"/>
      <c r="W886" s="666"/>
      <c r="X886" s="666"/>
      <c r="Y886" s="667"/>
      <c r="Z886" s="667"/>
    </row>
    <row r="887" spans="1:26" ht="15.75" customHeight="1">
      <c r="A887" s="666"/>
      <c r="B887" s="666"/>
      <c r="C887" s="666"/>
      <c r="D887" s="666"/>
      <c r="E887" s="666"/>
      <c r="F887" s="666"/>
      <c r="G887" s="666"/>
      <c r="H887" s="666"/>
      <c r="I887" s="666"/>
      <c r="J887" s="666"/>
      <c r="K887" s="666"/>
      <c r="L887" s="666"/>
      <c r="M887" s="666"/>
      <c r="N887" s="666"/>
      <c r="O887" s="666"/>
      <c r="P887" s="666"/>
      <c r="Q887" s="666"/>
      <c r="R887" s="666"/>
      <c r="S887" s="666"/>
      <c r="T887" s="666"/>
      <c r="U887" s="666"/>
      <c r="V887" s="666"/>
      <c r="W887" s="666"/>
      <c r="X887" s="666"/>
      <c r="Y887" s="667"/>
      <c r="Z887" s="667"/>
    </row>
    <row r="888" spans="1:26" ht="15.75" customHeight="1">
      <c r="A888" s="666"/>
      <c r="B888" s="666"/>
      <c r="C888" s="666"/>
      <c r="D888" s="666"/>
      <c r="E888" s="666"/>
      <c r="F888" s="666"/>
      <c r="G888" s="666"/>
      <c r="H888" s="666"/>
      <c r="I888" s="666"/>
      <c r="J888" s="666"/>
      <c r="K888" s="666"/>
      <c r="L888" s="666"/>
      <c r="M888" s="666"/>
      <c r="N888" s="666"/>
      <c r="O888" s="666"/>
      <c r="P888" s="666"/>
      <c r="Q888" s="666"/>
      <c r="R888" s="666"/>
      <c r="S888" s="666"/>
      <c r="T888" s="666"/>
      <c r="U888" s="666"/>
      <c r="V888" s="666"/>
      <c r="W888" s="666"/>
      <c r="X888" s="666"/>
      <c r="Y888" s="667"/>
      <c r="Z888" s="667"/>
    </row>
    <row r="889" spans="1:26" ht="15.75" customHeight="1">
      <c r="A889" s="666"/>
      <c r="B889" s="666"/>
      <c r="C889" s="666"/>
      <c r="D889" s="666"/>
      <c r="E889" s="666"/>
      <c r="F889" s="666"/>
      <c r="G889" s="666"/>
      <c r="H889" s="666"/>
      <c r="I889" s="666"/>
      <c r="J889" s="666"/>
      <c r="K889" s="666"/>
      <c r="L889" s="666"/>
      <c r="M889" s="666"/>
      <c r="N889" s="666"/>
      <c r="O889" s="666"/>
      <c r="P889" s="666"/>
      <c r="Q889" s="666"/>
      <c r="R889" s="666"/>
      <c r="S889" s="666"/>
      <c r="T889" s="666"/>
      <c r="U889" s="666"/>
      <c r="V889" s="666"/>
      <c r="W889" s="666"/>
      <c r="X889" s="666"/>
      <c r="Y889" s="667"/>
      <c r="Z889" s="667"/>
    </row>
    <row r="890" spans="1:26" ht="15.75" customHeight="1">
      <c r="A890" s="666"/>
      <c r="B890" s="666"/>
      <c r="C890" s="666"/>
      <c r="D890" s="666"/>
      <c r="E890" s="666"/>
      <c r="F890" s="666"/>
      <c r="G890" s="666"/>
      <c r="H890" s="666"/>
      <c r="I890" s="666"/>
      <c r="J890" s="666"/>
      <c r="K890" s="666"/>
      <c r="L890" s="666"/>
      <c r="M890" s="666"/>
      <c r="N890" s="666"/>
      <c r="O890" s="666"/>
      <c r="P890" s="666"/>
      <c r="Q890" s="666"/>
      <c r="R890" s="666"/>
      <c r="S890" s="666"/>
      <c r="T890" s="666"/>
      <c r="U890" s="666"/>
      <c r="V890" s="666"/>
      <c r="W890" s="666"/>
      <c r="X890" s="666"/>
      <c r="Y890" s="667"/>
      <c r="Z890" s="667"/>
    </row>
    <row r="891" spans="1:26" ht="15.75" customHeight="1">
      <c r="A891" s="666"/>
      <c r="B891" s="666"/>
      <c r="C891" s="666"/>
      <c r="D891" s="666"/>
      <c r="E891" s="666"/>
      <c r="F891" s="666"/>
      <c r="G891" s="666"/>
      <c r="H891" s="666"/>
      <c r="I891" s="666"/>
      <c r="J891" s="666"/>
      <c r="K891" s="666"/>
      <c r="L891" s="666"/>
      <c r="M891" s="666"/>
      <c r="N891" s="666"/>
      <c r="O891" s="666"/>
      <c r="P891" s="666"/>
      <c r="Q891" s="666"/>
      <c r="R891" s="666"/>
      <c r="S891" s="666"/>
      <c r="T891" s="666"/>
      <c r="U891" s="666"/>
      <c r="V891" s="666"/>
      <c r="W891" s="666"/>
      <c r="X891" s="666"/>
      <c r="Y891" s="667"/>
      <c r="Z891" s="667"/>
    </row>
    <row r="892" spans="1:26" ht="15.75" customHeight="1">
      <c r="A892" s="666"/>
      <c r="B892" s="666"/>
      <c r="C892" s="666"/>
      <c r="D892" s="666"/>
      <c r="E892" s="666"/>
      <c r="F892" s="666"/>
      <c r="G892" s="666"/>
      <c r="H892" s="666"/>
      <c r="I892" s="666"/>
      <c r="J892" s="666"/>
      <c r="K892" s="666"/>
      <c r="L892" s="666"/>
      <c r="M892" s="666"/>
      <c r="N892" s="666"/>
      <c r="O892" s="666"/>
      <c r="P892" s="666"/>
      <c r="Q892" s="666"/>
      <c r="R892" s="666"/>
      <c r="S892" s="666"/>
      <c r="T892" s="666"/>
      <c r="U892" s="666"/>
      <c r="V892" s="666"/>
      <c r="W892" s="666"/>
      <c r="X892" s="666"/>
      <c r="Y892" s="667"/>
      <c r="Z892" s="667"/>
    </row>
    <row r="893" spans="1:26" ht="15.75" customHeight="1">
      <c r="A893" s="666"/>
      <c r="B893" s="666"/>
      <c r="C893" s="666"/>
      <c r="D893" s="666"/>
      <c r="E893" s="666"/>
      <c r="F893" s="666"/>
      <c r="G893" s="666"/>
      <c r="H893" s="666"/>
      <c r="I893" s="666"/>
      <c r="J893" s="666"/>
      <c r="K893" s="666"/>
      <c r="L893" s="666"/>
      <c r="M893" s="666"/>
      <c r="N893" s="666"/>
      <c r="O893" s="666"/>
      <c r="P893" s="666"/>
      <c r="Q893" s="666"/>
      <c r="R893" s="666"/>
      <c r="S893" s="666"/>
      <c r="T893" s="666"/>
      <c r="U893" s="666"/>
      <c r="V893" s="666"/>
      <c r="W893" s="666"/>
      <c r="X893" s="666"/>
      <c r="Y893" s="667"/>
      <c r="Z893" s="667"/>
    </row>
    <row r="894" spans="1:26" ht="15.75" customHeight="1">
      <c r="A894" s="666"/>
      <c r="B894" s="666"/>
      <c r="C894" s="666"/>
      <c r="D894" s="666"/>
      <c r="E894" s="666"/>
      <c r="F894" s="666"/>
      <c r="G894" s="666"/>
      <c r="H894" s="666"/>
      <c r="I894" s="666"/>
      <c r="J894" s="666"/>
      <c r="K894" s="666"/>
      <c r="L894" s="666"/>
      <c r="M894" s="666"/>
      <c r="N894" s="666"/>
      <c r="O894" s="666"/>
      <c r="P894" s="666"/>
      <c r="Q894" s="666"/>
      <c r="R894" s="666"/>
      <c r="S894" s="666"/>
      <c r="T894" s="666"/>
      <c r="U894" s="666"/>
      <c r="V894" s="666"/>
      <c r="W894" s="666"/>
      <c r="X894" s="666"/>
      <c r="Y894" s="667"/>
      <c r="Z894" s="667"/>
    </row>
    <row r="895" spans="1:26" ht="15.75" customHeight="1">
      <c r="A895" s="666"/>
      <c r="B895" s="666"/>
      <c r="C895" s="666"/>
      <c r="D895" s="666"/>
      <c r="E895" s="666"/>
      <c r="F895" s="666"/>
      <c r="G895" s="666"/>
      <c r="H895" s="666"/>
      <c r="I895" s="666"/>
      <c r="J895" s="666"/>
      <c r="K895" s="666"/>
      <c r="L895" s="666"/>
      <c r="M895" s="666"/>
      <c r="N895" s="666"/>
      <c r="O895" s="666"/>
      <c r="P895" s="666"/>
      <c r="Q895" s="666"/>
      <c r="R895" s="666"/>
      <c r="S895" s="666"/>
      <c r="T895" s="666"/>
      <c r="U895" s="666"/>
      <c r="V895" s="666"/>
      <c r="W895" s="666"/>
      <c r="X895" s="666"/>
      <c r="Y895" s="667"/>
      <c r="Z895" s="667"/>
    </row>
    <row r="896" spans="1:26" ht="15.75" customHeight="1">
      <c r="A896" s="666"/>
      <c r="B896" s="666"/>
      <c r="C896" s="666"/>
      <c r="D896" s="666"/>
      <c r="E896" s="666"/>
      <c r="F896" s="666"/>
      <c r="G896" s="666"/>
      <c r="H896" s="666"/>
      <c r="I896" s="666"/>
      <c r="J896" s="666"/>
      <c r="K896" s="666"/>
      <c r="L896" s="666"/>
      <c r="M896" s="666"/>
      <c r="N896" s="666"/>
      <c r="O896" s="666"/>
      <c r="P896" s="666"/>
      <c r="Q896" s="666"/>
      <c r="R896" s="666"/>
      <c r="S896" s="666"/>
      <c r="T896" s="666"/>
      <c r="U896" s="666"/>
      <c r="V896" s="666"/>
      <c r="W896" s="666"/>
      <c r="X896" s="666"/>
      <c r="Y896" s="667"/>
      <c r="Z896" s="667"/>
    </row>
    <row r="897" spans="1:26" ht="15.75" customHeight="1">
      <c r="A897" s="666"/>
      <c r="B897" s="666"/>
      <c r="C897" s="666"/>
      <c r="D897" s="666"/>
      <c r="E897" s="666"/>
      <c r="F897" s="666"/>
      <c r="G897" s="666"/>
      <c r="H897" s="666"/>
      <c r="I897" s="666"/>
      <c r="J897" s="666"/>
      <c r="K897" s="666"/>
      <c r="L897" s="666"/>
      <c r="M897" s="666"/>
      <c r="N897" s="666"/>
      <c r="O897" s="666"/>
      <c r="P897" s="666"/>
      <c r="Q897" s="666"/>
      <c r="R897" s="666"/>
      <c r="S897" s="666"/>
      <c r="T897" s="666"/>
      <c r="U897" s="666"/>
      <c r="V897" s="666"/>
      <c r="W897" s="666"/>
      <c r="X897" s="666"/>
      <c r="Y897" s="667"/>
      <c r="Z897" s="667"/>
    </row>
    <row r="898" spans="1:26" ht="15.75" customHeight="1">
      <c r="A898" s="666"/>
      <c r="B898" s="666"/>
      <c r="C898" s="666"/>
      <c r="D898" s="666"/>
      <c r="E898" s="666"/>
      <c r="F898" s="666"/>
      <c r="G898" s="666"/>
      <c r="H898" s="666"/>
      <c r="I898" s="666"/>
      <c r="J898" s="666"/>
      <c r="K898" s="666"/>
      <c r="L898" s="666"/>
      <c r="M898" s="666"/>
      <c r="N898" s="666"/>
      <c r="O898" s="666"/>
      <c r="P898" s="666"/>
      <c r="Q898" s="666"/>
      <c r="R898" s="666"/>
      <c r="S898" s="666"/>
      <c r="T898" s="666"/>
      <c r="U898" s="666"/>
      <c r="V898" s="666"/>
      <c r="W898" s="666"/>
      <c r="X898" s="666"/>
      <c r="Y898" s="667"/>
      <c r="Z898" s="667"/>
    </row>
    <row r="899" spans="1:26" ht="15.75" customHeight="1">
      <c r="A899" s="666"/>
      <c r="B899" s="666"/>
      <c r="C899" s="666"/>
      <c r="D899" s="666"/>
      <c r="E899" s="666"/>
      <c r="F899" s="666"/>
      <c r="G899" s="666"/>
      <c r="H899" s="666"/>
      <c r="I899" s="666"/>
      <c r="J899" s="666"/>
      <c r="K899" s="666"/>
      <c r="L899" s="666"/>
      <c r="M899" s="666"/>
      <c r="N899" s="666"/>
      <c r="O899" s="666"/>
      <c r="P899" s="666"/>
      <c r="Q899" s="666"/>
      <c r="R899" s="666"/>
      <c r="S899" s="666"/>
      <c r="T899" s="666"/>
      <c r="U899" s="666"/>
      <c r="V899" s="666"/>
      <c r="W899" s="666"/>
      <c r="X899" s="666"/>
      <c r="Y899" s="667"/>
      <c r="Z899" s="667"/>
    </row>
    <row r="900" spans="1:26" ht="15.75" customHeight="1">
      <c r="A900" s="666"/>
      <c r="B900" s="666"/>
      <c r="C900" s="666"/>
      <c r="D900" s="666"/>
      <c r="E900" s="666"/>
      <c r="F900" s="666"/>
      <c r="G900" s="666"/>
      <c r="H900" s="666"/>
      <c r="I900" s="666"/>
      <c r="J900" s="666"/>
      <c r="K900" s="666"/>
      <c r="L900" s="666"/>
      <c r="M900" s="666"/>
      <c r="N900" s="666"/>
      <c r="O900" s="666"/>
      <c r="P900" s="666"/>
      <c r="Q900" s="666"/>
      <c r="R900" s="666"/>
      <c r="S900" s="666"/>
      <c r="T900" s="666"/>
      <c r="U900" s="666"/>
      <c r="V900" s="666"/>
      <c r="W900" s="666"/>
      <c r="X900" s="666"/>
      <c r="Y900" s="667"/>
      <c r="Z900" s="667"/>
    </row>
    <row r="901" spans="1:26" ht="15.75" customHeight="1">
      <c r="A901" s="666"/>
      <c r="B901" s="666"/>
      <c r="C901" s="666"/>
      <c r="D901" s="666"/>
      <c r="E901" s="666"/>
      <c r="F901" s="666"/>
      <c r="G901" s="666"/>
      <c r="H901" s="666"/>
      <c r="I901" s="666"/>
      <c r="J901" s="666"/>
      <c r="K901" s="666"/>
      <c r="L901" s="666"/>
      <c r="M901" s="666"/>
      <c r="N901" s="666"/>
      <c r="O901" s="666"/>
      <c r="P901" s="666"/>
      <c r="Q901" s="666"/>
      <c r="R901" s="666"/>
      <c r="S901" s="666"/>
      <c r="T901" s="666"/>
      <c r="U901" s="666"/>
      <c r="V901" s="666"/>
      <c r="W901" s="666"/>
      <c r="X901" s="666"/>
      <c r="Y901" s="667"/>
      <c r="Z901" s="667"/>
    </row>
    <row r="902" spans="1:26" ht="15.75" customHeight="1">
      <c r="A902" s="666"/>
      <c r="B902" s="666"/>
      <c r="C902" s="666"/>
      <c r="D902" s="666"/>
      <c r="E902" s="666"/>
      <c r="F902" s="666"/>
      <c r="G902" s="666"/>
      <c r="H902" s="666"/>
      <c r="I902" s="666"/>
      <c r="J902" s="666"/>
      <c r="K902" s="666"/>
      <c r="L902" s="666"/>
      <c r="M902" s="666"/>
      <c r="N902" s="666"/>
      <c r="O902" s="666"/>
      <c r="P902" s="666"/>
      <c r="Q902" s="666"/>
      <c r="R902" s="666"/>
      <c r="S902" s="666"/>
      <c r="T902" s="666"/>
      <c r="U902" s="666"/>
      <c r="V902" s="666"/>
      <c r="W902" s="666"/>
      <c r="X902" s="666"/>
      <c r="Y902" s="667"/>
      <c r="Z902" s="667"/>
    </row>
    <row r="903" spans="1:26" ht="15.75" customHeight="1">
      <c r="A903" s="666"/>
      <c r="B903" s="666"/>
      <c r="C903" s="666"/>
      <c r="D903" s="666"/>
      <c r="E903" s="666"/>
      <c r="F903" s="666"/>
      <c r="G903" s="666"/>
      <c r="H903" s="666"/>
      <c r="I903" s="666"/>
      <c r="J903" s="666"/>
      <c r="K903" s="666"/>
      <c r="L903" s="666"/>
      <c r="M903" s="666"/>
      <c r="N903" s="666"/>
      <c r="O903" s="666"/>
      <c r="P903" s="666"/>
      <c r="Q903" s="666"/>
      <c r="R903" s="666"/>
      <c r="S903" s="666"/>
      <c r="T903" s="666"/>
      <c r="U903" s="666"/>
      <c r="V903" s="666"/>
      <c r="W903" s="666"/>
      <c r="X903" s="666"/>
      <c r="Y903" s="667"/>
      <c r="Z903" s="667"/>
    </row>
    <row r="904" spans="1:26" ht="15.75" customHeight="1">
      <c r="A904" s="666"/>
      <c r="B904" s="666"/>
      <c r="C904" s="666"/>
      <c r="D904" s="666"/>
      <c r="E904" s="666"/>
      <c r="F904" s="666"/>
      <c r="G904" s="666"/>
      <c r="H904" s="666"/>
      <c r="I904" s="666"/>
      <c r="J904" s="666"/>
      <c r="K904" s="666"/>
      <c r="L904" s="666"/>
      <c r="M904" s="666"/>
      <c r="N904" s="666"/>
      <c r="O904" s="666"/>
      <c r="P904" s="666"/>
      <c r="Q904" s="666"/>
      <c r="R904" s="666"/>
      <c r="S904" s="666"/>
      <c r="T904" s="666"/>
      <c r="U904" s="666"/>
      <c r="V904" s="666"/>
      <c r="W904" s="666"/>
      <c r="X904" s="666"/>
      <c r="Y904" s="667"/>
      <c r="Z904" s="667"/>
    </row>
    <row r="905" spans="1:26" ht="15.75" customHeight="1">
      <c r="A905" s="666"/>
      <c r="B905" s="666"/>
      <c r="C905" s="666"/>
      <c r="D905" s="666"/>
      <c r="E905" s="666"/>
      <c r="F905" s="666"/>
      <c r="G905" s="666"/>
      <c r="H905" s="666"/>
      <c r="I905" s="666"/>
      <c r="J905" s="666"/>
      <c r="K905" s="666"/>
      <c r="L905" s="666"/>
      <c r="M905" s="666"/>
      <c r="N905" s="666"/>
      <c r="O905" s="666"/>
      <c r="P905" s="666"/>
      <c r="Q905" s="666"/>
      <c r="R905" s="666"/>
      <c r="S905" s="666"/>
      <c r="T905" s="666"/>
      <c r="U905" s="666"/>
      <c r="V905" s="666"/>
      <c r="W905" s="666"/>
      <c r="X905" s="666"/>
      <c r="Y905" s="667"/>
      <c r="Z905" s="667"/>
    </row>
    <row r="906" spans="1:26" ht="15.75" customHeight="1">
      <c r="A906" s="666"/>
      <c r="B906" s="666"/>
      <c r="C906" s="666"/>
      <c r="D906" s="666"/>
      <c r="E906" s="666"/>
      <c r="F906" s="666"/>
      <c r="G906" s="666"/>
      <c r="H906" s="666"/>
      <c r="I906" s="666"/>
      <c r="J906" s="666"/>
      <c r="K906" s="666"/>
      <c r="L906" s="666"/>
      <c r="M906" s="666"/>
      <c r="N906" s="666"/>
      <c r="O906" s="666"/>
      <c r="P906" s="666"/>
      <c r="Q906" s="666"/>
      <c r="R906" s="666"/>
      <c r="S906" s="666"/>
      <c r="T906" s="666"/>
      <c r="U906" s="666"/>
      <c r="V906" s="666"/>
      <c r="W906" s="666"/>
      <c r="X906" s="666"/>
      <c r="Y906" s="667"/>
      <c r="Z906" s="667"/>
    </row>
    <row r="907" spans="1:26" ht="15.75" customHeight="1">
      <c r="A907" s="666"/>
      <c r="B907" s="666"/>
      <c r="C907" s="666"/>
      <c r="D907" s="666"/>
      <c r="E907" s="666"/>
      <c r="F907" s="666"/>
      <c r="G907" s="666"/>
      <c r="H907" s="666"/>
      <c r="I907" s="666"/>
      <c r="J907" s="666"/>
      <c r="K907" s="666"/>
      <c r="L907" s="666"/>
      <c r="M907" s="666"/>
      <c r="N907" s="666"/>
      <c r="O907" s="666"/>
      <c r="P907" s="666"/>
      <c r="Q907" s="666"/>
      <c r="R907" s="666"/>
      <c r="S907" s="666"/>
      <c r="T907" s="666"/>
      <c r="U907" s="666"/>
      <c r="V907" s="666"/>
      <c r="W907" s="666"/>
      <c r="X907" s="666"/>
      <c r="Y907" s="667"/>
      <c r="Z907" s="667"/>
    </row>
    <row r="908" spans="1:26" ht="15.75" customHeight="1">
      <c r="A908" s="666"/>
      <c r="B908" s="666"/>
      <c r="C908" s="666"/>
      <c r="D908" s="666"/>
      <c r="E908" s="666"/>
      <c r="F908" s="666"/>
      <c r="G908" s="666"/>
      <c r="H908" s="666"/>
      <c r="I908" s="666"/>
      <c r="J908" s="666"/>
      <c r="K908" s="666"/>
      <c r="L908" s="666"/>
      <c r="M908" s="666"/>
      <c r="N908" s="666"/>
      <c r="O908" s="666"/>
      <c r="P908" s="666"/>
      <c r="Q908" s="666"/>
      <c r="R908" s="666"/>
      <c r="S908" s="666"/>
      <c r="T908" s="666"/>
      <c r="U908" s="666"/>
      <c r="V908" s="666"/>
      <c r="W908" s="666"/>
      <c r="X908" s="666"/>
      <c r="Y908" s="667"/>
      <c r="Z908" s="667"/>
    </row>
    <row r="909" spans="1:26" ht="15.75" customHeight="1">
      <c r="A909" s="666"/>
      <c r="B909" s="666"/>
      <c r="C909" s="666"/>
      <c r="D909" s="666"/>
      <c r="E909" s="666"/>
      <c r="F909" s="666"/>
      <c r="G909" s="666"/>
      <c r="H909" s="666"/>
      <c r="I909" s="666"/>
      <c r="J909" s="666"/>
      <c r="K909" s="666"/>
      <c r="L909" s="666"/>
      <c r="M909" s="666"/>
      <c r="N909" s="666"/>
      <c r="O909" s="666"/>
      <c r="P909" s="666"/>
      <c r="Q909" s="666"/>
      <c r="R909" s="666"/>
      <c r="S909" s="666"/>
      <c r="T909" s="666"/>
      <c r="U909" s="666"/>
      <c r="V909" s="666"/>
      <c r="W909" s="666"/>
      <c r="X909" s="666"/>
      <c r="Y909" s="667"/>
      <c r="Z909" s="667"/>
    </row>
    <row r="910" spans="1:26" ht="15.75" customHeight="1">
      <c r="A910" s="666"/>
      <c r="B910" s="666"/>
      <c r="C910" s="666"/>
      <c r="D910" s="666"/>
      <c r="E910" s="666"/>
      <c r="F910" s="666"/>
      <c r="G910" s="666"/>
      <c r="H910" s="666"/>
      <c r="I910" s="666"/>
      <c r="J910" s="666"/>
      <c r="K910" s="666"/>
      <c r="L910" s="666"/>
      <c r="M910" s="666"/>
      <c r="N910" s="666"/>
      <c r="O910" s="666"/>
      <c r="P910" s="666"/>
      <c r="Q910" s="666"/>
      <c r="R910" s="666"/>
      <c r="S910" s="666"/>
      <c r="T910" s="666"/>
      <c r="U910" s="666"/>
      <c r="V910" s="666"/>
      <c r="W910" s="666"/>
      <c r="X910" s="666"/>
      <c r="Y910" s="667"/>
      <c r="Z910" s="667"/>
    </row>
    <row r="911" spans="1:26" ht="15.75" customHeight="1">
      <c r="A911" s="666"/>
      <c r="B911" s="666"/>
      <c r="C911" s="666"/>
      <c r="D911" s="666"/>
      <c r="E911" s="666"/>
      <c r="F911" s="666"/>
      <c r="G911" s="666"/>
      <c r="H911" s="666"/>
      <c r="I911" s="666"/>
      <c r="J911" s="666"/>
      <c r="K911" s="666"/>
      <c r="L911" s="666"/>
      <c r="M911" s="666"/>
      <c r="N911" s="666"/>
      <c r="O911" s="666"/>
      <c r="P911" s="666"/>
      <c r="Q911" s="666"/>
      <c r="R911" s="666"/>
      <c r="S911" s="666"/>
      <c r="T911" s="666"/>
      <c r="U911" s="666"/>
      <c r="V911" s="666"/>
      <c r="W911" s="666"/>
      <c r="X911" s="666"/>
      <c r="Y911" s="667"/>
      <c r="Z911" s="667"/>
    </row>
    <row r="912" spans="1:26" ht="15.75" customHeight="1">
      <c r="A912" s="666"/>
      <c r="B912" s="666"/>
      <c r="C912" s="666"/>
      <c r="D912" s="666"/>
      <c r="E912" s="666"/>
      <c r="F912" s="666"/>
      <c r="G912" s="666"/>
      <c r="H912" s="666"/>
      <c r="I912" s="666"/>
      <c r="J912" s="666"/>
      <c r="K912" s="666"/>
      <c r="L912" s="666"/>
      <c r="M912" s="666"/>
      <c r="N912" s="666"/>
      <c r="O912" s="666"/>
      <c r="P912" s="666"/>
      <c r="Q912" s="666"/>
      <c r="R912" s="666"/>
      <c r="S912" s="666"/>
      <c r="T912" s="666"/>
      <c r="U912" s="666"/>
      <c r="V912" s="666"/>
      <c r="W912" s="666"/>
      <c r="X912" s="666"/>
      <c r="Y912" s="667"/>
      <c r="Z912" s="667"/>
    </row>
    <row r="913" spans="1:26" ht="15.75" customHeight="1">
      <c r="A913" s="666"/>
      <c r="B913" s="666"/>
      <c r="C913" s="666"/>
      <c r="D913" s="666"/>
      <c r="E913" s="666"/>
      <c r="F913" s="666"/>
      <c r="G913" s="666"/>
      <c r="H913" s="666"/>
      <c r="I913" s="666"/>
      <c r="J913" s="666"/>
      <c r="K913" s="666"/>
      <c r="L913" s="666"/>
      <c r="M913" s="666"/>
      <c r="N913" s="666"/>
      <c r="O913" s="666"/>
      <c r="P913" s="666"/>
      <c r="Q913" s="666"/>
      <c r="R913" s="666"/>
      <c r="S913" s="666"/>
      <c r="T913" s="666"/>
      <c r="U913" s="666"/>
      <c r="V913" s="666"/>
      <c r="W913" s="666"/>
      <c r="X913" s="666"/>
      <c r="Y913" s="667"/>
      <c r="Z913" s="667"/>
    </row>
    <row r="914" spans="1:26" ht="15.75" customHeight="1">
      <c r="A914" s="666"/>
      <c r="B914" s="666"/>
      <c r="C914" s="666"/>
      <c r="D914" s="666"/>
      <c r="E914" s="666"/>
      <c r="F914" s="666"/>
      <c r="G914" s="666"/>
      <c r="H914" s="666"/>
      <c r="I914" s="666"/>
      <c r="J914" s="666"/>
      <c r="K914" s="666"/>
      <c r="L914" s="666"/>
      <c r="M914" s="666"/>
      <c r="N914" s="666"/>
      <c r="O914" s="666"/>
      <c r="P914" s="666"/>
      <c r="Q914" s="666"/>
      <c r="R914" s="666"/>
      <c r="S914" s="666"/>
      <c r="T914" s="666"/>
      <c r="U914" s="666"/>
      <c r="V914" s="666"/>
      <c r="W914" s="666"/>
      <c r="X914" s="666"/>
      <c r="Y914" s="667"/>
      <c r="Z914" s="667"/>
    </row>
    <row r="915" spans="1:26" ht="15.75" customHeight="1">
      <c r="A915" s="666"/>
      <c r="B915" s="666"/>
      <c r="C915" s="666"/>
      <c r="D915" s="666"/>
      <c r="E915" s="666"/>
      <c r="F915" s="666"/>
      <c r="G915" s="666"/>
      <c r="H915" s="666"/>
      <c r="I915" s="666"/>
      <c r="J915" s="666"/>
      <c r="K915" s="666"/>
      <c r="L915" s="666"/>
      <c r="M915" s="666"/>
      <c r="N915" s="666"/>
      <c r="O915" s="666"/>
      <c r="P915" s="666"/>
      <c r="Q915" s="666"/>
      <c r="R915" s="666"/>
      <c r="S915" s="666"/>
      <c r="T915" s="666"/>
      <c r="U915" s="666"/>
      <c r="V915" s="666"/>
      <c r="W915" s="666"/>
      <c r="X915" s="666"/>
      <c r="Y915" s="667"/>
      <c r="Z915" s="667"/>
    </row>
    <row r="916" spans="1:26" ht="15.75" customHeight="1">
      <c r="A916" s="666"/>
      <c r="B916" s="666"/>
      <c r="C916" s="666"/>
      <c r="D916" s="666"/>
      <c r="E916" s="666"/>
      <c r="F916" s="666"/>
      <c r="G916" s="666"/>
      <c r="H916" s="666"/>
      <c r="I916" s="666"/>
      <c r="J916" s="666"/>
      <c r="K916" s="666"/>
      <c r="L916" s="666"/>
      <c r="M916" s="666"/>
      <c r="N916" s="666"/>
      <c r="O916" s="666"/>
      <c r="P916" s="666"/>
      <c r="Q916" s="666"/>
      <c r="R916" s="666"/>
      <c r="S916" s="666"/>
      <c r="T916" s="666"/>
      <c r="U916" s="666"/>
      <c r="V916" s="666"/>
      <c r="W916" s="666"/>
      <c r="X916" s="666"/>
      <c r="Y916" s="667"/>
      <c r="Z916" s="667"/>
    </row>
    <row r="917" spans="1:26" ht="15.75" customHeight="1">
      <c r="A917" s="666"/>
      <c r="B917" s="666"/>
      <c r="C917" s="666"/>
      <c r="D917" s="666"/>
      <c r="E917" s="666"/>
      <c r="F917" s="666"/>
      <c r="G917" s="666"/>
      <c r="H917" s="666"/>
      <c r="I917" s="666"/>
      <c r="J917" s="666"/>
      <c r="K917" s="666"/>
      <c r="L917" s="666"/>
      <c r="M917" s="666"/>
      <c r="N917" s="666"/>
      <c r="O917" s="666"/>
      <c r="P917" s="666"/>
      <c r="Q917" s="666"/>
      <c r="R917" s="666"/>
      <c r="S917" s="666"/>
      <c r="T917" s="666"/>
      <c r="U917" s="666"/>
      <c r="V917" s="666"/>
      <c r="W917" s="666"/>
      <c r="X917" s="666"/>
      <c r="Y917" s="667"/>
      <c r="Z917" s="667"/>
    </row>
    <row r="918" spans="1:26" ht="15.75" customHeight="1">
      <c r="A918" s="666"/>
      <c r="B918" s="666"/>
      <c r="C918" s="666"/>
      <c r="D918" s="666"/>
      <c r="E918" s="666"/>
      <c r="F918" s="666"/>
      <c r="G918" s="666"/>
      <c r="H918" s="666"/>
      <c r="I918" s="666"/>
      <c r="J918" s="666"/>
      <c r="K918" s="666"/>
      <c r="L918" s="666"/>
      <c r="M918" s="666"/>
      <c r="N918" s="666"/>
      <c r="O918" s="666"/>
      <c r="P918" s="666"/>
      <c r="Q918" s="666"/>
      <c r="R918" s="666"/>
      <c r="S918" s="666"/>
      <c r="T918" s="666"/>
      <c r="U918" s="666"/>
      <c r="V918" s="666"/>
      <c r="W918" s="666"/>
      <c r="X918" s="666"/>
      <c r="Y918" s="667"/>
      <c r="Z918" s="667"/>
    </row>
    <row r="919" spans="1:26" ht="15.75" customHeight="1">
      <c r="A919" s="666"/>
      <c r="B919" s="666"/>
      <c r="C919" s="666"/>
      <c r="D919" s="666"/>
      <c r="E919" s="666"/>
      <c r="F919" s="666"/>
      <c r="G919" s="666"/>
      <c r="H919" s="666"/>
      <c r="I919" s="666"/>
      <c r="J919" s="666"/>
      <c r="K919" s="666"/>
      <c r="L919" s="666"/>
      <c r="M919" s="666"/>
      <c r="N919" s="666"/>
      <c r="O919" s="666"/>
      <c r="P919" s="666"/>
      <c r="Q919" s="666"/>
      <c r="R919" s="666"/>
      <c r="S919" s="666"/>
      <c r="T919" s="666"/>
      <c r="U919" s="666"/>
      <c r="V919" s="666"/>
      <c r="W919" s="666"/>
      <c r="X919" s="666"/>
      <c r="Y919" s="667"/>
      <c r="Z919" s="667"/>
    </row>
    <row r="920" spans="1:26" ht="15.75" customHeight="1">
      <c r="A920" s="666"/>
      <c r="B920" s="666"/>
      <c r="C920" s="666"/>
      <c r="D920" s="666"/>
      <c r="E920" s="666"/>
      <c r="F920" s="666"/>
      <c r="G920" s="666"/>
      <c r="H920" s="666"/>
      <c r="I920" s="666"/>
      <c r="J920" s="666"/>
      <c r="K920" s="666"/>
      <c r="L920" s="666"/>
      <c r="M920" s="666"/>
      <c r="N920" s="666"/>
      <c r="O920" s="666"/>
      <c r="P920" s="666"/>
      <c r="Q920" s="666"/>
      <c r="R920" s="666"/>
      <c r="S920" s="666"/>
      <c r="T920" s="666"/>
      <c r="U920" s="666"/>
      <c r="V920" s="666"/>
      <c r="W920" s="666"/>
      <c r="X920" s="666"/>
      <c r="Y920" s="667"/>
      <c r="Z920" s="667"/>
    </row>
    <row r="921" spans="1:26" ht="15.75" customHeight="1">
      <c r="A921" s="666"/>
      <c r="B921" s="666"/>
      <c r="C921" s="666"/>
      <c r="D921" s="666"/>
      <c r="E921" s="666"/>
      <c r="F921" s="666"/>
      <c r="G921" s="666"/>
      <c r="H921" s="666"/>
      <c r="I921" s="666"/>
      <c r="J921" s="666"/>
      <c r="K921" s="666"/>
      <c r="L921" s="666"/>
      <c r="M921" s="666"/>
      <c r="N921" s="666"/>
      <c r="O921" s="666"/>
      <c r="P921" s="666"/>
      <c r="Q921" s="666"/>
      <c r="R921" s="666"/>
      <c r="S921" s="666"/>
      <c r="T921" s="666"/>
      <c r="U921" s="666"/>
      <c r="V921" s="666"/>
      <c r="W921" s="666"/>
      <c r="X921" s="666"/>
      <c r="Y921" s="667"/>
      <c r="Z921" s="667"/>
    </row>
    <row r="922" spans="1:26" ht="15.75" customHeight="1">
      <c r="A922" s="666"/>
      <c r="B922" s="666"/>
      <c r="C922" s="666"/>
      <c r="D922" s="666"/>
      <c r="E922" s="666"/>
      <c r="F922" s="666"/>
      <c r="G922" s="666"/>
      <c r="H922" s="666"/>
      <c r="I922" s="666"/>
      <c r="J922" s="666"/>
      <c r="K922" s="666"/>
      <c r="L922" s="666"/>
      <c r="M922" s="666"/>
      <c r="N922" s="666"/>
      <c r="O922" s="666"/>
      <c r="P922" s="666"/>
      <c r="Q922" s="666"/>
      <c r="R922" s="666"/>
      <c r="S922" s="666"/>
      <c r="T922" s="666"/>
      <c r="U922" s="666"/>
      <c r="V922" s="666"/>
      <c r="W922" s="666"/>
      <c r="X922" s="666"/>
      <c r="Y922" s="667"/>
      <c r="Z922" s="667"/>
    </row>
    <row r="923" spans="1:26" ht="15.75" customHeight="1">
      <c r="A923" s="666"/>
      <c r="B923" s="666"/>
      <c r="C923" s="666"/>
      <c r="D923" s="666"/>
      <c r="E923" s="666"/>
      <c r="F923" s="666"/>
      <c r="G923" s="666"/>
      <c r="H923" s="666"/>
      <c r="I923" s="666"/>
      <c r="J923" s="666"/>
      <c r="K923" s="666"/>
      <c r="L923" s="666"/>
      <c r="M923" s="666"/>
      <c r="N923" s="666"/>
      <c r="O923" s="666"/>
      <c r="P923" s="666"/>
      <c r="Q923" s="666"/>
      <c r="R923" s="666"/>
      <c r="S923" s="666"/>
      <c r="T923" s="666"/>
      <c r="U923" s="666"/>
      <c r="V923" s="666"/>
      <c r="W923" s="666"/>
      <c r="X923" s="666"/>
      <c r="Y923" s="667"/>
      <c r="Z923" s="667"/>
    </row>
    <row r="924" spans="1:26" ht="15.75" customHeight="1">
      <c r="A924" s="666"/>
      <c r="B924" s="666"/>
      <c r="C924" s="666"/>
      <c r="D924" s="666"/>
      <c r="E924" s="666"/>
      <c r="F924" s="666"/>
      <c r="G924" s="666"/>
      <c r="H924" s="666"/>
      <c r="I924" s="666"/>
      <c r="J924" s="666"/>
      <c r="K924" s="666"/>
      <c r="L924" s="666"/>
      <c r="M924" s="666"/>
      <c r="N924" s="666"/>
      <c r="O924" s="666"/>
      <c r="P924" s="666"/>
      <c r="Q924" s="666"/>
      <c r="R924" s="666"/>
      <c r="S924" s="666"/>
      <c r="T924" s="666"/>
      <c r="U924" s="666"/>
      <c r="V924" s="666"/>
      <c r="W924" s="666"/>
      <c r="X924" s="666"/>
      <c r="Y924" s="667"/>
      <c r="Z924" s="667"/>
    </row>
    <row r="925" spans="1:26" ht="15.75" customHeight="1">
      <c r="A925" s="666"/>
      <c r="B925" s="666"/>
      <c r="C925" s="666"/>
      <c r="D925" s="666"/>
      <c r="E925" s="666"/>
      <c r="F925" s="666"/>
      <c r="G925" s="666"/>
      <c r="H925" s="666"/>
      <c r="I925" s="666"/>
      <c r="J925" s="666"/>
      <c r="K925" s="666"/>
      <c r="L925" s="666"/>
      <c r="M925" s="666"/>
      <c r="N925" s="666"/>
      <c r="O925" s="666"/>
      <c r="P925" s="666"/>
      <c r="Q925" s="666"/>
      <c r="R925" s="666"/>
      <c r="S925" s="666"/>
      <c r="T925" s="666"/>
      <c r="U925" s="666"/>
      <c r="V925" s="666"/>
      <c r="W925" s="666"/>
      <c r="X925" s="666"/>
      <c r="Y925" s="667"/>
      <c r="Z925" s="667"/>
    </row>
    <row r="926" spans="1:26" ht="15.75" customHeight="1">
      <c r="A926" s="666"/>
      <c r="B926" s="666"/>
      <c r="C926" s="666"/>
      <c r="D926" s="666"/>
      <c r="E926" s="666"/>
      <c r="F926" s="666"/>
      <c r="G926" s="666"/>
      <c r="H926" s="666"/>
      <c r="I926" s="666"/>
      <c r="J926" s="666"/>
      <c r="K926" s="666"/>
      <c r="L926" s="666"/>
      <c r="M926" s="666"/>
      <c r="N926" s="666"/>
      <c r="O926" s="666"/>
      <c r="P926" s="666"/>
      <c r="Q926" s="666"/>
      <c r="R926" s="666"/>
      <c r="S926" s="666"/>
      <c r="T926" s="666"/>
      <c r="U926" s="666"/>
      <c r="V926" s="666"/>
      <c r="W926" s="666"/>
      <c r="X926" s="666"/>
      <c r="Y926" s="667"/>
      <c r="Z926" s="667"/>
    </row>
    <row r="927" spans="1:26" ht="15.75" customHeight="1">
      <c r="A927" s="666"/>
      <c r="B927" s="666"/>
      <c r="C927" s="666"/>
      <c r="D927" s="666"/>
      <c r="E927" s="666"/>
      <c r="F927" s="666"/>
      <c r="G927" s="666"/>
      <c r="H927" s="666"/>
      <c r="I927" s="666"/>
      <c r="J927" s="666"/>
      <c r="K927" s="666"/>
      <c r="L927" s="666"/>
      <c r="M927" s="666"/>
      <c r="N927" s="666"/>
      <c r="O927" s="666"/>
      <c r="P927" s="666"/>
      <c r="Q927" s="666"/>
      <c r="R927" s="666"/>
      <c r="S927" s="666"/>
      <c r="T927" s="666"/>
      <c r="U927" s="666"/>
      <c r="V927" s="666"/>
      <c r="W927" s="666"/>
      <c r="X927" s="666"/>
      <c r="Y927" s="667"/>
      <c r="Z927" s="667"/>
    </row>
    <row r="928" spans="1:26" ht="15.75" customHeight="1">
      <c r="A928" s="666"/>
      <c r="B928" s="666"/>
      <c r="C928" s="666"/>
      <c r="D928" s="666"/>
      <c r="E928" s="666"/>
      <c r="F928" s="666"/>
      <c r="G928" s="666"/>
      <c r="H928" s="666"/>
      <c r="I928" s="666"/>
      <c r="J928" s="666"/>
      <c r="K928" s="666"/>
      <c r="L928" s="666"/>
      <c r="M928" s="666"/>
      <c r="N928" s="666"/>
      <c r="O928" s="666"/>
      <c r="P928" s="666"/>
      <c r="Q928" s="666"/>
      <c r="R928" s="666"/>
      <c r="S928" s="666"/>
      <c r="T928" s="666"/>
      <c r="U928" s="666"/>
      <c r="V928" s="666"/>
      <c r="W928" s="666"/>
      <c r="X928" s="666"/>
      <c r="Y928" s="667"/>
      <c r="Z928" s="667"/>
    </row>
    <row r="929" spans="1:26" ht="15.75" customHeight="1">
      <c r="A929" s="666"/>
      <c r="B929" s="666"/>
      <c r="C929" s="666"/>
      <c r="D929" s="666"/>
      <c r="E929" s="666"/>
      <c r="F929" s="666"/>
      <c r="G929" s="666"/>
      <c r="H929" s="666"/>
      <c r="I929" s="666"/>
      <c r="J929" s="666"/>
      <c r="K929" s="666"/>
      <c r="L929" s="666"/>
      <c r="M929" s="666"/>
      <c r="N929" s="666"/>
      <c r="O929" s="666"/>
      <c r="P929" s="666"/>
      <c r="Q929" s="666"/>
      <c r="R929" s="666"/>
      <c r="S929" s="666"/>
      <c r="T929" s="666"/>
      <c r="U929" s="666"/>
      <c r="V929" s="666"/>
      <c r="W929" s="666"/>
      <c r="X929" s="666"/>
      <c r="Y929" s="667"/>
      <c r="Z929" s="667"/>
    </row>
    <row r="930" spans="1:26" ht="15.75" customHeight="1">
      <c r="A930" s="666"/>
      <c r="B930" s="666"/>
      <c r="C930" s="666"/>
      <c r="D930" s="666"/>
      <c r="E930" s="666"/>
      <c r="F930" s="666"/>
      <c r="G930" s="666"/>
      <c r="H930" s="666"/>
      <c r="I930" s="666"/>
      <c r="J930" s="666"/>
      <c r="K930" s="666"/>
      <c r="L930" s="666"/>
      <c r="M930" s="666"/>
      <c r="N930" s="666"/>
      <c r="O930" s="666"/>
      <c r="P930" s="666"/>
      <c r="Q930" s="666"/>
      <c r="R930" s="666"/>
      <c r="S930" s="666"/>
      <c r="T930" s="666"/>
      <c r="U930" s="666"/>
      <c r="V930" s="666"/>
      <c r="W930" s="666"/>
      <c r="X930" s="666"/>
      <c r="Y930" s="667"/>
      <c r="Z930" s="667"/>
    </row>
    <row r="931" spans="1:26" ht="15.75" customHeight="1">
      <c r="A931" s="666"/>
      <c r="B931" s="666"/>
      <c r="C931" s="666"/>
      <c r="D931" s="666"/>
      <c r="E931" s="666"/>
      <c r="F931" s="666"/>
      <c r="G931" s="666"/>
      <c r="H931" s="666"/>
      <c r="I931" s="666"/>
      <c r="J931" s="666"/>
      <c r="K931" s="666"/>
      <c r="L931" s="666"/>
      <c r="M931" s="666"/>
      <c r="N931" s="666"/>
      <c r="O931" s="666"/>
      <c r="P931" s="666"/>
      <c r="Q931" s="666"/>
      <c r="R931" s="666"/>
      <c r="S931" s="666"/>
      <c r="T931" s="666"/>
      <c r="U931" s="666"/>
      <c r="V931" s="666"/>
      <c r="W931" s="666"/>
      <c r="X931" s="666"/>
      <c r="Y931" s="667"/>
      <c r="Z931" s="667"/>
    </row>
    <row r="932" spans="1:26" ht="15.75" customHeight="1">
      <c r="A932" s="666"/>
      <c r="B932" s="666"/>
      <c r="C932" s="666"/>
      <c r="D932" s="666"/>
      <c r="E932" s="666"/>
      <c r="F932" s="666"/>
      <c r="G932" s="666"/>
      <c r="H932" s="666"/>
      <c r="I932" s="666"/>
      <c r="J932" s="666"/>
      <c r="K932" s="666"/>
      <c r="L932" s="666"/>
      <c r="M932" s="666"/>
      <c r="N932" s="666"/>
      <c r="O932" s="666"/>
      <c r="P932" s="666"/>
      <c r="Q932" s="666"/>
      <c r="R932" s="666"/>
      <c r="S932" s="666"/>
      <c r="T932" s="666"/>
      <c r="U932" s="666"/>
      <c r="V932" s="666"/>
      <c r="W932" s="666"/>
      <c r="X932" s="666"/>
      <c r="Y932" s="667"/>
      <c r="Z932" s="667"/>
    </row>
    <row r="933" spans="1:26" ht="15.75" customHeight="1">
      <c r="A933" s="666"/>
      <c r="B933" s="666"/>
      <c r="C933" s="666"/>
      <c r="D933" s="666"/>
      <c r="E933" s="666"/>
      <c r="F933" s="666"/>
      <c r="G933" s="666"/>
      <c r="H933" s="666"/>
      <c r="I933" s="666"/>
      <c r="J933" s="666"/>
      <c r="K933" s="666"/>
      <c r="L933" s="666"/>
      <c r="M933" s="666"/>
      <c r="N933" s="666"/>
      <c r="O933" s="666"/>
      <c r="P933" s="666"/>
      <c r="Q933" s="666"/>
      <c r="R933" s="666"/>
      <c r="S933" s="666"/>
      <c r="T933" s="666"/>
      <c r="U933" s="666"/>
      <c r="V933" s="666"/>
      <c r="W933" s="666"/>
      <c r="X933" s="666"/>
      <c r="Y933" s="667"/>
      <c r="Z933" s="667"/>
    </row>
    <row r="934" spans="1:26" ht="15.75" customHeight="1">
      <c r="A934" s="666"/>
      <c r="B934" s="666"/>
      <c r="C934" s="666"/>
      <c r="D934" s="666"/>
      <c r="E934" s="666"/>
      <c r="F934" s="666"/>
      <c r="G934" s="666"/>
      <c r="H934" s="666"/>
      <c r="I934" s="666"/>
      <c r="J934" s="666"/>
      <c r="K934" s="666"/>
      <c r="L934" s="666"/>
      <c r="M934" s="666"/>
      <c r="N934" s="666"/>
      <c r="O934" s="666"/>
      <c r="P934" s="666"/>
      <c r="Q934" s="666"/>
      <c r="R934" s="666"/>
      <c r="S934" s="666"/>
      <c r="T934" s="666"/>
      <c r="U934" s="666"/>
      <c r="V934" s="666"/>
      <c r="W934" s="666"/>
      <c r="X934" s="666"/>
      <c r="Y934" s="667"/>
      <c r="Z934" s="667"/>
    </row>
    <row r="935" spans="1:26" ht="15.75" customHeight="1">
      <c r="A935" s="666"/>
      <c r="B935" s="666"/>
      <c r="C935" s="666"/>
      <c r="D935" s="666"/>
      <c r="E935" s="666"/>
      <c r="F935" s="666"/>
      <c r="G935" s="666"/>
      <c r="H935" s="666"/>
      <c r="I935" s="666"/>
      <c r="J935" s="666"/>
      <c r="K935" s="666"/>
      <c r="L935" s="666"/>
      <c r="M935" s="666"/>
      <c r="N935" s="666"/>
      <c r="O935" s="666"/>
      <c r="P935" s="666"/>
      <c r="Q935" s="666"/>
      <c r="R935" s="666"/>
      <c r="S935" s="666"/>
      <c r="T935" s="666"/>
      <c r="U935" s="666"/>
      <c r="V935" s="666"/>
      <c r="W935" s="666"/>
      <c r="X935" s="666"/>
      <c r="Y935" s="667"/>
      <c r="Z935" s="667"/>
    </row>
    <row r="936" spans="1:26" ht="15.75" customHeight="1">
      <c r="A936" s="666"/>
      <c r="B936" s="666"/>
      <c r="C936" s="666"/>
      <c r="D936" s="666"/>
      <c r="E936" s="666"/>
      <c r="F936" s="666"/>
      <c r="G936" s="666"/>
      <c r="H936" s="666"/>
      <c r="I936" s="666"/>
      <c r="J936" s="666"/>
      <c r="K936" s="666"/>
      <c r="L936" s="666"/>
      <c r="M936" s="666"/>
      <c r="N936" s="666"/>
      <c r="O936" s="666"/>
      <c r="P936" s="666"/>
      <c r="Q936" s="666"/>
      <c r="R936" s="666"/>
      <c r="S936" s="666"/>
      <c r="T936" s="666"/>
      <c r="U936" s="666"/>
      <c r="V936" s="666"/>
      <c r="W936" s="666"/>
      <c r="X936" s="666"/>
      <c r="Y936" s="667"/>
      <c r="Z936" s="667"/>
    </row>
    <row r="937" spans="1:26" ht="15.75" customHeight="1">
      <c r="A937" s="666"/>
      <c r="B937" s="666"/>
      <c r="C937" s="666"/>
      <c r="D937" s="666"/>
      <c r="E937" s="666"/>
      <c r="F937" s="666"/>
      <c r="G937" s="666"/>
      <c r="H937" s="666"/>
      <c r="I937" s="666"/>
      <c r="J937" s="666"/>
      <c r="K937" s="666"/>
      <c r="L937" s="666"/>
      <c r="M937" s="666"/>
      <c r="N937" s="666"/>
      <c r="O937" s="666"/>
      <c r="P937" s="666"/>
      <c r="Q937" s="666"/>
      <c r="R937" s="666"/>
      <c r="S937" s="666"/>
      <c r="T937" s="666"/>
      <c r="U937" s="666"/>
      <c r="V937" s="666"/>
      <c r="W937" s="666"/>
      <c r="X937" s="666"/>
      <c r="Y937" s="667"/>
      <c r="Z937" s="667"/>
    </row>
    <row r="938" spans="1:26" ht="15.75" customHeight="1">
      <c r="A938" s="666"/>
      <c r="B938" s="666"/>
      <c r="C938" s="666"/>
      <c r="D938" s="666"/>
      <c r="E938" s="666"/>
      <c r="F938" s="666"/>
      <c r="G938" s="666"/>
      <c r="H938" s="666"/>
      <c r="I938" s="666"/>
      <c r="J938" s="666"/>
      <c r="K938" s="666"/>
      <c r="L938" s="666"/>
      <c r="M938" s="666"/>
      <c r="N938" s="666"/>
      <c r="O938" s="666"/>
      <c r="P938" s="666"/>
      <c r="Q938" s="666"/>
      <c r="R938" s="666"/>
      <c r="S938" s="666"/>
      <c r="T938" s="666"/>
      <c r="U938" s="666"/>
      <c r="V938" s="666"/>
      <c r="W938" s="666"/>
      <c r="X938" s="666"/>
      <c r="Y938" s="667"/>
      <c r="Z938" s="667"/>
    </row>
    <row r="939" spans="1:26" ht="15.75" customHeight="1">
      <c r="A939" s="666"/>
      <c r="B939" s="666"/>
      <c r="C939" s="666"/>
      <c r="D939" s="666"/>
      <c r="E939" s="666"/>
      <c r="F939" s="666"/>
      <c r="G939" s="666"/>
      <c r="H939" s="666"/>
      <c r="I939" s="666"/>
      <c r="J939" s="666"/>
      <c r="K939" s="666"/>
      <c r="L939" s="666"/>
      <c r="M939" s="666"/>
      <c r="N939" s="666"/>
      <c r="O939" s="666"/>
      <c r="P939" s="666"/>
      <c r="Q939" s="666"/>
      <c r="R939" s="666"/>
      <c r="S939" s="666"/>
      <c r="T939" s="666"/>
      <c r="U939" s="666"/>
      <c r="V939" s="666"/>
      <c r="W939" s="666"/>
      <c r="X939" s="666"/>
      <c r="Y939" s="667"/>
      <c r="Z939" s="667"/>
    </row>
    <row r="940" spans="1:26" ht="15.75" customHeight="1">
      <c r="A940" s="666"/>
      <c r="B940" s="666"/>
      <c r="C940" s="666"/>
      <c r="D940" s="666"/>
      <c r="E940" s="666"/>
      <c r="F940" s="666"/>
      <c r="G940" s="666"/>
      <c r="H940" s="666"/>
      <c r="I940" s="666"/>
      <c r="J940" s="666"/>
      <c r="K940" s="666"/>
      <c r="L940" s="666"/>
      <c r="M940" s="666"/>
      <c r="N940" s="666"/>
      <c r="O940" s="666"/>
      <c r="P940" s="666"/>
      <c r="Q940" s="666"/>
      <c r="R940" s="666"/>
      <c r="S940" s="666"/>
      <c r="T940" s="666"/>
      <c r="U940" s="666"/>
      <c r="V940" s="666"/>
      <c r="W940" s="666"/>
      <c r="X940" s="666"/>
      <c r="Y940" s="667"/>
      <c r="Z940" s="667"/>
    </row>
    <row r="941" spans="1:26" ht="15.75" customHeight="1">
      <c r="A941" s="666"/>
      <c r="B941" s="666"/>
      <c r="C941" s="666"/>
      <c r="D941" s="666"/>
      <c r="E941" s="666"/>
      <c r="F941" s="666"/>
      <c r="G941" s="666"/>
      <c r="H941" s="666"/>
      <c r="I941" s="666"/>
      <c r="J941" s="666"/>
      <c r="K941" s="666"/>
      <c r="L941" s="666"/>
      <c r="M941" s="666"/>
      <c r="N941" s="666"/>
      <c r="O941" s="666"/>
      <c r="P941" s="666"/>
      <c r="Q941" s="666"/>
      <c r="R941" s="666"/>
      <c r="S941" s="666"/>
      <c r="T941" s="666"/>
      <c r="U941" s="666"/>
      <c r="V941" s="666"/>
      <c r="W941" s="666"/>
      <c r="X941" s="666"/>
      <c r="Y941" s="667"/>
      <c r="Z941" s="667"/>
    </row>
    <row r="942" spans="1:26" ht="15.75" customHeight="1">
      <c r="A942" s="666"/>
      <c r="B942" s="666"/>
      <c r="C942" s="666"/>
      <c r="D942" s="666"/>
      <c r="E942" s="666"/>
      <c r="F942" s="666"/>
      <c r="G942" s="666"/>
      <c r="H942" s="666"/>
      <c r="I942" s="666"/>
      <c r="J942" s="666"/>
      <c r="K942" s="666"/>
      <c r="L942" s="666"/>
      <c r="M942" s="666"/>
      <c r="N942" s="666"/>
      <c r="O942" s="666"/>
      <c r="P942" s="666"/>
      <c r="Q942" s="666"/>
      <c r="R942" s="666"/>
      <c r="S942" s="666"/>
      <c r="T942" s="666"/>
      <c r="U942" s="666"/>
      <c r="V942" s="666"/>
      <c r="W942" s="666"/>
      <c r="X942" s="666"/>
      <c r="Y942" s="667"/>
      <c r="Z942" s="667"/>
    </row>
    <row r="943" spans="1:26" ht="15.75" customHeight="1">
      <c r="A943" s="666"/>
      <c r="B943" s="666"/>
      <c r="C943" s="666"/>
      <c r="D943" s="666"/>
      <c r="E943" s="666"/>
      <c r="F943" s="666"/>
      <c r="G943" s="666"/>
      <c r="H943" s="666"/>
      <c r="I943" s="666"/>
      <c r="J943" s="666"/>
      <c r="K943" s="666"/>
      <c r="L943" s="666"/>
      <c r="M943" s="666"/>
      <c r="N943" s="666"/>
      <c r="O943" s="666"/>
      <c r="P943" s="666"/>
      <c r="Q943" s="666"/>
      <c r="R943" s="666"/>
      <c r="S943" s="666"/>
      <c r="T943" s="666"/>
      <c r="U943" s="666"/>
      <c r="V943" s="666"/>
      <c r="W943" s="666"/>
      <c r="X943" s="666"/>
      <c r="Y943" s="667"/>
      <c r="Z943" s="667"/>
    </row>
    <row r="944" spans="1:26" ht="15.75" customHeight="1">
      <c r="A944" s="666"/>
      <c r="B944" s="666"/>
      <c r="C944" s="666"/>
      <c r="D944" s="666"/>
      <c r="E944" s="666"/>
      <c r="F944" s="666"/>
      <c r="G944" s="666"/>
      <c r="H944" s="666"/>
      <c r="I944" s="666"/>
      <c r="J944" s="666"/>
      <c r="K944" s="666"/>
      <c r="L944" s="666"/>
      <c r="M944" s="666"/>
      <c r="N944" s="666"/>
      <c r="O944" s="666"/>
      <c r="P944" s="666"/>
      <c r="Q944" s="666"/>
      <c r="R944" s="666"/>
      <c r="S944" s="666"/>
      <c r="T944" s="666"/>
      <c r="U944" s="666"/>
      <c r="V944" s="666"/>
      <c r="W944" s="666"/>
      <c r="X944" s="666"/>
      <c r="Y944" s="667"/>
      <c r="Z944" s="667"/>
    </row>
    <row r="945" spans="1:26" ht="15.75" customHeight="1">
      <c r="A945" s="666"/>
      <c r="B945" s="666"/>
      <c r="C945" s="666"/>
      <c r="D945" s="666"/>
      <c r="E945" s="666"/>
      <c r="F945" s="666"/>
      <c r="G945" s="666"/>
      <c r="H945" s="666"/>
      <c r="I945" s="666"/>
      <c r="J945" s="666"/>
      <c r="K945" s="666"/>
      <c r="L945" s="666"/>
      <c r="M945" s="666"/>
      <c r="N945" s="666"/>
      <c r="O945" s="666"/>
      <c r="P945" s="666"/>
      <c r="Q945" s="666"/>
      <c r="R945" s="666"/>
      <c r="S945" s="666"/>
      <c r="T945" s="666"/>
      <c r="U945" s="666"/>
      <c r="V945" s="666"/>
      <c r="W945" s="666"/>
      <c r="X945" s="666"/>
      <c r="Y945" s="667"/>
      <c r="Z945" s="667"/>
    </row>
    <row r="946" spans="1:26" ht="15.75" customHeight="1">
      <c r="A946" s="666"/>
      <c r="B946" s="666"/>
      <c r="C946" s="666"/>
      <c r="D946" s="666"/>
      <c r="E946" s="666"/>
      <c r="F946" s="666"/>
      <c r="G946" s="666"/>
      <c r="H946" s="666"/>
      <c r="I946" s="666"/>
      <c r="J946" s="666"/>
      <c r="K946" s="666"/>
      <c r="L946" s="666"/>
      <c r="M946" s="666"/>
      <c r="N946" s="666"/>
      <c r="O946" s="666"/>
      <c r="P946" s="666"/>
      <c r="Q946" s="666"/>
      <c r="R946" s="666"/>
      <c r="S946" s="666"/>
      <c r="T946" s="666"/>
      <c r="U946" s="666"/>
      <c r="V946" s="666"/>
      <c r="W946" s="666"/>
      <c r="X946" s="666"/>
      <c r="Y946" s="667"/>
      <c r="Z946" s="667"/>
    </row>
    <row r="947" spans="1:26" ht="15.75" customHeight="1">
      <c r="A947" s="666"/>
      <c r="B947" s="666"/>
      <c r="C947" s="666"/>
      <c r="D947" s="666"/>
      <c r="E947" s="666"/>
      <c r="F947" s="666"/>
      <c r="G947" s="666"/>
      <c r="H947" s="666"/>
      <c r="I947" s="666"/>
      <c r="J947" s="666"/>
      <c r="K947" s="666"/>
      <c r="L947" s="666"/>
      <c r="M947" s="666"/>
      <c r="N947" s="666"/>
      <c r="O947" s="666"/>
      <c r="P947" s="666"/>
      <c r="Q947" s="666"/>
      <c r="R947" s="666"/>
      <c r="S947" s="666"/>
      <c r="T947" s="666"/>
      <c r="U947" s="666"/>
      <c r="V947" s="666"/>
      <c r="W947" s="666"/>
      <c r="X947" s="666"/>
      <c r="Y947" s="667"/>
      <c r="Z947" s="667"/>
    </row>
    <row r="948" spans="1:26" ht="15.75" customHeight="1">
      <c r="A948" s="666"/>
      <c r="B948" s="666"/>
      <c r="C948" s="666"/>
      <c r="D948" s="666"/>
      <c r="E948" s="666"/>
      <c r="F948" s="666"/>
      <c r="G948" s="666"/>
      <c r="H948" s="666"/>
      <c r="I948" s="666"/>
      <c r="J948" s="666"/>
      <c r="K948" s="666"/>
      <c r="L948" s="666"/>
      <c r="M948" s="666"/>
      <c r="N948" s="666"/>
      <c r="O948" s="666"/>
      <c r="P948" s="666"/>
      <c r="Q948" s="666"/>
      <c r="R948" s="666"/>
      <c r="S948" s="666"/>
      <c r="T948" s="666"/>
      <c r="U948" s="666"/>
      <c r="V948" s="666"/>
      <c r="W948" s="666"/>
      <c r="X948" s="666"/>
      <c r="Y948" s="667"/>
      <c r="Z948" s="667"/>
    </row>
    <row r="949" spans="1:26" ht="15.75" customHeight="1">
      <c r="A949" s="666"/>
      <c r="B949" s="666"/>
      <c r="C949" s="666"/>
      <c r="D949" s="666"/>
      <c r="E949" s="666"/>
      <c r="F949" s="666"/>
      <c r="G949" s="666"/>
      <c r="H949" s="666"/>
      <c r="I949" s="666"/>
      <c r="J949" s="666"/>
      <c r="K949" s="666"/>
      <c r="L949" s="666"/>
      <c r="M949" s="666"/>
      <c r="N949" s="666"/>
      <c r="O949" s="666"/>
      <c r="P949" s="666"/>
      <c r="Q949" s="666"/>
      <c r="R949" s="666"/>
      <c r="S949" s="666"/>
      <c r="T949" s="666"/>
      <c r="U949" s="666"/>
      <c r="V949" s="666"/>
      <c r="W949" s="666"/>
      <c r="X949" s="666"/>
      <c r="Y949" s="667"/>
      <c r="Z949" s="667"/>
    </row>
    <row r="950" spans="1:26" ht="15.75" customHeight="1">
      <c r="A950" s="666"/>
      <c r="B950" s="666"/>
      <c r="C950" s="666"/>
      <c r="D950" s="666"/>
      <c r="E950" s="666"/>
      <c r="F950" s="666"/>
      <c r="G950" s="666"/>
      <c r="H950" s="666"/>
      <c r="I950" s="666"/>
      <c r="J950" s="666"/>
      <c r="K950" s="666"/>
      <c r="L950" s="666"/>
      <c r="M950" s="666"/>
      <c r="N950" s="666"/>
      <c r="O950" s="666"/>
      <c r="P950" s="666"/>
      <c r="Q950" s="666"/>
      <c r="R950" s="666"/>
      <c r="S950" s="666"/>
      <c r="T950" s="666"/>
      <c r="U950" s="666"/>
      <c r="V950" s="666"/>
      <c r="W950" s="666"/>
      <c r="X950" s="666"/>
      <c r="Y950" s="667"/>
      <c r="Z950" s="667"/>
    </row>
    <row r="951" spans="1:26" ht="15.75" customHeight="1">
      <c r="A951" s="666"/>
      <c r="B951" s="666"/>
      <c r="C951" s="666"/>
      <c r="D951" s="666"/>
      <c r="E951" s="666"/>
      <c r="F951" s="666"/>
      <c r="G951" s="666"/>
      <c r="H951" s="666"/>
      <c r="I951" s="666"/>
      <c r="J951" s="666"/>
      <c r="K951" s="666"/>
      <c r="L951" s="666"/>
      <c r="M951" s="666"/>
      <c r="N951" s="666"/>
      <c r="O951" s="666"/>
      <c r="P951" s="666"/>
      <c r="Q951" s="666"/>
      <c r="R951" s="666"/>
      <c r="S951" s="666"/>
      <c r="T951" s="666"/>
      <c r="U951" s="666"/>
      <c r="V951" s="666"/>
      <c r="W951" s="666"/>
      <c r="X951" s="666"/>
      <c r="Y951" s="667"/>
      <c r="Z951" s="667"/>
    </row>
    <row r="952" spans="1:26" ht="15.75" customHeight="1">
      <c r="A952" s="666"/>
      <c r="B952" s="666"/>
      <c r="C952" s="666"/>
      <c r="D952" s="666"/>
      <c r="E952" s="666"/>
      <c r="F952" s="666"/>
      <c r="G952" s="666"/>
      <c r="H952" s="666"/>
      <c r="I952" s="666"/>
      <c r="J952" s="666"/>
      <c r="K952" s="666"/>
      <c r="L952" s="666"/>
      <c r="M952" s="666"/>
      <c r="N952" s="666"/>
      <c r="O952" s="666"/>
      <c r="P952" s="666"/>
      <c r="Q952" s="666"/>
      <c r="R952" s="666"/>
      <c r="S952" s="666"/>
      <c r="T952" s="666"/>
      <c r="U952" s="666"/>
      <c r="V952" s="666"/>
      <c r="W952" s="666"/>
      <c r="X952" s="666"/>
      <c r="Y952" s="667"/>
      <c r="Z952" s="667"/>
    </row>
    <row r="953" spans="1:26" ht="15.75" customHeight="1">
      <c r="A953" s="666"/>
      <c r="B953" s="666"/>
      <c r="C953" s="666"/>
      <c r="D953" s="666"/>
      <c r="E953" s="666"/>
      <c r="F953" s="666"/>
      <c r="G953" s="666"/>
      <c r="H953" s="666"/>
      <c r="I953" s="666"/>
      <c r="J953" s="666"/>
      <c r="K953" s="666"/>
      <c r="L953" s="666"/>
      <c r="M953" s="666"/>
      <c r="N953" s="666"/>
      <c r="O953" s="666"/>
      <c r="P953" s="666"/>
      <c r="Q953" s="666"/>
      <c r="R953" s="666"/>
      <c r="S953" s="666"/>
      <c r="T953" s="666"/>
      <c r="U953" s="666"/>
      <c r="V953" s="666"/>
      <c r="W953" s="666"/>
      <c r="X953" s="666"/>
      <c r="Y953" s="667"/>
      <c r="Z953" s="667"/>
    </row>
    <row r="954" spans="1:26" ht="15.75" customHeight="1">
      <c r="A954" s="666"/>
      <c r="B954" s="666"/>
      <c r="C954" s="666"/>
      <c r="D954" s="666"/>
      <c r="E954" s="666"/>
      <c r="F954" s="666"/>
      <c r="G954" s="666"/>
      <c r="H954" s="666"/>
      <c r="I954" s="666"/>
      <c r="J954" s="666"/>
      <c r="K954" s="666"/>
      <c r="L954" s="666"/>
      <c r="M954" s="666"/>
      <c r="N954" s="666"/>
      <c r="O954" s="666"/>
      <c r="P954" s="666"/>
      <c r="Q954" s="666"/>
      <c r="R954" s="666"/>
      <c r="S954" s="666"/>
      <c r="T954" s="666"/>
      <c r="U954" s="666"/>
      <c r="V954" s="666"/>
      <c r="W954" s="666"/>
      <c r="X954" s="666"/>
      <c r="Y954" s="667"/>
      <c r="Z954" s="667"/>
    </row>
    <row r="955" spans="1:26" ht="15.75" customHeight="1">
      <c r="A955" s="666"/>
      <c r="B955" s="666"/>
      <c r="C955" s="666"/>
      <c r="D955" s="666"/>
      <c r="E955" s="666"/>
      <c r="F955" s="666"/>
      <c r="G955" s="666"/>
      <c r="H955" s="666"/>
      <c r="I955" s="666"/>
      <c r="J955" s="666"/>
      <c r="K955" s="666"/>
      <c r="L955" s="666"/>
      <c r="M955" s="666"/>
      <c r="N955" s="666"/>
      <c r="O955" s="666"/>
      <c r="P955" s="666"/>
      <c r="Q955" s="666"/>
      <c r="R955" s="666"/>
      <c r="S955" s="666"/>
      <c r="T955" s="666"/>
      <c r="U955" s="666"/>
      <c r="V955" s="666"/>
      <c r="W955" s="666"/>
      <c r="X955" s="666"/>
      <c r="Y955" s="667"/>
      <c r="Z955" s="667"/>
    </row>
    <row r="956" spans="1:26" ht="15.75" customHeight="1">
      <c r="A956" s="666"/>
      <c r="B956" s="666"/>
      <c r="C956" s="666"/>
      <c r="D956" s="666"/>
      <c r="E956" s="666"/>
      <c r="F956" s="666"/>
      <c r="G956" s="666"/>
      <c r="H956" s="666"/>
      <c r="I956" s="666"/>
      <c r="J956" s="666"/>
      <c r="K956" s="666"/>
      <c r="L956" s="666"/>
      <c r="M956" s="666"/>
      <c r="N956" s="666"/>
      <c r="O956" s="666"/>
      <c r="P956" s="666"/>
      <c r="Q956" s="666"/>
      <c r="R956" s="666"/>
      <c r="S956" s="666"/>
      <c r="T956" s="666"/>
      <c r="U956" s="666"/>
      <c r="V956" s="666"/>
      <c r="W956" s="666"/>
      <c r="X956" s="666"/>
      <c r="Y956" s="667"/>
      <c r="Z956" s="667"/>
    </row>
    <row r="957" spans="1:26" ht="15.75" customHeight="1">
      <c r="A957" s="666"/>
      <c r="B957" s="666"/>
      <c r="C957" s="666"/>
      <c r="D957" s="666"/>
      <c r="E957" s="666"/>
      <c r="F957" s="666"/>
      <c r="G957" s="666"/>
      <c r="H957" s="666"/>
      <c r="I957" s="666"/>
      <c r="J957" s="666"/>
      <c r="K957" s="666"/>
      <c r="L957" s="666"/>
      <c r="M957" s="666"/>
      <c r="N957" s="666"/>
      <c r="O957" s="666"/>
      <c r="P957" s="666"/>
      <c r="Q957" s="666"/>
      <c r="R957" s="666"/>
      <c r="S957" s="666"/>
      <c r="T957" s="666"/>
      <c r="U957" s="666"/>
      <c r="V957" s="666"/>
      <c r="W957" s="666"/>
      <c r="X957" s="666"/>
      <c r="Y957" s="667"/>
      <c r="Z957" s="667"/>
    </row>
    <row r="958" spans="1:26" ht="15.75" customHeight="1">
      <c r="A958" s="666"/>
      <c r="B958" s="666"/>
      <c r="C958" s="666"/>
      <c r="D958" s="666"/>
      <c r="E958" s="666"/>
      <c r="F958" s="666"/>
      <c r="G958" s="666"/>
      <c r="H958" s="666"/>
      <c r="I958" s="666"/>
      <c r="J958" s="666"/>
      <c r="K958" s="666"/>
      <c r="L958" s="666"/>
      <c r="M958" s="666"/>
      <c r="N958" s="666"/>
      <c r="O958" s="666"/>
      <c r="P958" s="666"/>
      <c r="Q958" s="666"/>
      <c r="R958" s="666"/>
      <c r="S958" s="666"/>
      <c r="T958" s="666"/>
      <c r="U958" s="666"/>
      <c r="V958" s="666"/>
      <c r="W958" s="666"/>
      <c r="X958" s="666"/>
      <c r="Y958" s="667"/>
      <c r="Z958" s="667"/>
    </row>
    <row r="959" spans="1:26" ht="15.75" customHeight="1">
      <c r="A959" s="666"/>
      <c r="B959" s="666"/>
      <c r="C959" s="666"/>
      <c r="D959" s="666"/>
      <c r="E959" s="666"/>
      <c r="F959" s="666"/>
      <c r="G959" s="666"/>
      <c r="H959" s="666"/>
      <c r="I959" s="666"/>
      <c r="J959" s="666"/>
      <c r="K959" s="666"/>
      <c r="L959" s="666"/>
      <c r="M959" s="666"/>
      <c r="N959" s="666"/>
      <c r="O959" s="666"/>
      <c r="P959" s="666"/>
      <c r="Q959" s="666"/>
      <c r="R959" s="666"/>
      <c r="S959" s="666"/>
      <c r="T959" s="666"/>
      <c r="U959" s="666"/>
      <c r="V959" s="666"/>
      <c r="W959" s="666"/>
      <c r="X959" s="666"/>
      <c r="Y959" s="667"/>
      <c r="Z959" s="667"/>
    </row>
    <row r="960" spans="1:26" ht="15.75" customHeight="1">
      <c r="A960" s="666"/>
      <c r="B960" s="666"/>
      <c r="C960" s="666"/>
      <c r="D960" s="666"/>
      <c r="E960" s="666"/>
      <c r="F960" s="666"/>
      <c r="G960" s="666"/>
      <c r="H960" s="666"/>
      <c r="I960" s="666"/>
      <c r="J960" s="666"/>
      <c r="K960" s="666"/>
      <c r="L960" s="666"/>
      <c r="M960" s="666"/>
      <c r="N960" s="666"/>
      <c r="O960" s="666"/>
      <c r="P960" s="666"/>
      <c r="Q960" s="666"/>
      <c r="R960" s="666"/>
      <c r="S960" s="666"/>
      <c r="T960" s="666"/>
      <c r="U960" s="666"/>
      <c r="V960" s="666"/>
      <c r="W960" s="666"/>
      <c r="X960" s="666"/>
      <c r="Y960" s="667"/>
      <c r="Z960" s="667"/>
    </row>
    <row r="961" spans="1:26" ht="15.75" customHeight="1">
      <c r="A961" s="666"/>
      <c r="B961" s="666"/>
      <c r="C961" s="666"/>
      <c r="D961" s="666"/>
      <c r="E961" s="666"/>
      <c r="F961" s="666"/>
      <c r="G961" s="666"/>
      <c r="H961" s="666"/>
      <c r="I961" s="666"/>
      <c r="J961" s="666"/>
      <c r="K961" s="666"/>
      <c r="L961" s="666"/>
      <c r="M961" s="666"/>
      <c r="N961" s="666"/>
      <c r="O961" s="666"/>
      <c r="P961" s="666"/>
      <c r="Q961" s="666"/>
      <c r="R961" s="666"/>
      <c r="S961" s="666"/>
      <c r="T961" s="666"/>
      <c r="U961" s="666"/>
      <c r="V961" s="666"/>
      <c r="W961" s="666"/>
      <c r="X961" s="666"/>
      <c r="Y961" s="667"/>
      <c r="Z961" s="667"/>
    </row>
    <row r="962" spans="1:26" ht="15.75" customHeight="1">
      <c r="A962" s="666"/>
      <c r="B962" s="666"/>
      <c r="C962" s="666"/>
      <c r="D962" s="666"/>
      <c r="E962" s="666"/>
      <c r="F962" s="666"/>
      <c r="G962" s="666"/>
      <c r="H962" s="666"/>
      <c r="I962" s="666"/>
      <c r="J962" s="666"/>
      <c r="K962" s="666"/>
      <c r="L962" s="666"/>
      <c r="M962" s="666"/>
      <c r="N962" s="666"/>
      <c r="O962" s="666"/>
      <c r="P962" s="666"/>
      <c r="Q962" s="666"/>
      <c r="R962" s="666"/>
      <c r="S962" s="666"/>
      <c r="T962" s="666"/>
      <c r="U962" s="666"/>
      <c r="V962" s="666"/>
      <c r="W962" s="666"/>
      <c r="X962" s="666"/>
      <c r="Y962" s="667"/>
      <c r="Z962" s="667"/>
    </row>
    <row r="963" spans="1:26" ht="15.75" customHeight="1">
      <c r="A963" s="666"/>
      <c r="B963" s="666"/>
      <c r="C963" s="666"/>
      <c r="D963" s="666"/>
      <c r="E963" s="666"/>
      <c r="F963" s="666"/>
      <c r="G963" s="666"/>
      <c r="H963" s="666"/>
      <c r="I963" s="666"/>
      <c r="J963" s="666"/>
      <c r="K963" s="666"/>
      <c r="L963" s="666"/>
      <c r="M963" s="666"/>
      <c r="N963" s="666"/>
      <c r="O963" s="666"/>
      <c r="P963" s="666"/>
      <c r="Q963" s="666"/>
      <c r="R963" s="666"/>
      <c r="S963" s="666"/>
      <c r="T963" s="666"/>
      <c r="U963" s="666"/>
      <c r="V963" s="666"/>
      <c r="W963" s="666"/>
      <c r="X963" s="666"/>
      <c r="Y963" s="667"/>
      <c r="Z963" s="667"/>
    </row>
    <row r="964" spans="1:26" ht="15.75" customHeight="1">
      <c r="A964" s="666"/>
      <c r="B964" s="666"/>
      <c r="C964" s="666"/>
      <c r="D964" s="666"/>
      <c r="E964" s="666"/>
      <c r="F964" s="666"/>
      <c r="G964" s="666"/>
      <c r="H964" s="666"/>
      <c r="I964" s="666"/>
      <c r="J964" s="666"/>
      <c r="K964" s="666"/>
      <c r="L964" s="666"/>
      <c r="M964" s="666"/>
      <c r="N964" s="666"/>
      <c r="O964" s="666"/>
      <c r="P964" s="666"/>
      <c r="Q964" s="666"/>
      <c r="R964" s="666"/>
      <c r="S964" s="666"/>
      <c r="T964" s="666"/>
      <c r="U964" s="666"/>
      <c r="V964" s="666"/>
      <c r="W964" s="666"/>
      <c r="X964" s="666"/>
      <c r="Y964" s="667"/>
      <c r="Z964" s="667"/>
    </row>
    <row r="965" spans="1:26" ht="15.75" customHeight="1">
      <c r="A965" s="666"/>
      <c r="B965" s="666"/>
      <c r="C965" s="666"/>
      <c r="D965" s="666"/>
      <c r="E965" s="666"/>
      <c r="F965" s="666"/>
      <c r="G965" s="666"/>
      <c r="H965" s="666"/>
      <c r="I965" s="666"/>
      <c r="J965" s="666"/>
      <c r="K965" s="666"/>
      <c r="L965" s="666"/>
      <c r="M965" s="666"/>
      <c r="N965" s="666"/>
      <c r="O965" s="666"/>
      <c r="P965" s="666"/>
      <c r="Q965" s="666"/>
      <c r="R965" s="666"/>
      <c r="S965" s="666"/>
      <c r="T965" s="666"/>
      <c r="U965" s="666"/>
      <c r="V965" s="666"/>
      <c r="W965" s="666"/>
      <c r="X965" s="666"/>
      <c r="Y965" s="667"/>
      <c r="Z965" s="667"/>
    </row>
    <row r="966" spans="1:26" ht="15.75" customHeight="1">
      <c r="A966" s="666"/>
      <c r="B966" s="666"/>
      <c r="C966" s="666"/>
      <c r="D966" s="666"/>
      <c r="E966" s="666"/>
      <c r="F966" s="666"/>
      <c r="G966" s="666"/>
      <c r="H966" s="666"/>
      <c r="I966" s="666"/>
      <c r="J966" s="666"/>
      <c r="K966" s="666"/>
      <c r="L966" s="666"/>
      <c r="M966" s="666"/>
      <c r="N966" s="666"/>
      <c r="O966" s="666"/>
      <c r="P966" s="666"/>
      <c r="Q966" s="666"/>
      <c r="R966" s="666"/>
      <c r="S966" s="666"/>
      <c r="T966" s="666"/>
      <c r="U966" s="666"/>
      <c r="V966" s="666"/>
      <c r="W966" s="666"/>
      <c r="X966" s="666"/>
      <c r="Y966" s="667"/>
      <c r="Z966" s="667"/>
    </row>
    <row r="967" spans="1:26" ht="15.75" customHeight="1">
      <c r="A967" s="666"/>
      <c r="B967" s="666"/>
      <c r="C967" s="666"/>
      <c r="D967" s="666"/>
      <c r="E967" s="666"/>
      <c r="F967" s="666"/>
      <c r="G967" s="666"/>
      <c r="H967" s="666"/>
      <c r="I967" s="666"/>
      <c r="J967" s="666"/>
      <c r="K967" s="666"/>
      <c r="L967" s="666"/>
      <c r="M967" s="666"/>
      <c r="N967" s="666"/>
      <c r="O967" s="666"/>
      <c r="P967" s="666"/>
      <c r="Q967" s="666"/>
      <c r="R967" s="666"/>
      <c r="S967" s="666"/>
      <c r="T967" s="666"/>
      <c r="U967" s="666"/>
      <c r="V967" s="666"/>
      <c r="W967" s="666"/>
      <c r="X967" s="666"/>
      <c r="Y967" s="667"/>
      <c r="Z967" s="667"/>
    </row>
    <row r="968" spans="1:26" ht="15.75" customHeight="1">
      <c r="A968" s="666"/>
      <c r="B968" s="666"/>
      <c r="C968" s="666"/>
      <c r="D968" s="666"/>
      <c r="E968" s="666"/>
      <c r="F968" s="666"/>
      <c r="G968" s="666"/>
      <c r="H968" s="666"/>
      <c r="I968" s="666"/>
      <c r="J968" s="666"/>
      <c r="K968" s="666"/>
      <c r="L968" s="666"/>
      <c r="M968" s="666"/>
      <c r="N968" s="666"/>
      <c r="O968" s="666"/>
      <c r="P968" s="666"/>
      <c r="Q968" s="666"/>
      <c r="R968" s="666"/>
      <c r="S968" s="666"/>
      <c r="T968" s="666"/>
      <c r="U968" s="666"/>
      <c r="V968" s="666"/>
      <c r="W968" s="666"/>
      <c r="X968" s="666"/>
      <c r="Y968" s="667"/>
      <c r="Z968" s="667"/>
    </row>
    <row r="969" spans="1:26" ht="15.75" customHeight="1">
      <c r="A969" s="666"/>
      <c r="B969" s="666"/>
      <c r="C969" s="666"/>
      <c r="D969" s="666"/>
      <c r="E969" s="666"/>
      <c r="F969" s="666"/>
      <c r="G969" s="666"/>
      <c r="H969" s="666"/>
      <c r="I969" s="666"/>
      <c r="J969" s="666"/>
      <c r="K969" s="666"/>
      <c r="L969" s="666"/>
      <c r="M969" s="666"/>
      <c r="N969" s="666"/>
      <c r="O969" s="666"/>
      <c r="P969" s="666"/>
      <c r="Q969" s="666"/>
      <c r="R969" s="666"/>
      <c r="S969" s="666"/>
      <c r="T969" s="666"/>
      <c r="U969" s="666"/>
      <c r="V969" s="666"/>
      <c r="W969" s="666"/>
      <c r="X969" s="666"/>
      <c r="Y969" s="667"/>
      <c r="Z969" s="667"/>
    </row>
    <row r="970" spans="1:26" ht="15.75" customHeight="1">
      <c r="A970" s="666"/>
      <c r="B970" s="666"/>
      <c r="C970" s="666"/>
      <c r="D970" s="666"/>
      <c r="E970" s="666"/>
      <c r="F970" s="666"/>
      <c r="G970" s="666"/>
      <c r="H970" s="666"/>
      <c r="I970" s="666"/>
      <c r="J970" s="666"/>
      <c r="K970" s="666"/>
      <c r="L970" s="666"/>
      <c r="M970" s="666"/>
      <c r="N970" s="666"/>
      <c r="O970" s="666"/>
      <c r="P970" s="666"/>
      <c r="Q970" s="666"/>
      <c r="R970" s="666"/>
      <c r="S970" s="666"/>
      <c r="T970" s="666"/>
      <c r="U970" s="666"/>
      <c r="V970" s="666"/>
      <c r="W970" s="666"/>
      <c r="X970" s="666"/>
      <c r="Y970" s="667"/>
      <c r="Z970" s="667"/>
    </row>
    <row r="971" spans="1:26" ht="15.75" customHeight="1">
      <c r="A971" s="666"/>
      <c r="B971" s="666"/>
      <c r="C971" s="666"/>
      <c r="D971" s="666"/>
      <c r="E971" s="666"/>
      <c r="F971" s="666"/>
      <c r="G971" s="666"/>
      <c r="H971" s="666"/>
      <c r="I971" s="666"/>
      <c r="J971" s="666"/>
      <c r="K971" s="666"/>
      <c r="L971" s="666"/>
      <c r="M971" s="666"/>
      <c r="N971" s="666"/>
      <c r="O971" s="666"/>
      <c r="P971" s="666"/>
      <c r="Q971" s="666"/>
      <c r="R971" s="666"/>
      <c r="S971" s="666"/>
      <c r="T971" s="666"/>
      <c r="U971" s="666"/>
      <c r="V971" s="666"/>
      <c r="W971" s="666"/>
      <c r="X971" s="666"/>
      <c r="Y971" s="667"/>
      <c r="Z971" s="667"/>
    </row>
    <row r="972" spans="1:26" ht="15.75" customHeight="1">
      <c r="A972" s="666"/>
      <c r="B972" s="666"/>
      <c r="C972" s="666"/>
      <c r="D972" s="666"/>
      <c r="E972" s="666"/>
      <c r="F972" s="666"/>
      <c r="G972" s="666"/>
      <c r="H972" s="666"/>
      <c r="I972" s="666"/>
      <c r="J972" s="666"/>
      <c r="K972" s="666"/>
      <c r="L972" s="666"/>
      <c r="M972" s="666"/>
      <c r="N972" s="666"/>
      <c r="O972" s="666"/>
      <c r="P972" s="666"/>
      <c r="Q972" s="666"/>
      <c r="R972" s="666"/>
      <c r="S972" s="666"/>
      <c r="T972" s="666"/>
      <c r="U972" s="666"/>
      <c r="V972" s="666"/>
      <c r="W972" s="666"/>
      <c r="X972" s="666"/>
      <c r="Y972" s="667"/>
      <c r="Z972" s="667"/>
    </row>
    <row r="973" spans="1:26" ht="15.75" customHeight="1">
      <c r="A973" s="666"/>
      <c r="B973" s="666"/>
      <c r="C973" s="666"/>
      <c r="D973" s="666"/>
      <c r="E973" s="666"/>
      <c r="F973" s="666"/>
      <c r="G973" s="666"/>
      <c r="H973" s="666"/>
      <c r="I973" s="666"/>
      <c r="J973" s="666"/>
      <c r="K973" s="666"/>
      <c r="L973" s="666"/>
      <c r="M973" s="666"/>
      <c r="N973" s="666"/>
      <c r="O973" s="666"/>
      <c r="P973" s="666"/>
      <c r="Q973" s="666"/>
      <c r="R973" s="666"/>
      <c r="S973" s="666"/>
      <c r="T973" s="666"/>
      <c r="U973" s="666"/>
      <c r="V973" s="666"/>
      <c r="W973" s="666"/>
      <c r="X973" s="666"/>
      <c r="Y973" s="667"/>
      <c r="Z973" s="667"/>
    </row>
    <row r="974" spans="1:26" ht="15.75" customHeight="1">
      <c r="A974" s="666"/>
      <c r="B974" s="666"/>
      <c r="C974" s="666"/>
      <c r="D974" s="666"/>
      <c r="E974" s="666"/>
      <c r="F974" s="666"/>
      <c r="G974" s="666"/>
      <c r="H974" s="666"/>
      <c r="I974" s="666"/>
      <c r="J974" s="666"/>
      <c r="K974" s="666"/>
      <c r="L974" s="666"/>
      <c r="M974" s="666"/>
      <c r="N974" s="666"/>
      <c r="O974" s="666"/>
      <c r="P974" s="666"/>
      <c r="Q974" s="666"/>
      <c r="R974" s="666"/>
      <c r="S974" s="666"/>
      <c r="T974" s="666"/>
      <c r="U974" s="666"/>
      <c r="V974" s="666"/>
      <c r="W974" s="666"/>
      <c r="X974" s="666"/>
      <c r="Y974" s="667"/>
      <c r="Z974" s="667"/>
    </row>
    <row r="975" spans="1:26" ht="15.75" customHeight="1">
      <c r="A975" s="666"/>
      <c r="B975" s="666"/>
      <c r="C975" s="666"/>
      <c r="D975" s="666"/>
      <c r="E975" s="666"/>
      <c r="F975" s="666"/>
      <c r="G975" s="666"/>
      <c r="H975" s="666"/>
      <c r="I975" s="666"/>
      <c r="J975" s="666"/>
      <c r="K975" s="666"/>
      <c r="L975" s="666"/>
      <c r="M975" s="666"/>
      <c r="N975" s="666"/>
      <c r="O975" s="666"/>
      <c r="P975" s="666"/>
      <c r="Q975" s="666"/>
      <c r="R975" s="666"/>
      <c r="S975" s="666"/>
      <c r="T975" s="666"/>
      <c r="U975" s="666"/>
      <c r="V975" s="666"/>
      <c r="W975" s="666"/>
      <c r="X975" s="666"/>
      <c r="Y975" s="667"/>
      <c r="Z975" s="667"/>
    </row>
    <row r="976" spans="1:26" ht="15.75" customHeight="1">
      <c r="A976" s="666"/>
      <c r="B976" s="666"/>
      <c r="C976" s="666"/>
      <c r="D976" s="666"/>
      <c r="E976" s="666"/>
      <c r="F976" s="666"/>
      <c r="G976" s="666"/>
      <c r="H976" s="666"/>
      <c r="I976" s="666"/>
      <c r="J976" s="666"/>
      <c r="K976" s="666"/>
      <c r="L976" s="666"/>
      <c r="M976" s="666"/>
      <c r="N976" s="666"/>
      <c r="O976" s="666"/>
      <c r="P976" s="666"/>
      <c r="Q976" s="666"/>
      <c r="R976" s="666"/>
      <c r="S976" s="666"/>
      <c r="T976" s="666"/>
      <c r="U976" s="666"/>
      <c r="V976" s="666"/>
      <c r="W976" s="666"/>
      <c r="X976" s="666"/>
      <c r="Y976" s="667"/>
      <c r="Z976" s="667"/>
    </row>
    <row r="977" spans="1:26" ht="15.75" customHeight="1">
      <c r="A977" s="666"/>
      <c r="B977" s="666"/>
      <c r="C977" s="666"/>
      <c r="D977" s="666"/>
      <c r="E977" s="666"/>
      <c r="F977" s="666"/>
      <c r="G977" s="666"/>
      <c r="H977" s="666"/>
      <c r="I977" s="666"/>
      <c r="J977" s="666"/>
      <c r="K977" s="666"/>
      <c r="L977" s="666"/>
      <c r="M977" s="666"/>
      <c r="N977" s="666"/>
      <c r="O977" s="666"/>
      <c r="P977" s="666"/>
      <c r="Q977" s="666"/>
      <c r="R977" s="666"/>
      <c r="S977" s="666"/>
      <c r="T977" s="666"/>
      <c r="U977" s="666"/>
      <c r="V977" s="666"/>
      <c r="W977" s="666"/>
      <c r="X977" s="666"/>
      <c r="Y977" s="667"/>
      <c r="Z977" s="667"/>
    </row>
    <row r="978" spans="1:26" ht="15.75" customHeight="1">
      <c r="A978" s="666"/>
      <c r="B978" s="666"/>
      <c r="C978" s="666"/>
      <c r="D978" s="666"/>
      <c r="E978" s="666"/>
      <c r="F978" s="666"/>
      <c r="G978" s="666"/>
      <c r="H978" s="666"/>
      <c r="I978" s="666"/>
      <c r="J978" s="666"/>
      <c r="K978" s="666"/>
      <c r="L978" s="666"/>
      <c r="M978" s="666"/>
      <c r="N978" s="666"/>
      <c r="O978" s="666"/>
      <c r="P978" s="666"/>
      <c r="Q978" s="666"/>
      <c r="R978" s="666"/>
      <c r="S978" s="666"/>
      <c r="T978" s="666"/>
      <c r="U978" s="666"/>
      <c r="V978" s="666"/>
      <c r="W978" s="666"/>
      <c r="X978" s="666"/>
      <c r="Y978" s="667"/>
      <c r="Z978" s="667"/>
    </row>
    <row r="979" spans="1:26" ht="15.75" customHeight="1">
      <c r="A979" s="666"/>
      <c r="B979" s="666"/>
      <c r="C979" s="666"/>
      <c r="D979" s="666"/>
      <c r="E979" s="666"/>
      <c r="F979" s="666"/>
      <c r="G979" s="666"/>
      <c r="H979" s="666"/>
      <c r="I979" s="666"/>
      <c r="J979" s="666"/>
      <c r="K979" s="666"/>
      <c r="L979" s="666"/>
      <c r="M979" s="666"/>
      <c r="N979" s="666"/>
      <c r="O979" s="666"/>
      <c r="P979" s="666"/>
      <c r="Q979" s="666"/>
      <c r="R979" s="666"/>
      <c r="S979" s="666"/>
      <c r="T979" s="666"/>
      <c r="U979" s="666"/>
      <c r="V979" s="666"/>
      <c r="W979" s="666"/>
      <c r="X979" s="666"/>
      <c r="Y979" s="667"/>
      <c r="Z979" s="667"/>
    </row>
    <row r="980" spans="1:26" ht="15.75" customHeight="1">
      <c r="A980" s="666"/>
      <c r="B980" s="666"/>
      <c r="C980" s="666"/>
      <c r="D980" s="666"/>
      <c r="E980" s="666"/>
      <c r="F980" s="666"/>
      <c r="G980" s="666"/>
      <c r="H980" s="666"/>
      <c r="I980" s="666"/>
      <c r="J980" s="666"/>
      <c r="K980" s="666"/>
      <c r="L980" s="666"/>
      <c r="M980" s="666"/>
      <c r="N980" s="666"/>
      <c r="O980" s="666"/>
      <c r="P980" s="666"/>
      <c r="Q980" s="666"/>
      <c r="R980" s="666"/>
      <c r="S980" s="666"/>
      <c r="T980" s="666"/>
      <c r="U980" s="666"/>
      <c r="V980" s="666"/>
      <c r="W980" s="666"/>
      <c r="X980" s="666"/>
      <c r="Y980" s="667"/>
      <c r="Z980" s="667"/>
    </row>
    <row r="981" spans="1:26" ht="15.75" customHeight="1">
      <c r="A981" s="666"/>
      <c r="B981" s="666"/>
      <c r="C981" s="666"/>
      <c r="D981" s="666"/>
      <c r="E981" s="666"/>
      <c r="F981" s="666"/>
      <c r="G981" s="666"/>
      <c r="H981" s="666"/>
      <c r="I981" s="666"/>
      <c r="J981" s="666"/>
      <c r="K981" s="666"/>
      <c r="L981" s="666"/>
      <c r="M981" s="666"/>
      <c r="N981" s="666"/>
      <c r="O981" s="666"/>
      <c r="P981" s="666"/>
      <c r="Q981" s="666"/>
      <c r="R981" s="666"/>
      <c r="S981" s="666"/>
      <c r="T981" s="666"/>
      <c r="U981" s="666"/>
      <c r="V981" s="666"/>
      <c r="W981" s="666"/>
      <c r="X981" s="666"/>
      <c r="Y981" s="667"/>
      <c r="Z981" s="667"/>
    </row>
    <row r="982" spans="1:26" ht="15.75" customHeight="1">
      <c r="A982" s="666"/>
      <c r="B982" s="666"/>
      <c r="C982" s="666"/>
      <c r="D982" s="666"/>
      <c r="E982" s="666"/>
      <c r="F982" s="666"/>
      <c r="G982" s="666"/>
      <c r="H982" s="666"/>
      <c r="I982" s="666"/>
      <c r="J982" s="666"/>
      <c r="K982" s="666"/>
      <c r="L982" s="666"/>
      <c r="M982" s="666"/>
      <c r="N982" s="666"/>
      <c r="O982" s="666"/>
      <c r="P982" s="666"/>
      <c r="Q982" s="666"/>
      <c r="R982" s="666"/>
      <c r="S982" s="666"/>
      <c r="T982" s="666"/>
      <c r="U982" s="666"/>
      <c r="V982" s="666"/>
      <c r="W982" s="666"/>
      <c r="X982" s="666"/>
      <c r="Y982" s="667"/>
      <c r="Z982" s="667"/>
    </row>
    <row r="983" spans="1:26" ht="15.75" customHeight="1">
      <c r="A983" s="666"/>
      <c r="B983" s="666"/>
      <c r="C983" s="666"/>
      <c r="D983" s="666"/>
      <c r="E983" s="666"/>
      <c r="F983" s="666"/>
      <c r="G983" s="666"/>
      <c r="H983" s="666"/>
      <c r="I983" s="666"/>
      <c r="J983" s="666"/>
      <c r="K983" s="666"/>
      <c r="L983" s="666"/>
      <c r="M983" s="666"/>
      <c r="N983" s="666"/>
      <c r="O983" s="666"/>
      <c r="P983" s="666"/>
      <c r="Q983" s="666"/>
      <c r="R983" s="666"/>
      <c r="S983" s="666"/>
      <c r="T983" s="666"/>
      <c r="U983" s="666"/>
      <c r="V983" s="666"/>
      <c r="W983" s="666"/>
      <c r="X983" s="666"/>
      <c r="Y983" s="667"/>
      <c r="Z983" s="667"/>
    </row>
    <row r="984" spans="1:26" ht="15.75" customHeight="1">
      <c r="A984" s="666"/>
      <c r="B984" s="666"/>
      <c r="C984" s="666"/>
      <c r="D984" s="666"/>
      <c r="E984" s="666"/>
      <c r="F984" s="666"/>
      <c r="G984" s="666"/>
      <c r="H984" s="666"/>
      <c r="I984" s="666"/>
      <c r="J984" s="666"/>
      <c r="K984" s="666"/>
      <c r="L984" s="666"/>
      <c r="M984" s="666"/>
      <c r="N984" s="666"/>
      <c r="O984" s="666"/>
      <c r="P984" s="666"/>
      <c r="Q984" s="666"/>
      <c r="R984" s="666"/>
      <c r="S984" s="666"/>
      <c r="T984" s="666"/>
      <c r="U984" s="666"/>
      <c r="V984" s="666"/>
      <c r="W984" s="666"/>
      <c r="X984" s="666"/>
      <c r="Y984" s="667"/>
      <c r="Z984" s="667"/>
    </row>
    <row r="985" spans="1:26" ht="15.75" customHeight="1">
      <c r="A985" s="666"/>
      <c r="B985" s="666"/>
      <c r="C985" s="666"/>
      <c r="D985" s="666"/>
      <c r="E985" s="666"/>
      <c r="F985" s="666"/>
      <c r="G985" s="666"/>
      <c r="H985" s="666"/>
      <c r="I985" s="666"/>
      <c r="J985" s="666"/>
      <c r="K985" s="666"/>
      <c r="L985" s="666"/>
      <c r="M985" s="666"/>
      <c r="N985" s="666"/>
      <c r="O985" s="666"/>
      <c r="P985" s="666"/>
      <c r="Q985" s="666"/>
      <c r="R985" s="666"/>
      <c r="S985" s="666"/>
      <c r="T985" s="666"/>
      <c r="U985" s="666"/>
      <c r="V985" s="666"/>
      <c r="W985" s="666"/>
      <c r="X985" s="666"/>
      <c r="Y985" s="667"/>
      <c r="Z985" s="667"/>
    </row>
    <row r="986" spans="1:26" ht="15.75" customHeight="1">
      <c r="A986" s="666"/>
      <c r="B986" s="666"/>
      <c r="C986" s="666"/>
      <c r="D986" s="666"/>
      <c r="E986" s="666"/>
      <c r="F986" s="666"/>
      <c r="G986" s="666"/>
      <c r="H986" s="666"/>
      <c r="I986" s="666"/>
      <c r="J986" s="666"/>
      <c r="K986" s="666"/>
      <c r="L986" s="666"/>
      <c r="M986" s="666"/>
      <c r="N986" s="666"/>
      <c r="O986" s="666"/>
      <c r="P986" s="666"/>
      <c r="Q986" s="666"/>
      <c r="R986" s="666"/>
      <c r="S986" s="666"/>
      <c r="T986" s="666"/>
      <c r="U986" s="666"/>
      <c r="V986" s="666"/>
      <c r="W986" s="666"/>
      <c r="X986" s="666"/>
      <c r="Y986" s="667"/>
      <c r="Z986" s="667"/>
    </row>
    <row r="987" spans="1:26" ht="15.75" customHeight="1">
      <c r="A987" s="666"/>
      <c r="B987" s="666"/>
      <c r="C987" s="666"/>
      <c r="D987" s="666"/>
      <c r="E987" s="666"/>
      <c r="F987" s="666"/>
      <c r="G987" s="666"/>
      <c r="H987" s="666"/>
      <c r="I987" s="666"/>
      <c r="J987" s="666"/>
      <c r="K987" s="666"/>
      <c r="L987" s="666"/>
      <c r="M987" s="666"/>
      <c r="N987" s="666"/>
      <c r="O987" s="666"/>
      <c r="P987" s="666"/>
      <c r="Q987" s="666"/>
      <c r="R987" s="666"/>
      <c r="S987" s="666"/>
      <c r="T987" s="666"/>
      <c r="U987" s="666"/>
      <c r="V987" s="666"/>
      <c r="W987" s="666"/>
      <c r="X987" s="666"/>
      <c r="Y987" s="667"/>
      <c r="Z987" s="667"/>
    </row>
    <row r="988" spans="1:26" ht="15.75" customHeight="1">
      <c r="A988" s="666"/>
      <c r="B988" s="666"/>
      <c r="C988" s="666"/>
      <c r="D988" s="666"/>
      <c r="E988" s="666"/>
      <c r="F988" s="666"/>
      <c r="G988" s="666"/>
      <c r="H988" s="666"/>
      <c r="I988" s="666"/>
      <c r="J988" s="666"/>
      <c r="K988" s="666"/>
      <c r="L988" s="666"/>
      <c r="M988" s="666"/>
      <c r="N988" s="666"/>
      <c r="O988" s="666"/>
      <c r="P988" s="666"/>
      <c r="Q988" s="666"/>
      <c r="R988" s="666"/>
      <c r="S988" s="666"/>
      <c r="T988" s="666"/>
      <c r="U988" s="666"/>
      <c r="V988" s="666"/>
      <c r="W988" s="666"/>
      <c r="X988" s="666"/>
      <c r="Y988" s="667"/>
      <c r="Z988" s="667"/>
    </row>
    <row r="989" spans="1:26" ht="15.75" customHeight="1">
      <c r="A989" s="666"/>
      <c r="B989" s="666"/>
      <c r="C989" s="666"/>
      <c r="D989" s="666"/>
      <c r="E989" s="666"/>
      <c r="F989" s="666"/>
      <c r="G989" s="666"/>
      <c r="H989" s="666"/>
      <c r="I989" s="666"/>
      <c r="J989" s="666"/>
      <c r="K989" s="666"/>
      <c r="L989" s="666"/>
      <c r="M989" s="666"/>
      <c r="N989" s="666"/>
      <c r="O989" s="666"/>
      <c r="P989" s="666"/>
      <c r="Q989" s="666"/>
      <c r="R989" s="666"/>
      <c r="S989" s="666"/>
      <c r="T989" s="666"/>
      <c r="U989" s="666"/>
      <c r="V989" s="666"/>
      <c r="W989" s="666"/>
      <c r="X989" s="666"/>
      <c r="Y989" s="667"/>
      <c r="Z989" s="667"/>
    </row>
    <row r="990" spans="1:26" ht="15.75" customHeight="1">
      <c r="A990" s="666"/>
      <c r="B990" s="666"/>
      <c r="C990" s="666"/>
      <c r="D990" s="666"/>
      <c r="E990" s="666"/>
      <c r="F990" s="666"/>
      <c r="G990" s="666"/>
      <c r="H990" s="666"/>
      <c r="I990" s="666"/>
      <c r="J990" s="666"/>
      <c r="K990" s="666"/>
      <c r="L990" s="666"/>
      <c r="M990" s="666"/>
      <c r="N990" s="666"/>
      <c r="O990" s="666"/>
      <c r="P990" s="666"/>
      <c r="Q990" s="666"/>
      <c r="R990" s="666"/>
      <c r="S990" s="666"/>
      <c r="T990" s="666"/>
      <c r="U990" s="666"/>
      <c r="V990" s="666"/>
      <c r="W990" s="666"/>
      <c r="X990" s="666"/>
      <c r="Y990" s="667"/>
      <c r="Z990" s="667"/>
    </row>
    <row r="991" spans="1:26" ht="15.75" customHeight="1">
      <c r="A991" s="666"/>
      <c r="B991" s="666"/>
      <c r="C991" s="666"/>
      <c r="D991" s="666"/>
      <c r="E991" s="666"/>
      <c r="F991" s="666"/>
      <c r="G991" s="666"/>
      <c r="H991" s="666"/>
      <c r="I991" s="666"/>
      <c r="J991" s="666"/>
      <c r="K991" s="666"/>
      <c r="L991" s="666"/>
      <c r="M991" s="666"/>
      <c r="N991" s="666"/>
      <c r="O991" s="666"/>
      <c r="P991" s="666"/>
      <c r="Q991" s="666"/>
      <c r="R991" s="666"/>
      <c r="S991" s="666"/>
      <c r="T991" s="666"/>
      <c r="U991" s="666"/>
      <c r="V991" s="666"/>
      <c r="W991" s="666"/>
      <c r="X991" s="666"/>
      <c r="Y991" s="667"/>
      <c r="Z991" s="667"/>
    </row>
    <row r="992" spans="1:26" ht="15.75" customHeight="1">
      <c r="A992" s="666"/>
      <c r="B992" s="666"/>
      <c r="C992" s="666"/>
      <c r="D992" s="666"/>
      <c r="E992" s="666"/>
      <c r="F992" s="666"/>
      <c r="G992" s="666"/>
      <c r="H992" s="666"/>
      <c r="I992" s="666"/>
      <c r="J992" s="666"/>
      <c r="K992" s="666"/>
      <c r="L992" s="666"/>
      <c r="M992" s="666"/>
      <c r="N992" s="666"/>
      <c r="O992" s="666"/>
      <c r="P992" s="666"/>
      <c r="Q992" s="666"/>
      <c r="R992" s="666"/>
      <c r="S992" s="666"/>
      <c r="T992" s="666"/>
      <c r="U992" s="666"/>
      <c r="V992" s="666"/>
      <c r="W992" s="666"/>
      <c r="X992" s="666"/>
      <c r="Y992" s="667"/>
      <c r="Z992" s="667"/>
    </row>
    <row r="993" spans="1:26" ht="15.75" customHeight="1">
      <c r="A993" s="666"/>
      <c r="B993" s="666"/>
      <c r="C993" s="666"/>
      <c r="D993" s="666"/>
      <c r="E993" s="666"/>
      <c r="F993" s="666"/>
      <c r="G993" s="666"/>
      <c r="H993" s="666"/>
      <c r="I993" s="666"/>
      <c r="J993" s="666"/>
      <c r="K993" s="666"/>
      <c r="L993" s="666"/>
      <c r="M993" s="666"/>
      <c r="N993" s="666"/>
      <c r="O993" s="666"/>
      <c r="P993" s="666"/>
      <c r="Q993" s="666"/>
      <c r="R993" s="666"/>
      <c r="S993" s="666"/>
      <c r="T993" s="666"/>
      <c r="U993" s="666"/>
      <c r="V993" s="666"/>
      <c r="W993" s="666"/>
      <c r="X993" s="666"/>
      <c r="Y993" s="667"/>
      <c r="Z993" s="667"/>
    </row>
    <row r="994" spans="1:26" ht="15.75" customHeight="1">
      <c r="A994" s="666"/>
      <c r="B994" s="666"/>
      <c r="C994" s="666"/>
      <c r="D994" s="666"/>
      <c r="E994" s="666"/>
      <c r="F994" s="666"/>
      <c r="G994" s="666"/>
      <c r="H994" s="666"/>
      <c r="I994" s="666"/>
      <c r="J994" s="666"/>
      <c r="K994" s="666"/>
      <c r="L994" s="666"/>
      <c r="M994" s="666"/>
      <c r="N994" s="666"/>
      <c r="O994" s="666"/>
      <c r="P994" s="666"/>
      <c r="Q994" s="666"/>
      <c r="R994" s="666"/>
      <c r="S994" s="666"/>
      <c r="T994" s="666"/>
      <c r="U994" s="666"/>
      <c r="V994" s="666"/>
      <c r="W994" s="666"/>
      <c r="X994" s="666"/>
      <c r="Y994" s="667"/>
      <c r="Z994" s="667"/>
    </row>
    <row r="995" spans="1:26" ht="15.75" customHeight="1">
      <c r="A995" s="666"/>
      <c r="B995" s="666"/>
      <c r="C995" s="666"/>
      <c r="D995" s="666"/>
      <c r="E995" s="666"/>
      <c r="F995" s="666"/>
      <c r="G995" s="666"/>
      <c r="H995" s="666"/>
      <c r="I995" s="666"/>
      <c r="J995" s="666"/>
      <c r="K995" s="666"/>
      <c r="L995" s="666"/>
      <c r="M995" s="666"/>
      <c r="N995" s="666"/>
      <c r="O995" s="666"/>
      <c r="P995" s="666"/>
      <c r="Q995" s="666"/>
      <c r="R995" s="666"/>
      <c r="S995" s="666"/>
      <c r="T995" s="666"/>
      <c r="U995" s="666"/>
      <c r="V995" s="666"/>
      <c r="W995" s="666"/>
      <c r="X995" s="666"/>
      <c r="Y995" s="667"/>
      <c r="Z995" s="667"/>
    </row>
    <row r="996" spans="1:26" ht="15.75" customHeight="1">
      <c r="A996" s="666"/>
      <c r="B996" s="666"/>
      <c r="C996" s="666"/>
      <c r="D996" s="666"/>
      <c r="E996" s="666"/>
      <c r="F996" s="666"/>
      <c r="G996" s="666"/>
      <c r="H996" s="666"/>
      <c r="I996" s="666"/>
      <c r="J996" s="666"/>
      <c r="K996" s="666"/>
      <c r="L996" s="666"/>
      <c r="M996" s="666"/>
      <c r="N996" s="666"/>
      <c r="O996" s="666"/>
      <c r="P996" s="666"/>
      <c r="Q996" s="666"/>
      <c r="R996" s="666"/>
      <c r="S996" s="666"/>
      <c r="T996" s="666"/>
      <c r="U996" s="666"/>
      <c r="V996" s="666"/>
      <c r="W996" s="666"/>
      <c r="X996" s="666"/>
      <c r="Y996" s="667"/>
      <c r="Z996" s="667"/>
    </row>
    <row r="997" spans="1:26" ht="15.75" customHeight="1">
      <c r="A997" s="666"/>
      <c r="B997" s="666"/>
      <c r="C997" s="666"/>
      <c r="D997" s="666"/>
      <c r="E997" s="666"/>
      <c r="F997" s="666"/>
      <c r="G997" s="666"/>
      <c r="H997" s="666"/>
      <c r="I997" s="666"/>
      <c r="J997" s="666"/>
      <c r="K997" s="666"/>
      <c r="L997" s="666"/>
      <c r="M997" s="666"/>
      <c r="N997" s="666"/>
      <c r="O997" s="666"/>
      <c r="P997" s="666"/>
      <c r="Q997" s="666"/>
      <c r="R997" s="666"/>
      <c r="S997" s="666"/>
      <c r="T997" s="666"/>
      <c r="U997" s="666"/>
      <c r="V997" s="666"/>
      <c r="W997" s="666"/>
      <c r="X997" s="666"/>
      <c r="Y997" s="667"/>
      <c r="Z997" s="667"/>
    </row>
    <row r="998" spans="1:26" ht="15.75" customHeight="1">
      <c r="A998" s="666"/>
      <c r="B998" s="666"/>
      <c r="C998" s="666"/>
      <c r="D998" s="666"/>
      <c r="E998" s="666"/>
      <c r="F998" s="666"/>
      <c r="G998" s="666"/>
      <c r="H998" s="666"/>
      <c r="I998" s="666"/>
      <c r="J998" s="666"/>
      <c r="K998" s="666"/>
      <c r="L998" s="666"/>
      <c r="M998" s="666"/>
      <c r="N998" s="666"/>
      <c r="O998" s="666"/>
      <c r="P998" s="666"/>
      <c r="Q998" s="666"/>
      <c r="R998" s="666"/>
      <c r="S998" s="666"/>
      <c r="T998" s="666"/>
      <c r="U998" s="666"/>
      <c r="V998" s="666"/>
      <c r="W998" s="666"/>
      <c r="X998" s="666"/>
      <c r="Y998" s="667"/>
      <c r="Z998" s="667"/>
    </row>
    <row r="999" spans="1:26" ht="15.75" customHeight="1">
      <c r="A999" s="666"/>
      <c r="B999" s="666"/>
      <c r="C999" s="666"/>
      <c r="D999" s="666"/>
      <c r="E999" s="666"/>
      <c r="F999" s="666"/>
      <c r="G999" s="666"/>
      <c r="H999" s="666"/>
      <c r="I999" s="666"/>
      <c r="J999" s="666"/>
      <c r="K999" s="666"/>
      <c r="L999" s="666"/>
      <c r="M999" s="666"/>
      <c r="N999" s="666"/>
      <c r="O999" s="666"/>
      <c r="P999" s="666"/>
      <c r="Q999" s="666"/>
      <c r="R999" s="666"/>
      <c r="S999" s="666"/>
      <c r="T999" s="666"/>
      <c r="U999" s="666"/>
      <c r="V999" s="666"/>
      <c r="W999" s="666"/>
      <c r="X999" s="666"/>
      <c r="Y999" s="667"/>
      <c r="Z999" s="667"/>
    </row>
    <row r="1000" spans="1:26" ht="15.75" customHeight="1">
      <c r="A1000" s="666"/>
      <c r="B1000" s="666"/>
      <c r="C1000" s="666"/>
      <c r="D1000" s="666"/>
      <c r="E1000" s="666"/>
      <c r="F1000" s="666"/>
      <c r="G1000" s="666"/>
      <c r="H1000" s="666"/>
      <c r="I1000" s="666"/>
      <c r="J1000" s="666"/>
      <c r="K1000" s="666"/>
      <c r="L1000" s="666"/>
      <c r="M1000" s="666"/>
      <c r="N1000" s="666"/>
      <c r="O1000" s="666"/>
      <c r="P1000" s="666"/>
      <c r="Q1000" s="666"/>
      <c r="R1000" s="666"/>
      <c r="S1000" s="666"/>
      <c r="T1000" s="666"/>
      <c r="U1000" s="666"/>
      <c r="V1000" s="666"/>
      <c r="W1000" s="666"/>
      <c r="X1000" s="666"/>
      <c r="Y1000" s="667"/>
      <c r="Z1000" s="667"/>
    </row>
    <row r="1001" spans="1:26" ht="15.75" customHeight="1">
      <c r="A1001" s="666"/>
      <c r="B1001" s="666"/>
      <c r="C1001" s="666"/>
      <c r="D1001" s="666"/>
      <c r="E1001" s="666"/>
      <c r="F1001" s="666"/>
      <c r="G1001" s="666"/>
      <c r="H1001" s="666"/>
      <c r="I1001" s="666"/>
      <c r="J1001" s="666"/>
      <c r="K1001" s="666"/>
      <c r="L1001" s="666"/>
      <c r="M1001" s="666"/>
      <c r="N1001" s="666"/>
      <c r="O1001" s="666"/>
      <c r="P1001" s="666"/>
      <c r="Q1001" s="666"/>
      <c r="R1001" s="666"/>
      <c r="S1001" s="666"/>
      <c r="T1001" s="666"/>
      <c r="U1001" s="666"/>
      <c r="V1001" s="666"/>
      <c r="W1001" s="666"/>
      <c r="X1001" s="666"/>
      <c r="Y1001" s="667"/>
      <c r="Z1001" s="667"/>
    </row>
    <row r="1002" spans="1:26" ht="15.75" customHeight="1">
      <c r="A1002" s="666"/>
      <c r="B1002" s="666"/>
      <c r="C1002" s="666"/>
      <c r="D1002" s="666"/>
      <c r="E1002" s="666"/>
      <c r="F1002" s="666"/>
      <c r="G1002" s="666"/>
      <c r="H1002" s="666"/>
      <c r="I1002" s="666"/>
      <c r="J1002" s="666"/>
      <c r="K1002" s="666"/>
      <c r="L1002" s="666"/>
      <c r="M1002" s="666"/>
      <c r="N1002" s="666"/>
      <c r="O1002" s="666"/>
      <c r="P1002" s="666"/>
      <c r="Q1002" s="666"/>
      <c r="R1002" s="666"/>
      <c r="S1002" s="666"/>
      <c r="T1002" s="666"/>
      <c r="U1002" s="666"/>
      <c r="V1002" s="666"/>
      <c r="W1002" s="666"/>
      <c r="X1002" s="666"/>
      <c r="Y1002" s="667"/>
      <c r="Z1002" s="667"/>
    </row>
  </sheetData>
  <mergeCells count="78">
    <mergeCell ref="A1:M1"/>
    <mergeCell ref="B2:E2"/>
    <mergeCell ref="G2:I2"/>
    <mergeCell ref="K2:M2"/>
    <mergeCell ref="A3:A4"/>
    <mergeCell ref="B3:B4"/>
    <mergeCell ref="E3:E4"/>
    <mergeCell ref="I3:I4"/>
    <mergeCell ref="M3:M4"/>
    <mergeCell ref="A5:A8"/>
    <mergeCell ref="A9:E9"/>
    <mergeCell ref="G9:I9"/>
    <mergeCell ref="A10:A11"/>
    <mergeCell ref="A12:E12"/>
    <mergeCell ref="G12:I12"/>
    <mergeCell ref="A13:A15"/>
    <mergeCell ref="A16:E16"/>
    <mergeCell ref="G16:I16"/>
    <mergeCell ref="A17:A21"/>
    <mergeCell ref="A22:E22"/>
    <mergeCell ref="G22:I22"/>
    <mergeCell ref="A23:A26"/>
    <mergeCell ref="A27:E27"/>
    <mergeCell ref="G27:I27"/>
    <mergeCell ref="A28:A32"/>
    <mergeCell ref="A33:E33"/>
    <mergeCell ref="G33:I33"/>
    <mergeCell ref="A34:A35"/>
    <mergeCell ref="A36:E36"/>
    <mergeCell ref="G36:I36"/>
    <mergeCell ref="A37:A39"/>
    <mergeCell ref="A40:E40"/>
    <mergeCell ref="G40:I40"/>
    <mergeCell ref="A41:A43"/>
    <mergeCell ref="A44:E44"/>
    <mergeCell ref="G44:I44"/>
    <mergeCell ref="A45:A46"/>
    <mergeCell ref="A47:E47"/>
    <mergeCell ref="G47:I47"/>
    <mergeCell ref="A48:A51"/>
    <mergeCell ref="A52:E52"/>
    <mergeCell ref="G52:I52"/>
    <mergeCell ref="A53:A55"/>
    <mergeCell ref="A56:E56"/>
    <mergeCell ref="G56:I56"/>
    <mergeCell ref="A57:A61"/>
    <mergeCell ref="A62:E62"/>
    <mergeCell ref="G62:I62"/>
    <mergeCell ref="A63:A67"/>
    <mergeCell ref="A68:E68"/>
    <mergeCell ref="G68:I68"/>
    <mergeCell ref="A69:A73"/>
    <mergeCell ref="A74:E74"/>
    <mergeCell ref="G74:I74"/>
    <mergeCell ref="A75:A78"/>
    <mergeCell ref="A79:E79"/>
    <mergeCell ref="G79:I79"/>
    <mergeCell ref="A106:A107"/>
    <mergeCell ref="A80:A84"/>
    <mergeCell ref="A85:E85"/>
    <mergeCell ref="G85:I85"/>
    <mergeCell ref="A86:A90"/>
    <mergeCell ref="A91:E91"/>
    <mergeCell ref="G91:I91"/>
    <mergeCell ref="A92:A95"/>
    <mergeCell ref="A96:B96"/>
    <mergeCell ref="A97:A104"/>
    <mergeCell ref="A105:E105"/>
    <mergeCell ref="G105:I105"/>
    <mergeCell ref="A119:A120"/>
    <mergeCell ref="A121:A122"/>
    <mergeCell ref="H121:I121"/>
    <mergeCell ref="A108:A109"/>
    <mergeCell ref="A110:A111"/>
    <mergeCell ref="A112:A113"/>
    <mergeCell ref="A114:A115"/>
    <mergeCell ref="A117:E117"/>
    <mergeCell ref="G117:I11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Capex March21</vt:lpstr>
      <vt:lpstr>Sheet5</vt:lpstr>
      <vt:lpstr>Capex April21</vt:lpstr>
      <vt:lpstr>Capex May21</vt:lpstr>
      <vt:lpstr>Capex May21(Revised)</vt:lpstr>
      <vt:lpstr>Capex July21</vt:lpstr>
      <vt:lpstr>Capex June21</vt:lpstr>
      <vt:lpstr>Capex Aug21</vt:lpstr>
      <vt:lpstr>Capex Aug-21(R)</vt:lpstr>
      <vt:lpstr>Capex Sept-21</vt:lpstr>
      <vt:lpstr>Capex Oct-21</vt:lpstr>
      <vt:lpstr>Capex Nov-21</vt:lpstr>
      <vt:lpstr>Capex Dec-21</vt:lpstr>
      <vt:lpstr>Capex Jan-22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2022-02-07T12:02:53Z</dcterms:modified>
</cp:coreProperties>
</file>